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emf" ContentType="image/x-emf"/>
  <Default Extension="jpeg" ContentType="image/jpeg"/>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drawings/drawing7.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0" yWindow="0" windowWidth="16380" windowHeight="8190" tabRatio="921" firstSheet="1" activeTab="6"/>
  </bookViews>
  <sheets>
    <sheet name="Punten telling" sheetId="1" state="hidden" r:id="rId1"/>
    <sheet name="Invulblad" sheetId="2" r:id="rId2"/>
    <sheet name="Poule berekeningen" sheetId="30" state="hidden" r:id="rId3"/>
    <sheet name="Toernooigegevens" sheetId="31" state="hidden" r:id="rId4"/>
    <sheet name="LOGBOEK" sheetId="32" state="hidden" r:id="rId5"/>
    <sheet name="quickview" sheetId="3" r:id="rId6"/>
    <sheet name="score" sheetId="4" r:id="rId7"/>
    <sheet name="Grafiek" sheetId="36" state="hidden" r:id="rId8"/>
    <sheet name="Grafiek_oud" sheetId="33" r:id="rId9"/>
    <sheet name="gem." sheetId="6" r:id="rId10"/>
    <sheet name="Angele" sheetId="11" r:id="rId11"/>
    <sheet name="Annita" sheetId="25" r:id="rId12"/>
    <sheet name="Carin" sheetId="37" r:id="rId13"/>
    <sheet name="Dries" sheetId="8" r:id="rId14"/>
    <sheet name="Ellen" sheetId="24" r:id="rId15"/>
    <sheet name="Eric" sheetId="27" r:id="rId16"/>
    <sheet name="Frank" sheetId="28" r:id="rId17"/>
    <sheet name="Gerard" sheetId="20" r:id="rId18"/>
    <sheet name="Jan" sheetId="9" r:id="rId19"/>
    <sheet name="Jolanthe" sheetId="40" r:id="rId20"/>
    <sheet name="Joris" sheetId="18" r:id="rId21"/>
    <sheet name="Junior" sheetId="38" r:id="rId22"/>
    <sheet name="Leen" sheetId="21" r:id="rId23"/>
    <sheet name="Linda" sheetId="17" r:id="rId24"/>
    <sheet name="Lothar" sheetId="43" r:id="rId25"/>
    <sheet name="Marc" sheetId="39" r:id="rId26"/>
    <sheet name="Mariel" sheetId="10" r:id="rId27"/>
    <sheet name="Marjon" sheetId="16" r:id="rId28"/>
    <sheet name="Matthijs" sheetId="23" r:id="rId29"/>
    <sheet name="Nijdam_sr" sheetId="7" r:id="rId30"/>
    <sheet name="Paul" sheetId="15" r:id="rId31"/>
    <sheet name="PeterK" sheetId="14" r:id="rId32"/>
    <sheet name="Reindert" sheetId="12" r:id="rId33"/>
    <sheet name="Willem" sheetId="22" r:id="rId34"/>
    <sheet name="Bonusvragen" sheetId="29" state="hidden" r:id="rId35"/>
  </sheets>
  <definedNames>
    <definedName name="_C">Invulblad!$P$27:$P$30</definedName>
    <definedName name="_test">score!$AE$1</definedName>
    <definedName name="A">Invulblad!$P$11:$P$14</definedName>
    <definedName name="aantal_deelnemers">COUNTA(score!$AD$1:$BH$1)</definedName>
    <definedName name="_xlnm.Print_Area" localSheetId="1">Invulblad!$A$1:$AB$104</definedName>
    <definedName name="B">Invulblad!$P$19:$P$22</definedName>
    <definedName name="bgkleur">Invulblad!$E$76:$E$83+Invulblad!$K$76:$K$83+Invulblad!$E$87:$E$90+Invulblad!$K$87:$K$90+Invulblad!$E$94:$E$95+Invulblad!$K$94:$K$95+Invulblad!$K$99+Invulblad!$E$99+Invulblad!$E$103+Invulblad!$K$103</definedName>
    <definedName name="D">Invulblad!$P$35:$P$38</definedName>
    <definedName name="deelnemers" comment="namenlijst deelnemers">OFFSET(score!$AD$1,0,0,1,aantal_deelnemers)</definedName>
    <definedName name="E">Invulblad!$P$43:$P$46</definedName>
    <definedName name="F">Invulblad!$P$51:$P$54</definedName>
    <definedName name="G">Invulblad!$P$59:$P$62</definedName>
    <definedName name="gr_labels" comment="bepaalt grafieklabels adhv aantal ingevulde wedstrijduitslagen">OFFSET(score!$AC$2,0,0,COUNT(score!$AD$2:$AD$77),1)</definedName>
    <definedName name="gr_naam2">OFFSET(deelnemers,0,1,1,1)</definedName>
    <definedName name="gr_naam3">INDEX(deelnemers,1,3)</definedName>
    <definedName name="gr_score1" comment="scores voor 1e kolom">OFFSET(gr_labels,0,1)</definedName>
    <definedName name="gr_score2" comment="scores voor 2e kolom">OFFSET(gr_labels,0,2)</definedName>
    <definedName name="gr_score3" comment="scores voor 3e kolom">OFFSET(gr_labels,0,3)</definedName>
    <definedName name="gr_score4">OFFSET(gr_labels,0,4)</definedName>
    <definedName name="gr_score5">OFFSET(gr_labels,0,5)</definedName>
    <definedName name="gr_score6">OFFSET(gr_labels,0,6)</definedName>
    <definedName name="gr_score7">OFFSET(gr_labels,0,7)</definedName>
    <definedName name="gr_scores">OFFSET(score!$AD$1,1,0,COUNT(score!$AD$2:$AD$77),aantal_deelnemers)</definedName>
    <definedName name="gr2_labels">OFFSET(score!$B$1,0,0,1+COUNT(score!$AD$2:$AD$77),1)</definedName>
    <definedName name="gr2_scores">OFFSET(score!$AD$1,0,0,1+COUNT(score!$AD$2:$AD$77),aantal_deelnemers)</definedName>
    <definedName name="H">Invulblad!$P$67:$P$70</definedName>
    <definedName name="loc_fin" comment="locatie finalisten [voor gebruik met INDIRECT]">"!$I$9:$J$10"</definedName>
    <definedName name="loc_half" comment="locatie halffinalisten [voor gebruik met INDIRECT]">"!$I$3:$J$6"</definedName>
    <definedName name="loc_kwart" comment="locatie kwartfinalisten [voor gebruik met INDIRECT]">"!$F$3:$G$10"</definedName>
    <definedName name="loc_voorspell" comment="locatie voorspellingen deelenemersheet [voor gebruik icm INDIRECT]">"!$B$14:$P$101"</definedName>
    <definedName name="scores">'Poule berekeningen'!$B$2:$E$5</definedName>
    <definedName name="teams_achtste" comment="lijst van 16 teams in achtste finale">Invulblad!$AK$57:$AK$72</definedName>
    <definedName name="teams_fin" comment="lijst van 2 teams in finale">Invulblad!$AK$94:$AK$95</definedName>
    <definedName name="teams_halve" comment="lijst van 4 teams in halve finale">Invulblad!$AK$87:$AK$90</definedName>
    <definedName name="teams_kwart" comment="lijst van 8 teams in kwartfinale">Invulblad!$AK$76:$AK$83</definedName>
    <definedName name="teams_troost" comment="lijst van teams in troostfinale">Invulblad!$F$99:$J$99</definedName>
    <definedName name="TotoVoorronden">(Invulblad!$M$11:$M$16,Invulblad!$M$19:$M$24,Invulblad!$M$27:$M$32,Invulblad!$M$35:$M$40,Invulblad!$M$43:$M$48,Invulblad!$M$51:$M$56,Invulblad!$M$59:$M$64,Invulblad!$M$67:$M$72)</definedName>
    <definedName name="tscores">'Poule berekeningen'!$G$2:$J$5</definedName>
    <definedName name="uitslagen1">Invulblad!$A$11:$Q$72</definedName>
    <definedName name="Vanaf8eFinales">(Invulblad!$M$76:$M$83,Invulblad!$M$87:$M$90,Invulblad!$M$94:$M$95,Invulblad!$M$99,Invulblad!$M$103)</definedName>
    <definedName name="wedstrijden">Invulblad!$A$11:$K$103</definedName>
  </definedNames>
  <calcPr calcId="125725"/>
</workbook>
</file>

<file path=xl/calcChain.xml><?xml version="1.0" encoding="utf-8"?>
<calcChain xmlns="http://schemas.openxmlformats.org/spreadsheetml/2006/main">
  <c r="D84" i="4"/>
  <c r="E84"/>
  <c r="F84"/>
  <c r="G84"/>
  <c r="C84"/>
  <c r="B84"/>
  <c r="P10" i="25" l="1"/>
  <c r="P10" i="37"/>
  <c r="P10" i="8"/>
  <c r="P10" i="24"/>
  <c r="P10" i="27"/>
  <c r="P10" i="28"/>
  <c r="P10" i="20"/>
  <c r="P10" i="9"/>
  <c r="P10" i="40"/>
  <c r="P10" i="18"/>
  <c r="P10" i="38"/>
  <c r="P10" i="21"/>
  <c r="P10" i="17"/>
  <c r="P10" i="43"/>
  <c r="P10" i="39"/>
  <c r="P10" i="10"/>
  <c r="P10" i="16"/>
  <c r="P10" i="23"/>
  <c r="P10" i="7"/>
  <c r="P10" i="15"/>
  <c r="P10" i="14"/>
  <c r="P10" i="12"/>
  <c r="P10" i="22"/>
  <c r="P10" i="11"/>
  <c r="P9" i="25"/>
  <c r="P9" i="37"/>
  <c r="P9" i="8"/>
  <c r="P9" i="24"/>
  <c r="P9" i="27"/>
  <c r="P9" i="28"/>
  <c r="P9" i="20"/>
  <c r="P9" i="9"/>
  <c r="P9" i="40"/>
  <c r="P9" i="18"/>
  <c r="P9" i="38"/>
  <c r="P9" i="21"/>
  <c r="P9" i="17"/>
  <c r="P9" i="43"/>
  <c r="P9" i="39"/>
  <c r="P9" i="10"/>
  <c r="P9" i="16"/>
  <c r="P9" i="23"/>
  <c r="P9" i="7"/>
  <c r="P9" i="15"/>
  <c r="P9" i="14"/>
  <c r="P9" i="12"/>
  <c r="P9" i="22"/>
  <c r="P9" i="11"/>
  <c r="AD10" i="2"/>
  <c r="AE10"/>
  <c r="AD11"/>
  <c r="AE11"/>
  <c r="AD12"/>
  <c r="AD13"/>
  <c r="AD14"/>
  <c r="AD15"/>
  <c r="AD16"/>
  <c r="AD19"/>
  <c r="AE19"/>
  <c r="AD20"/>
  <c r="AE20"/>
  <c r="AD21"/>
  <c r="AD22"/>
  <c r="AD23"/>
  <c r="AD24"/>
  <c r="AD27"/>
  <c r="AD28"/>
  <c r="AD29"/>
  <c r="AD30"/>
  <c r="AD31"/>
  <c r="AD32"/>
  <c r="AD33"/>
  <c r="AE33"/>
  <c r="AD35"/>
  <c r="AD36"/>
  <c r="AD37"/>
  <c r="AD38"/>
  <c r="AD39"/>
  <c r="AD40"/>
  <c r="AD41"/>
  <c r="AE41"/>
  <c r="AD43"/>
  <c r="AD44"/>
  <c r="AD45"/>
  <c r="AD46"/>
  <c r="AD47"/>
  <c r="AD48"/>
  <c r="AD49"/>
  <c r="AE49"/>
  <c r="AD51"/>
  <c r="AD52"/>
  <c r="AD53"/>
  <c r="AD54"/>
  <c r="AD55"/>
  <c r="AD56"/>
  <c r="AD57"/>
  <c r="AE57"/>
  <c r="AD59"/>
  <c r="AD60"/>
  <c r="AD61"/>
  <c r="AD62"/>
  <c r="AD63"/>
  <c r="AD64"/>
  <c r="AD67"/>
  <c r="AD68"/>
  <c r="AD69"/>
  <c r="AD70"/>
  <c r="AD71"/>
  <c r="AD72"/>
  <c r="L104" i="3" l="1"/>
  <c r="L105"/>
  <c r="L106"/>
  <c r="L107"/>
  <c r="L108"/>
  <c r="L109"/>
  <c r="L110"/>
  <c r="L112"/>
  <c r="L113"/>
  <c r="L114"/>
  <c r="L115"/>
  <c r="L116"/>
  <c r="L103"/>
  <c r="G8" i="6"/>
  <c r="G9"/>
  <c r="G10"/>
  <c r="G7"/>
  <c r="G4"/>
  <c r="G5"/>
  <c r="G6"/>
  <c r="G3"/>
  <c r="D4"/>
  <c r="D5"/>
  <c r="D6"/>
  <c r="D7"/>
  <c r="D8"/>
  <c r="D9"/>
  <c r="D10"/>
  <c r="D3"/>
  <c r="B4"/>
  <c r="B5"/>
  <c r="B6"/>
  <c r="B7"/>
  <c r="B8"/>
  <c r="B9"/>
  <c r="B10"/>
  <c r="B3"/>
  <c r="B3" i="11"/>
  <c r="D3"/>
  <c r="G3"/>
  <c r="J3"/>
  <c r="B4"/>
  <c r="D4"/>
  <c r="G4"/>
  <c r="J4"/>
  <c r="B5"/>
  <c r="D5"/>
  <c r="G5"/>
  <c r="J5"/>
  <c r="B6"/>
  <c r="D6"/>
  <c r="G6"/>
  <c r="J6"/>
  <c r="B7"/>
  <c r="D7"/>
  <c r="G7"/>
  <c r="B8"/>
  <c r="D8"/>
  <c r="G8"/>
  <c r="B9"/>
  <c r="D9"/>
  <c r="G9"/>
  <c r="J9"/>
  <c r="B10"/>
  <c r="D10"/>
  <c r="G10"/>
  <c r="J10"/>
  <c r="K14"/>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K8" i="3"/>
  <c r="K59"/>
  <c r="K32"/>
  <c r="K63"/>
  <c r="K40"/>
  <c r="K20"/>
  <c r="K66"/>
  <c r="K58"/>
  <c r="K28"/>
  <c r="K62"/>
  <c r="K39"/>
  <c r="K57"/>
  <c r="K30"/>
  <c r="K2"/>
  <c r="K64"/>
  <c r="K85"/>
  <c r="K12"/>
  <c r="K61"/>
  <c r="K21"/>
  <c r="K69"/>
  <c r="K73"/>
  <c r="K33"/>
  <c r="K22"/>
  <c r="K84"/>
  <c r="K14"/>
  <c r="K15"/>
  <c r="K53"/>
  <c r="K49"/>
  <c r="K37"/>
  <c r="K46"/>
  <c r="K27"/>
  <c r="K26"/>
  <c r="K72"/>
  <c r="K31"/>
  <c r="K45"/>
  <c r="K5"/>
  <c r="K55"/>
  <c r="K52"/>
  <c r="K70"/>
  <c r="K65"/>
  <c r="K25"/>
  <c r="K71"/>
  <c r="K67"/>
  <c r="K13"/>
  <c r="K50"/>
  <c r="K42"/>
  <c r="K44"/>
  <c r="K10"/>
  <c r="K41"/>
  <c r="K23"/>
  <c r="K54"/>
  <c r="K60"/>
  <c r="K16"/>
  <c r="K36"/>
  <c r="K82"/>
  <c r="K43"/>
  <c r="K35"/>
  <c r="K48"/>
  <c r="K6"/>
  <c r="K83"/>
  <c r="K38"/>
  <c r="K99"/>
  <c r="K95"/>
  <c r="K7"/>
  <c r="K56"/>
  <c r="K91"/>
  <c r="K11"/>
  <c r="K34"/>
  <c r="K68"/>
  <c r="K90"/>
  <c r="K18"/>
  <c r="K96"/>
  <c r="K51"/>
  <c r="K98"/>
  <c r="K9"/>
  <c r="K24"/>
  <c r="K47"/>
  <c r="K3"/>
  <c r="K100"/>
  <c r="K19"/>
  <c r="K17"/>
  <c r="K29"/>
  <c r="K4"/>
  <c r="J102" i="6" l="1"/>
  <c r="H102"/>
  <c r="J99"/>
  <c r="H99"/>
  <c r="J96"/>
  <c r="H96"/>
  <c r="J95"/>
  <c r="H95"/>
  <c r="J92"/>
  <c r="H92"/>
  <c r="J91"/>
  <c r="H91"/>
  <c r="J90"/>
  <c r="H90"/>
  <c r="J89"/>
  <c r="H89"/>
  <c r="J86"/>
  <c r="H86"/>
  <c r="J85"/>
  <c r="H85"/>
  <c r="J84"/>
  <c r="H84"/>
  <c r="J83"/>
  <c r="H83"/>
  <c r="J82"/>
  <c r="H82"/>
  <c r="J81"/>
  <c r="H81"/>
  <c r="J80"/>
  <c r="H80"/>
  <c r="J79"/>
  <c r="H79"/>
  <c r="J76"/>
  <c r="H76"/>
  <c r="J75"/>
  <c r="H75"/>
  <c r="J74"/>
  <c r="H74"/>
  <c r="J73"/>
  <c r="H73"/>
  <c r="J72"/>
  <c r="H72"/>
  <c r="J71"/>
  <c r="H71"/>
  <c r="J68"/>
  <c r="H68"/>
  <c r="J67"/>
  <c r="H67"/>
  <c r="J66"/>
  <c r="H66"/>
  <c r="J65"/>
  <c r="H65"/>
  <c r="J64"/>
  <c r="H64"/>
  <c r="J63"/>
  <c r="H63"/>
  <c r="J60"/>
  <c r="H60"/>
  <c r="J59"/>
  <c r="H59"/>
  <c r="J58"/>
  <c r="H58"/>
  <c r="J57"/>
  <c r="H57"/>
  <c r="J56"/>
  <c r="H56"/>
  <c r="J55"/>
  <c r="H55"/>
  <c r="J52"/>
  <c r="H52"/>
  <c r="J51"/>
  <c r="H51"/>
  <c r="J50"/>
  <c r="H50"/>
  <c r="J49"/>
  <c r="H49"/>
  <c r="J48"/>
  <c r="H48"/>
  <c r="J47"/>
  <c r="H47"/>
  <c r="J44"/>
  <c r="H44"/>
  <c r="J43"/>
  <c r="H43"/>
  <c r="J42"/>
  <c r="H42"/>
  <c r="J41"/>
  <c r="H41"/>
  <c r="J40"/>
  <c r="H40"/>
  <c r="J39"/>
  <c r="H39"/>
  <c r="J36"/>
  <c r="H36"/>
  <c r="J35"/>
  <c r="H35"/>
  <c r="J34"/>
  <c r="H34"/>
  <c r="J33"/>
  <c r="H33"/>
  <c r="J32"/>
  <c r="H32"/>
  <c r="J31"/>
  <c r="H31"/>
  <c r="J28"/>
  <c r="H28"/>
  <c r="J27"/>
  <c r="H27"/>
  <c r="J26"/>
  <c r="H26"/>
  <c r="J25"/>
  <c r="H25"/>
  <c r="J24"/>
  <c r="H24"/>
  <c r="J23"/>
  <c r="H23"/>
  <c r="J20"/>
  <c r="J19"/>
  <c r="J18"/>
  <c r="J17"/>
  <c r="J16"/>
  <c r="J15"/>
  <c r="H16"/>
  <c r="H17"/>
  <c r="K17" s="1"/>
  <c r="H18"/>
  <c r="K18" s="1"/>
  <c r="H19"/>
  <c r="H20"/>
  <c r="H15"/>
  <c r="O100"/>
  <c r="M100"/>
  <c r="K100"/>
  <c r="O97"/>
  <c r="M97"/>
  <c r="K97"/>
  <c r="O93"/>
  <c r="M93"/>
  <c r="K93"/>
  <c r="O87"/>
  <c r="M87"/>
  <c r="K87"/>
  <c r="O77"/>
  <c r="M77"/>
  <c r="K77"/>
  <c r="O69"/>
  <c r="M69"/>
  <c r="K69"/>
  <c r="O61"/>
  <c r="M61"/>
  <c r="K61"/>
  <c r="O53"/>
  <c r="M53"/>
  <c r="K53"/>
  <c r="O45"/>
  <c r="M45"/>
  <c r="K45"/>
  <c r="O37"/>
  <c r="M37"/>
  <c r="K37"/>
  <c r="O29"/>
  <c r="M29"/>
  <c r="K29"/>
  <c r="O21"/>
  <c r="M21"/>
  <c r="K21"/>
  <c r="K20"/>
  <c r="K19"/>
  <c r="K16"/>
  <c r="K15"/>
  <c r="AO1" i="4"/>
  <c r="AP1"/>
  <c r="AQ1"/>
  <c r="AR1"/>
  <c r="AS1"/>
  <c r="AT1"/>
  <c r="AU1"/>
  <c r="AV1"/>
  <c r="AW1"/>
  <c r="AX1"/>
  <c r="AY1"/>
  <c r="AZ1"/>
  <c r="BA1"/>
  <c r="K36" i="6" l="1"/>
  <c r="K39"/>
  <c r="K52"/>
  <c r="K55"/>
  <c r="K68"/>
  <c r="K71"/>
  <c r="K84"/>
  <c r="K91"/>
  <c r="K96"/>
  <c r="K99"/>
  <c r="K102"/>
  <c r="K23"/>
  <c r="E13"/>
  <c r="F13" s="1"/>
  <c r="K28"/>
  <c r="K32"/>
  <c r="K43"/>
  <c r="K48"/>
  <c r="K49"/>
  <c r="K59"/>
  <c r="K63"/>
  <c r="K64"/>
  <c r="K66"/>
  <c r="K67"/>
  <c r="K24"/>
  <c r="K25"/>
  <c r="K26"/>
  <c r="K27"/>
  <c r="K72"/>
  <c r="K75"/>
  <c r="K80"/>
  <c r="K81"/>
  <c r="K82"/>
  <c r="K83"/>
  <c r="K85"/>
  <c r="K86"/>
  <c r="K89"/>
  <c r="K90"/>
  <c r="K92"/>
  <c r="K95"/>
  <c r="K73"/>
  <c r="K74"/>
  <c r="K76"/>
  <c r="K79"/>
  <c r="K35"/>
  <c r="K40"/>
  <c r="K41"/>
  <c r="K42"/>
  <c r="K44"/>
  <c r="K47"/>
  <c r="K50"/>
  <c r="K51"/>
  <c r="K57"/>
  <c r="K31"/>
  <c r="K33"/>
  <c r="K34"/>
  <c r="K56"/>
  <c r="K58"/>
  <c r="K60"/>
  <c r="K65"/>
  <c r="J10" i="43"/>
  <c r="J9"/>
  <c r="J6"/>
  <c r="J5"/>
  <c r="J4"/>
  <c r="J3"/>
  <c r="K101"/>
  <c r="O99"/>
  <c r="M99"/>
  <c r="K99"/>
  <c r="K98"/>
  <c r="O96"/>
  <c r="M96"/>
  <c r="K96"/>
  <c r="K95"/>
  <c r="K94"/>
  <c r="O92"/>
  <c r="M92"/>
  <c r="K92"/>
  <c r="K91"/>
  <c r="K90"/>
  <c r="K89"/>
  <c r="K88"/>
  <c r="O86"/>
  <c r="M86"/>
  <c r="K86"/>
  <c r="K85"/>
  <c r="K84"/>
  <c r="K83"/>
  <c r="K82"/>
  <c r="K81"/>
  <c r="K80"/>
  <c r="K79"/>
  <c r="K78"/>
  <c r="O76"/>
  <c r="M76"/>
  <c r="K76"/>
  <c r="K75"/>
  <c r="K74"/>
  <c r="K73"/>
  <c r="K72"/>
  <c r="K71"/>
  <c r="K70"/>
  <c r="O68"/>
  <c r="M68"/>
  <c r="K68"/>
  <c r="K67"/>
  <c r="K66"/>
  <c r="K65"/>
  <c r="K64"/>
  <c r="K63"/>
  <c r="K62"/>
  <c r="O60"/>
  <c r="M60"/>
  <c r="K60"/>
  <c r="K59"/>
  <c r="K58"/>
  <c r="K57"/>
  <c r="K56"/>
  <c r="K55"/>
  <c r="K54"/>
  <c r="O52"/>
  <c r="M52"/>
  <c r="K52"/>
  <c r="K51"/>
  <c r="K50"/>
  <c r="K49"/>
  <c r="K48"/>
  <c r="K47"/>
  <c r="K46"/>
  <c r="O44"/>
  <c r="M44"/>
  <c r="K44"/>
  <c r="K43"/>
  <c r="K42"/>
  <c r="K41"/>
  <c r="K40"/>
  <c r="K39"/>
  <c r="K38"/>
  <c r="O36"/>
  <c r="M36"/>
  <c r="K36"/>
  <c r="K35"/>
  <c r="K34"/>
  <c r="K33"/>
  <c r="K32"/>
  <c r="K31"/>
  <c r="K30"/>
  <c r="O28"/>
  <c r="M28"/>
  <c r="K28"/>
  <c r="K27"/>
  <c r="K26"/>
  <c r="K25"/>
  <c r="K24"/>
  <c r="K23"/>
  <c r="K22"/>
  <c r="O20"/>
  <c r="M20"/>
  <c r="K20"/>
  <c r="K19"/>
  <c r="K18"/>
  <c r="K17"/>
  <c r="K16"/>
  <c r="K15"/>
  <c r="K14"/>
  <c r="G10"/>
  <c r="D10"/>
  <c r="B10"/>
  <c r="G9"/>
  <c r="D9"/>
  <c r="B9"/>
  <c r="G8"/>
  <c r="D8"/>
  <c r="B8"/>
  <c r="G7"/>
  <c r="D7"/>
  <c r="B7"/>
  <c r="G6"/>
  <c r="D6"/>
  <c r="B6"/>
  <c r="G5"/>
  <c r="D5"/>
  <c r="B5"/>
  <c r="G4"/>
  <c r="D4"/>
  <c r="B4"/>
  <c r="G3"/>
  <c r="D3"/>
  <c r="B3"/>
  <c r="J10" i="22"/>
  <c r="J9"/>
  <c r="J6"/>
  <c r="J5"/>
  <c r="J4"/>
  <c r="J3"/>
  <c r="J10" i="12"/>
  <c r="J9"/>
  <c r="J6"/>
  <c r="J5"/>
  <c r="J4"/>
  <c r="J3"/>
  <c r="J10" i="14"/>
  <c r="J9"/>
  <c r="J6"/>
  <c r="J5"/>
  <c r="J4"/>
  <c r="J3"/>
  <c r="J10" i="15"/>
  <c r="J9"/>
  <c r="J6"/>
  <c r="J5"/>
  <c r="J4"/>
  <c r="J3"/>
  <c r="J10" i="21"/>
  <c r="J9"/>
  <c r="J6"/>
  <c r="J5"/>
  <c r="J4"/>
  <c r="J3"/>
  <c r="J10" i="7"/>
  <c r="J9"/>
  <c r="J6"/>
  <c r="J5"/>
  <c r="J4"/>
  <c r="J3"/>
  <c r="J10" i="23"/>
  <c r="J9"/>
  <c r="J6"/>
  <c r="J5"/>
  <c r="J4"/>
  <c r="J3"/>
  <c r="J10" i="16"/>
  <c r="J9"/>
  <c r="J6"/>
  <c r="J5"/>
  <c r="J4"/>
  <c r="J3"/>
  <c r="J10" i="10"/>
  <c r="J9"/>
  <c r="J6"/>
  <c r="J5"/>
  <c r="J4"/>
  <c r="J3"/>
  <c r="J10" i="39"/>
  <c r="J9"/>
  <c r="J6"/>
  <c r="J5"/>
  <c r="J4"/>
  <c r="J3"/>
  <c r="J10" i="17"/>
  <c r="J9"/>
  <c r="J6"/>
  <c r="J5"/>
  <c r="J4"/>
  <c r="J3"/>
  <c r="J10" i="38"/>
  <c r="J9"/>
  <c r="J6"/>
  <c r="J5"/>
  <c r="J4"/>
  <c r="J3"/>
  <c r="J10" i="18"/>
  <c r="J9"/>
  <c r="J6"/>
  <c r="J5"/>
  <c r="J4"/>
  <c r="J3"/>
  <c r="J10" i="40"/>
  <c r="J9"/>
  <c r="J6"/>
  <c r="J5"/>
  <c r="J4"/>
  <c r="J3"/>
  <c r="J10" i="9"/>
  <c r="J9"/>
  <c r="J6"/>
  <c r="J5"/>
  <c r="J4"/>
  <c r="J3"/>
  <c r="J10" i="20"/>
  <c r="J9"/>
  <c r="J6"/>
  <c r="J5"/>
  <c r="J4"/>
  <c r="J3"/>
  <c r="J10" i="28"/>
  <c r="J9"/>
  <c r="J6"/>
  <c r="J5"/>
  <c r="J4"/>
  <c r="J3"/>
  <c r="J10" i="27"/>
  <c r="J9"/>
  <c r="J6"/>
  <c r="J5"/>
  <c r="J4"/>
  <c r="J3"/>
  <c r="J10" i="24"/>
  <c r="J9"/>
  <c r="J6"/>
  <c r="J5"/>
  <c r="J4"/>
  <c r="J3"/>
  <c r="J10" i="8"/>
  <c r="J9"/>
  <c r="J6"/>
  <c r="J5"/>
  <c r="J4"/>
  <c r="J3"/>
  <c r="J10" i="37"/>
  <c r="J9"/>
  <c r="J6"/>
  <c r="J5"/>
  <c r="J4"/>
  <c r="J3"/>
  <c r="J10" i="25"/>
  <c r="J9"/>
  <c r="J6"/>
  <c r="J5"/>
  <c r="J4"/>
  <c r="J3"/>
  <c r="K101" i="40"/>
  <c r="O99"/>
  <c r="M99"/>
  <c r="K99"/>
  <c r="K98"/>
  <c r="O96"/>
  <c r="M96"/>
  <c r="K96"/>
  <c r="K95"/>
  <c r="K94"/>
  <c r="O92"/>
  <c r="M92"/>
  <c r="K92"/>
  <c r="K91"/>
  <c r="K90"/>
  <c r="K89"/>
  <c r="K88"/>
  <c r="O86"/>
  <c r="M86"/>
  <c r="K86"/>
  <c r="K85"/>
  <c r="K84"/>
  <c r="K83"/>
  <c r="K82"/>
  <c r="K81"/>
  <c r="K80"/>
  <c r="K79"/>
  <c r="K78"/>
  <c r="O76"/>
  <c r="M76"/>
  <c r="K76"/>
  <c r="K75"/>
  <c r="K74"/>
  <c r="K73"/>
  <c r="K72"/>
  <c r="K71"/>
  <c r="K70"/>
  <c r="O68"/>
  <c r="M68"/>
  <c r="K68"/>
  <c r="K67"/>
  <c r="K66"/>
  <c r="K65"/>
  <c r="K64"/>
  <c r="K63"/>
  <c r="K62"/>
  <c r="O60"/>
  <c r="M60"/>
  <c r="K60"/>
  <c r="K59"/>
  <c r="K58"/>
  <c r="K57"/>
  <c r="K56"/>
  <c r="K55"/>
  <c r="K54"/>
  <c r="O52"/>
  <c r="M52"/>
  <c r="K52"/>
  <c r="K51"/>
  <c r="K50"/>
  <c r="K49"/>
  <c r="K48"/>
  <c r="K47"/>
  <c r="K46"/>
  <c r="O44"/>
  <c r="M44"/>
  <c r="K44"/>
  <c r="K43"/>
  <c r="K42"/>
  <c r="K41"/>
  <c r="K40"/>
  <c r="K39"/>
  <c r="K38"/>
  <c r="O36"/>
  <c r="M36"/>
  <c r="K36"/>
  <c r="K35"/>
  <c r="K34"/>
  <c r="K33"/>
  <c r="K32"/>
  <c r="K31"/>
  <c r="K30"/>
  <c r="O28"/>
  <c r="M28"/>
  <c r="K28"/>
  <c r="K27"/>
  <c r="K26"/>
  <c r="K25"/>
  <c r="K24"/>
  <c r="K23"/>
  <c r="K22"/>
  <c r="O20"/>
  <c r="M20"/>
  <c r="K20"/>
  <c r="K19"/>
  <c r="K18"/>
  <c r="K17"/>
  <c r="K16"/>
  <c r="K15"/>
  <c r="K14"/>
  <c r="G10"/>
  <c r="D10"/>
  <c r="B10"/>
  <c r="G9"/>
  <c r="D9"/>
  <c r="B9"/>
  <c r="G8"/>
  <c r="D8"/>
  <c r="B8"/>
  <c r="G7"/>
  <c r="D7"/>
  <c r="B7"/>
  <c r="G6"/>
  <c r="D6"/>
  <c r="B6"/>
  <c r="G5"/>
  <c r="D5"/>
  <c r="B5"/>
  <c r="G4"/>
  <c r="D4"/>
  <c r="B4"/>
  <c r="G3"/>
  <c r="D3"/>
  <c r="B3"/>
  <c r="R53" i="3"/>
  <c r="R65"/>
  <c r="K88"/>
  <c r="R92"/>
  <c r="R93"/>
  <c r="R56"/>
  <c r="R51"/>
  <c r="K92"/>
  <c r="R58"/>
  <c r="K86"/>
  <c r="K75"/>
  <c r="K87"/>
  <c r="R54"/>
  <c r="R87"/>
  <c r="R62"/>
  <c r="R63"/>
  <c r="R55"/>
  <c r="R61"/>
  <c r="K93"/>
  <c r="R59"/>
  <c r="K78"/>
  <c r="R64"/>
  <c r="K81"/>
  <c r="R52"/>
  <c r="R88"/>
  <c r="R60"/>
  <c r="R86"/>
  <c r="K77"/>
  <c r="K76"/>
  <c r="R89"/>
  <c r="R50"/>
  <c r="K79"/>
  <c r="R57"/>
  <c r="K89"/>
  <c r="K101" i="39" l="1"/>
  <c r="O99"/>
  <c r="M99"/>
  <c r="K99"/>
  <c r="K98"/>
  <c r="O96"/>
  <c r="M96"/>
  <c r="K96"/>
  <c r="K95"/>
  <c r="K94"/>
  <c r="O92"/>
  <c r="M92"/>
  <c r="K92"/>
  <c r="K91"/>
  <c r="K90"/>
  <c r="K89"/>
  <c r="K88"/>
  <c r="O86"/>
  <c r="M86"/>
  <c r="K86"/>
  <c r="K85"/>
  <c r="K84"/>
  <c r="K83"/>
  <c r="K82"/>
  <c r="K81"/>
  <c r="K80"/>
  <c r="K79"/>
  <c r="K78"/>
  <c r="O76"/>
  <c r="M76"/>
  <c r="K76"/>
  <c r="K75"/>
  <c r="K74"/>
  <c r="K73"/>
  <c r="K72"/>
  <c r="K71"/>
  <c r="K70"/>
  <c r="O68"/>
  <c r="M68"/>
  <c r="K68"/>
  <c r="K67"/>
  <c r="K66"/>
  <c r="K65"/>
  <c r="K64"/>
  <c r="K63"/>
  <c r="K62"/>
  <c r="O60"/>
  <c r="M60"/>
  <c r="K60"/>
  <c r="K59"/>
  <c r="K58"/>
  <c r="K57"/>
  <c r="K56"/>
  <c r="K55"/>
  <c r="K54"/>
  <c r="O52"/>
  <c r="M52"/>
  <c r="K52"/>
  <c r="K51"/>
  <c r="K50"/>
  <c r="K49"/>
  <c r="K48"/>
  <c r="K47"/>
  <c r="K46"/>
  <c r="O44"/>
  <c r="M44"/>
  <c r="K44"/>
  <c r="K43"/>
  <c r="K42"/>
  <c r="K41"/>
  <c r="K40"/>
  <c r="K39"/>
  <c r="K38"/>
  <c r="O36"/>
  <c r="M36"/>
  <c r="K36"/>
  <c r="K35"/>
  <c r="K34"/>
  <c r="K33"/>
  <c r="K32"/>
  <c r="K31"/>
  <c r="K30"/>
  <c r="O28"/>
  <c r="M28"/>
  <c r="K28"/>
  <c r="K27"/>
  <c r="K26"/>
  <c r="K25"/>
  <c r="K24"/>
  <c r="K23"/>
  <c r="K22"/>
  <c r="O20"/>
  <c r="M20"/>
  <c r="K20"/>
  <c r="K19"/>
  <c r="K18"/>
  <c r="K17"/>
  <c r="K16"/>
  <c r="K15"/>
  <c r="K14"/>
  <c r="G10"/>
  <c r="D10"/>
  <c r="B10"/>
  <c r="G9"/>
  <c r="D9"/>
  <c r="B9"/>
  <c r="G8"/>
  <c r="D8"/>
  <c r="B8"/>
  <c r="G7"/>
  <c r="D7"/>
  <c r="B7"/>
  <c r="G6"/>
  <c r="D6"/>
  <c r="B6"/>
  <c r="G5"/>
  <c r="D5"/>
  <c r="B5"/>
  <c r="G4"/>
  <c r="D4"/>
  <c r="B4"/>
  <c r="G3"/>
  <c r="D3"/>
  <c r="B3"/>
  <c r="K101" i="38"/>
  <c r="O99"/>
  <c r="M99"/>
  <c r="K99"/>
  <c r="K98"/>
  <c r="O96"/>
  <c r="M96"/>
  <c r="K96"/>
  <c r="K95"/>
  <c r="K94"/>
  <c r="O92"/>
  <c r="M92"/>
  <c r="K92"/>
  <c r="K91"/>
  <c r="K90"/>
  <c r="K89"/>
  <c r="K88"/>
  <c r="O86"/>
  <c r="M86"/>
  <c r="K86"/>
  <c r="K85"/>
  <c r="K84"/>
  <c r="K83"/>
  <c r="K82"/>
  <c r="K81"/>
  <c r="K80"/>
  <c r="K79"/>
  <c r="K78"/>
  <c r="O76"/>
  <c r="M76"/>
  <c r="K76"/>
  <c r="K75"/>
  <c r="K74"/>
  <c r="K73"/>
  <c r="K72"/>
  <c r="K71"/>
  <c r="K70"/>
  <c r="O68"/>
  <c r="M68"/>
  <c r="K68"/>
  <c r="K67"/>
  <c r="K66"/>
  <c r="K65"/>
  <c r="K64"/>
  <c r="K63"/>
  <c r="K62"/>
  <c r="O60"/>
  <c r="M60"/>
  <c r="K60"/>
  <c r="K59"/>
  <c r="K58"/>
  <c r="K57"/>
  <c r="K56"/>
  <c r="K55"/>
  <c r="K54"/>
  <c r="O52"/>
  <c r="M52"/>
  <c r="K52"/>
  <c r="K51"/>
  <c r="K50"/>
  <c r="K49"/>
  <c r="K48"/>
  <c r="K47"/>
  <c r="K46"/>
  <c r="O44"/>
  <c r="M44"/>
  <c r="K44"/>
  <c r="K43"/>
  <c r="K42"/>
  <c r="K41"/>
  <c r="K40"/>
  <c r="K39"/>
  <c r="K38"/>
  <c r="O36"/>
  <c r="M36"/>
  <c r="K36"/>
  <c r="K35"/>
  <c r="K34"/>
  <c r="K33"/>
  <c r="K32"/>
  <c r="K31"/>
  <c r="K30"/>
  <c r="O28"/>
  <c r="M28"/>
  <c r="K28"/>
  <c r="K27"/>
  <c r="K26"/>
  <c r="K25"/>
  <c r="K24"/>
  <c r="K23"/>
  <c r="K22"/>
  <c r="O20"/>
  <c r="M20"/>
  <c r="K20"/>
  <c r="K19"/>
  <c r="K18"/>
  <c r="K17"/>
  <c r="K16"/>
  <c r="K15"/>
  <c r="K14"/>
  <c r="G10"/>
  <c r="D10"/>
  <c r="B10"/>
  <c r="G9"/>
  <c r="D9"/>
  <c r="B9"/>
  <c r="G8"/>
  <c r="D8"/>
  <c r="B8"/>
  <c r="G7"/>
  <c r="D7"/>
  <c r="B7"/>
  <c r="G6"/>
  <c r="D6"/>
  <c r="B6"/>
  <c r="G5"/>
  <c r="D5"/>
  <c r="B5"/>
  <c r="G4"/>
  <c r="D4"/>
  <c r="B4"/>
  <c r="G3"/>
  <c r="D3"/>
  <c r="B3"/>
  <c r="K101" i="37"/>
  <c r="O99"/>
  <c r="M99"/>
  <c r="K99"/>
  <c r="K98"/>
  <c r="O96"/>
  <c r="M96"/>
  <c r="K96"/>
  <c r="K95"/>
  <c r="K94"/>
  <c r="O92"/>
  <c r="M92"/>
  <c r="K92"/>
  <c r="K91"/>
  <c r="K90"/>
  <c r="K89"/>
  <c r="K88"/>
  <c r="O86"/>
  <c r="M86"/>
  <c r="K86"/>
  <c r="K85"/>
  <c r="K84"/>
  <c r="K83"/>
  <c r="K82"/>
  <c r="K81"/>
  <c r="K80"/>
  <c r="K79"/>
  <c r="K78"/>
  <c r="O76"/>
  <c r="M76"/>
  <c r="K76"/>
  <c r="K75"/>
  <c r="K74"/>
  <c r="K73"/>
  <c r="K72"/>
  <c r="K71"/>
  <c r="K70"/>
  <c r="O68"/>
  <c r="M68"/>
  <c r="K68"/>
  <c r="K67"/>
  <c r="K66"/>
  <c r="K65"/>
  <c r="K64"/>
  <c r="K63"/>
  <c r="K62"/>
  <c r="O60"/>
  <c r="M60"/>
  <c r="K60"/>
  <c r="K59"/>
  <c r="K58"/>
  <c r="K57"/>
  <c r="K56"/>
  <c r="K55"/>
  <c r="K54"/>
  <c r="O52"/>
  <c r="M52"/>
  <c r="K52"/>
  <c r="K51"/>
  <c r="K50"/>
  <c r="K49"/>
  <c r="K48"/>
  <c r="K47"/>
  <c r="K46"/>
  <c r="O44"/>
  <c r="M44"/>
  <c r="K44"/>
  <c r="K43"/>
  <c r="K42"/>
  <c r="K41"/>
  <c r="K40"/>
  <c r="K39"/>
  <c r="K38"/>
  <c r="O36"/>
  <c r="M36"/>
  <c r="K36"/>
  <c r="K35"/>
  <c r="K34"/>
  <c r="K33"/>
  <c r="K32"/>
  <c r="K31"/>
  <c r="K30"/>
  <c r="O28"/>
  <c r="M28"/>
  <c r="K28"/>
  <c r="K27"/>
  <c r="K26"/>
  <c r="K25"/>
  <c r="K24"/>
  <c r="K23"/>
  <c r="K22"/>
  <c r="O20"/>
  <c r="M20"/>
  <c r="K20"/>
  <c r="K19"/>
  <c r="K18"/>
  <c r="K17"/>
  <c r="K16"/>
  <c r="K15"/>
  <c r="K14"/>
  <c r="G10"/>
  <c r="D10"/>
  <c r="B10"/>
  <c r="G9"/>
  <c r="D9"/>
  <c r="B9"/>
  <c r="G8"/>
  <c r="D8"/>
  <c r="B8"/>
  <c r="G7"/>
  <c r="D7"/>
  <c r="B7"/>
  <c r="G6"/>
  <c r="D6"/>
  <c r="B6"/>
  <c r="G5"/>
  <c r="D5"/>
  <c r="B5"/>
  <c r="G4"/>
  <c r="D4"/>
  <c r="B4"/>
  <c r="G3"/>
  <c r="D3"/>
  <c r="B3"/>
  <c r="R5" i="3"/>
  <c r="R32"/>
  <c r="R98"/>
  <c r="R99"/>
  <c r="R11"/>
  <c r="R39"/>
  <c r="R20"/>
  <c r="R90"/>
  <c r="R69"/>
  <c r="R26"/>
  <c r="R49"/>
  <c r="R77"/>
  <c r="R16"/>
  <c r="R35"/>
  <c r="R85"/>
  <c r="R33"/>
  <c r="R7"/>
  <c r="R44"/>
  <c r="R78"/>
  <c r="R73"/>
  <c r="R38"/>
  <c r="R83"/>
  <c r="R68"/>
  <c r="R3"/>
  <c r="R67"/>
  <c r="R22"/>
  <c r="R84"/>
  <c r="R41"/>
  <c r="R2"/>
  <c r="R36"/>
  <c r="R15"/>
  <c r="R10"/>
  <c r="R30"/>
  <c r="R76"/>
  <c r="R9"/>
  <c r="R13"/>
  <c r="R79"/>
  <c r="R66"/>
  <c r="R27"/>
  <c r="R12"/>
  <c r="R4"/>
  <c r="R82"/>
  <c r="R31"/>
  <c r="R23"/>
  <c r="R91"/>
  <c r="R48"/>
  <c r="R75"/>
  <c r="R47"/>
  <c r="R17"/>
  <c r="R6"/>
  <c r="R25"/>
  <c r="R43"/>
  <c r="R21"/>
  <c r="R96"/>
  <c r="R42"/>
  <c r="R8"/>
  <c r="R24"/>
  <c r="R19"/>
  <c r="R71"/>
  <c r="R28"/>
  <c r="R72"/>
  <c r="R70"/>
  <c r="R29"/>
  <c r="R46"/>
  <c r="R95"/>
  <c r="R37"/>
  <c r="R40"/>
  <c r="R34"/>
  <c r="R45"/>
  <c r="R18"/>
  <c r="R14"/>
  <c r="G10" i="21" l="1"/>
  <c r="D10"/>
  <c r="B10"/>
  <c r="G9"/>
  <c r="D9"/>
  <c r="B9"/>
  <c r="G8"/>
  <c r="D8"/>
  <c r="B8"/>
  <c r="G7"/>
  <c r="D7"/>
  <c r="B7"/>
  <c r="G6"/>
  <c r="D6"/>
  <c r="B6"/>
  <c r="G5"/>
  <c r="D5"/>
  <c r="B5"/>
  <c r="G4"/>
  <c r="D4"/>
  <c r="B4"/>
  <c r="G3"/>
  <c r="D3"/>
  <c r="B3"/>
  <c r="G10" i="8"/>
  <c r="D10"/>
  <c r="B10"/>
  <c r="G9"/>
  <c r="D9"/>
  <c r="B9"/>
  <c r="G8"/>
  <c r="D8"/>
  <c r="B8"/>
  <c r="G7"/>
  <c r="D7"/>
  <c r="B7"/>
  <c r="G6"/>
  <c r="D6"/>
  <c r="B6"/>
  <c r="G5"/>
  <c r="D5"/>
  <c r="B5"/>
  <c r="G4"/>
  <c r="D4"/>
  <c r="B4"/>
  <c r="G3"/>
  <c r="D3"/>
  <c r="B3"/>
  <c r="G10" i="23"/>
  <c r="D10"/>
  <c r="B10"/>
  <c r="G9"/>
  <c r="D9"/>
  <c r="B9"/>
  <c r="G8"/>
  <c r="D8"/>
  <c r="B8"/>
  <c r="G7"/>
  <c r="D7"/>
  <c r="B7"/>
  <c r="G6"/>
  <c r="D6"/>
  <c r="B6"/>
  <c r="G5"/>
  <c r="D5"/>
  <c r="B5"/>
  <c r="G4"/>
  <c r="D4"/>
  <c r="B4"/>
  <c r="G3"/>
  <c r="D3"/>
  <c r="B3"/>
  <c r="G10" i="9"/>
  <c r="D10"/>
  <c r="B10"/>
  <c r="G9"/>
  <c r="D9"/>
  <c r="B9"/>
  <c r="G8"/>
  <c r="D8"/>
  <c r="B8"/>
  <c r="G7"/>
  <c r="D7"/>
  <c r="B7"/>
  <c r="G6"/>
  <c r="D6"/>
  <c r="B6"/>
  <c r="G5"/>
  <c r="D5"/>
  <c r="B5"/>
  <c r="G4"/>
  <c r="D4"/>
  <c r="B4"/>
  <c r="G3"/>
  <c r="D3"/>
  <c r="B3"/>
  <c r="G10" i="17"/>
  <c r="D10"/>
  <c r="B10"/>
  <c r="G9"/>
  <c r="D9"/>
  <c r="B9"/>
  <c r="G8"/>
  <c r="D8"/>
  <c r="B8"/>
  <c r="G7"/>
  <c r="D7"/>
  <c r="B7"/>
  <c r="G6"/>
  <c r="D6"/>
  <c r="B6"/>
  <c r="G5"/>
  <c r="D5"/>
  <c r="B5"/>
  <c r="G4"/>
  <c r="D4"/>
  <c r="B4"/>
  <c r="G3"/>
  <c r="D3"/>
  <c r="B3"/>
  <c r="G10" i="24"/>
  <c r="D10"/>
  <c r="B10"/>
  <c r="G9"/>
  <c r="D9"/>
  <c r="B9"/>
  <c r="G8"/>
  <c r="D8"/>
  <c r="B8"/>
  <c r="G7"/>
  <c r="D7"/>
  <c r="B7"/>
  <c r="G6"/>
  <c r="D6"/>
  <c r="B6"/>
  <c r="G5"/>
  <c r="D5"/>
  <c r="B5"/>
  <c r="G4"/>
  <c r="D4"/>
  <c r="B4"/>
  <c r="G3"/>
  <c r="D3"/>
  <c r="B3"/>
  <c r="G10" i="10"/>
  <c r="D10"/>
  <c r="B10"/>
  <c r="G9"/>
  <c r="D9"/>
  <c r="B9"/>
  <c r="G8"/>
  <c r="D8"/>
  <c r="B8"/>
  <c r="G7"/>
  <c r="D7"/>
  <c r="B7"/>
  <c r="G6"/>
  <c r="D6"/>
  <c r="B6"/>
  <c r="G5"/>
  <c r="D5"/>
  <c r="B5"/>
  <c r="G4"/>
  <c r="D4"/>
  <c r="B4"/>
  <c r="G3"/>
  <c r="D3"/>
  <c r="B3"/>
  <c r="G10" i="16"/>
  <c r="D10"/>
  <c r="B10"/>
  <c r="G9"/>
  <c r="D9"/>
  <c r="B9"/>
  <c r="G8"/>
  <c r="D8"/>
  <c r="B8"/>
  <c r="G7"/>
  <c r="D7"/>
  <c r="B7"/>
  <c r="G6"/>
  <c r="D6"/>
  <c r="B6"/>
  <c r="G5"/>
  <c r="D5"/>
  <c r="B5"/>
  <c r="G4"/>
  <c r="D4"/>
  <c r="B4"/>
  <c r="G3"/>
  <c r="D3"/>
  <c r="B3"/>
  <c r="G10" i="12"/>
  <c r="D10"/>
  <c r="B10"/>
  <c r="G9"/>
  <c r="D9"/>
  <c r="B9"/>
  <c r="G8"/>
  <c r="D8"/>
  <c r="B8"/>
  <c r="G7"/>
  <c r="D7"/>
  <c r="B7"/>
  <c r="G6"/>
  <c r="D6"/>
  <c r="B6"/>
  <c r="G5"/>
  <c r="D5"/>
  <c r="B5"/>
  <c r="G4"/>
  <c r="D4"/>
  <c r="B4"/>
  <c r="G3"/>
  <c r="D3"/>
  <c r="B3"/>
  <c r="G10" i="20"/>
  <c r="D10"/>
  <c r="B10"/>
  <c r="G9"/>
  <c r="D9"/>
  <c r="B9"/>
  <c r="G8"/>
  <c r="D8"/>
  <c r="B8"/>
  <c r="G7"/>
  <c r="D7"/>
  <c r="B7"/>
  <c r="G6"/>
  <c r="D6"/>
  <c r="B6"/>
  <c r="G5"/>
  <c r="D5"/>
  <c r="B5"/>
  <c r="G4"/>
  <c r="D4"/>
  <c r="B4"/>
  <c r="G3"/>
  <c r="D3"/>
  <c r="B3"/>
  <c r="G10" i="27"/>
  <c r="D10"/>
  <c r="B10"/>
  <c r="G9"/>
  <c r="D9"/>
  <c r="B9"/>
  <c r="G8"/>
  <c r="D8"/>
  <c r="B8"/>
  <c r="G7"/>
  <c r="D7"/>
  <c r="B7"/>
  <c r="G6"/>
  <c r="D6"/>
  <c r="B6"/>
  <c r="G5"/>
  <c r="D5"/>
  <c r="B5"/>
  <c r="G4"/>
  <c r="D4"/>
  <c r="B4"/>
  <c r="G3"/>
  <c r="D3"/>
  <c r="B3"/>
  <c r="G10" i="15"/>
  <c r="D10"/>
  <c r="B10"/>
  <c r="G9"/>
  <c r="D9"/>
  <c r="B9"/>
  <c r="G8"/>
  <c r="D8"/>
  <c r="B8"/>
  <c r="G7"/>
  <c r="D7"/>
  <c r="B7"/>
  <c r="G6"/>
  <c r="D6"/>
  <c r="B6"/>
  <c r="G5"/>
  <c r="D5"/>
  <c r="B5"/>
  <c r="G4"/>
  <c r="D4"/>
  <c r="B4"/>
  <c r="G3"/>
  <c r="D3"/>
  <c r="B3"/>
  <c r="G10" i="18"/>
  <c r="D10"/>
  <c r="B10"/>
  <c r="G9"/>
  <c r="D9"/>
  <c r="B9"/>
  <c r="G8"/>
  <c r="D8"/>
  <c r="B8"/>
  <c r="G7"/>
  <c r="D7"/>
  <c r="B7"/>
  <c r="G6"/>
  <c r="D6"/>
  <c r="B6"/>
  <c r="G5"/>
  <c r="D5"/>
  <c r="B5"/>
  <c r="G4"/>
  <c r="D4"/>
  <c r="B4"/>
  <c r="G3"/>
  <c r="D3"/>
  <c r="B3"/>
  <c r="G10" i="14"/>
  <c r="D10"/>
  <c r="B10"/>
  <c r="G9"/>
  <c r="D9"/>
  <c r="B9"/>
  <c r="G8"/>
  <c r="D8"/>
  <c r="B8"/>
  <c r="G7"/>
  <c r="D7"/>
  <c r="B7"/>
  <c r="G6"/>
  <c r="D6"/>
  <c r="B6"/>
  <c r="G5"/>
  <c r="D5"/>
  <c r="B5"/>
  <c r="G4"/>
  <c r="D4"/>
  <c r="B4"/>
  <c r="G3"/>
  <c r="D3"/>
  <c r="B3"/>
  <c r="G10" i="25"/>
  <c r="D10"/>
  <c r="B10"/>
  <c r="G9"/>
  <c r="D9"/>
  <c r="B9"/>
  <c r="G8"/>
  <c r="D8"/>
  <c r="B8"/>
  <c r="G7"/>
  <c r="D7"/>
  <c r="B7"/>
  <c r="G6"/>
  <c r="D6"/>
  <c r="B6"/>
  <c r="G5"/>
  <c r="D5"/>
  <c r="B5"/>
  <c r="G4"/>
  <c r="D4"/>
  <c r="B4"/>
  <c r="G3"/>
  <c r="D3"/>
  <c r="B3"/>
  <c r="G10" i="28"/>
  <c r="D10"/>
  <c r="B10"/>
  <c r="G9"/>
  <c r="D9"/>
  <c r="B9"/>
  <c r="G8"/>
  <c r="D8"/>
  <c r="B8"/>
  <c r="G7"/>
  <c r="D7"/>
  <c r="B7"/>
  <c r="G6"/>
  <c r="D6"/>
  <c r="B6"/>
  <c r="G5"/>
  <c r="D5"/>
  <c r="B5"/>
  <c r="G4"/>
  <c r="D4"/>
  <c r="B4"/>
  <c r="G3"/>
  <c r="D3"/>
  <c r="B3"/>
  <c r="G10" i="22"/>
  <c r="D10"/>
  <c r="B10"/>
  <c r="G9"/>
  <c r="D9"/>
  <c r="B9"/>
  <c r="G8"/>
  <c r="D8"/>
  <c r="B8"/>
  <c r="G7"/>
  <c r="D7"/>
  <c r="B7"/>
  <c r="G6"/>
  <c r="D6"/>
  <c r="B6"/>
  <c r="G5"/>
  <c r="D5"/>
  <c r="B5"/>
  <c r="G4"/>
  <c r="D4"/>
  <c r="B4"/>
  <c r="G3"/>
  <c r="D3"/>
  <c r="B3"/>
  <c r="K103" i="2"/>
  <c r="K74" i="3"/>
  <c r="R74"/>
  <c r="K80"/>
  <c r="R81"/>
  <c r="R80"/>
  <c r="C34" i="30" l="1"/>
  <c r="AF34" s="1"/>
  <c r="C33"/>
  <c r="AF33" s="1"/>
  <c r="C35"/>
  <c r="AF35" s="1"/>
  <c r="C36"/>
  <c r="AF36" s="1"/>
  <c r="F32" i="2"/>
  <c r="J27"/>
  <c r="J29"/>
  <c r="AC36" i="4"/>
  <c r="AC39"/>
  <c r="AC42"/>
  <c r="AC45"/>
  <c r="AC48"/>
  <c r="AC51"/>
  <c r="AC54"/>
  <c r="AC57"/>
  <c r="AC66"/>
  <c r="AC71"/>
  <c r="AC74"/>
  <c r="AC77"/>
  <c r="G25" i="31"/>
  <c r="AI32" i="30" l="1"/>
  <c r="AH32"/>
  <c r="AM32" s="1"/>
  <c r="AR32" s="1"/>
  <c r="AJ32"/>
  <c r="AO32" s="1"/>
  <c r="AT32" s="1"/>
  <c r="AG32"/>
  <c r="AL32" s="1"/>
  <c r="AQ32" s="1"/>
  <c r="I88" i="31"/>
  <c r="I87"/>
  <c r="G88"/>
  <c r="G87"/>
  <c r="W81"/>
  <c r="W83"/>
  <c r="W85"/>
  <c r="W79"/>
  <c r="R79"/>
  <c r="T80"/>
  <c r="T81"/>
  <c r="T82"/>
  <c r="T83"/>
  <c r="T84"/>
  <c r="T85"/>
  <c r="T86"/>
  <c r="T79"/>
  <c r="R80"/>
  <c r="R81"/>
  <c r="R82"/>
  <c r="R83"/>
  <c r="R84"/>
  <c r="R85"/>
  <c r="R86"/>
  <c r="I25"/>
  <c r="I24"/>
  <c r="I23"/>
  <c r="I22"/>
  <c r="I21"/>
  <c r="I20"/>
  <c r="I15"/>
  <c r="AN32" i="30" l="1"/>
  <c r="AS32" s="1"/>
  <c r="A36" i="4"/>
  <c r="A39"/>
  <c r="A42"/>
  <c r="A45"/>
  <c r="A48"/>
  <c r="A51"/>
  <c r="A54"/>
  <c r="A57"/>
  <c r="K14" i="25" l="1"/>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C10" i="29"/>
  <c r="K14" i="8"/>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K14" i="27"/>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K14" i="28"/>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K14" i="20"/>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B3" i="7"/>
  <c r="D3"/>
  <c r="G3"/>
  <c r="B4"/>
  <c r="D4"/>
  <c r="G7"/>
  <c r="B5"/>
  <c r="D5"/>
  <c r="G5"/>
  <c r="B6"/>
  <c r="D6"/>
  <c r="G9"/>
  <c r="B7"/>
  <c r="D7"/>
  <c r="G4"/>
  <c r="B8"/>
  <c r="D8"/>
  <c r="G8"/>
  <c r="B9"/>
  <c r="D9"/>
  <c r="G6"/>
  <c r="B10"/>
  <c r="D10"/>
  <c r="G10"/>
  <c r="K14"/>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R10" i="2"/>
  <c r="Q14" s="1"/>
  <c r="O14" s="1"/>
  <c r="A11"/>
  <c r="B11"/>
  <c r="C11"/>
  <c r="D11"/>
  <c r="M11"/>
  <c r="A12"/>
  <c r="B12"/>
  <c r="C12"/>
  <c r="D12"/>
  <c r="M12"/>
  <c r="AE12" s="1"/>
  <c r="A13"/>
  <c r="B13"/>
  <c r="C13"/>
  <c r="D13"/>
  <c r="M13"/>
  <c r="AE13" s="1"/>
  <c r="A14"/>
  <c r="B14"/>
  <c r="C14"/>
  <c r="D14"/>
  <c r="M14"/>
  <c r="AE14" s="1"/>
  <c r="A15"/>
  <c r="B15"/>
  <c r="C15"/>
  <c r="D15"/>
  <c r="M15"/>
  <c r="AE15" s="1"/>
  <c r="P15"/>
  <c r="A16"/>
  <c r="B16"/>
  <c r="C16"/>
  <c r="D16"/>
  <c r="M16"/>
  <c r="AE16" s="1"/>
  <c r="P16"/>
  <c r="P17"/>
  <c r="AM17"/>
  <c r="P18"/>
  <c r="R18"/>
  <c r="Q21" s="1"/>
  <c r="O21" s="1"/>
  <c r="AM18"/>
  <c r="A19"/>
  <c r="B19"/>
  <c r="C19"/>
  <c r="D19"/>
  <c r="M19"/>
  <c r="A20"/>
  <c r="B20"/>
  <c r="C20"/>
  <c r="D20"/>
  <c r="M20"/>
  <c r="A21"/>
  <c r="B21"/>
  <c r="C21"/>
  <c r="D21"/>
  <c r="M21"/>
  <c r="A22"/>
  <c r="B22"/>
  <c r="C22"/>
  <c r="D22"/>
  <c r="M22"/>
  <c r="AE22" s="1"/>
  <c r="A23"/>
  <c r="B23"/>
  <c r="C23"/>
  <c r="D23"/>
  <c r="M23"/>
  <c r="AE23" s="1"/>
  <c r="P23"/>
  <c r="A24"/>
  <c r="B24"/>
  <c r="C24"/>
  <c r="D24"/>
  <c r="M24"/>
  <c r="AE24" s="1"/>
  <c r="P24"/>
  <c r="P25"/>
  <c r="AM25"/>
  <c r="P26"/>
  <c r="R26"/>
  <c r="Q30" s="1"/>
  <c r="O30" s="1"/>
  <c r="AM26"/>
  <c r="A27"/>
  <c r="B27"/>
  <c r="C27"/>
  <c r="D27"/>
  <c r="M27"/>
  <c r="AE27" s="1"/>
  <c r="A28"/>
  <c r="B28"/>
  <c r="C28"/>
  <c r="D28"/>
  <c r="M28"/>
  <c r="AE28" s="1"/>
  <c r="A29"/>
  <c r="B29"/>
  <c r="C29"/>
  <c r="D29"/>
  <c r="M29"/>
  <c r="AE29" s="1"/>
  <c r="A30"/>
  <c r="B30"/>
  <c r="C30"/>
  <c r="D30"/>
  <c r="M30"/>
  <c r="AE30" s="1"/>
  <c r="A31"/>
  <c r="B31"/>
  <c r="C31"/>
  <c r="D31"/>
  <c r="M31"/>
  <c r="AE31" s="1"/>
  <c r="P31"/>
  <c r="A32"/>
  <c r="B32"/>
  <c r="C32"/>
  <c r="D32"/>
  <c r="M32"/>
  <c r="AE32" s="1"/>
  <c r="P32"/>
  <c r="M33"/>
  <c r="P33"/>
  <c r="P34"/>
  <c r="R34"/>
  <c r="Q35" s="1"/>
  <c r="O35" s="1"/>
  <c r="AM34"/>
  <c r="A35"/>
  <c r="B35"/>
  <c r="C35"/>
  <c r="D35"/>
  <c r="M35"/>
  <c r="AE35" s="1"/>
  <c r="A36"/>
  <c r="B36"/>
  <c r="C36"/>
  <c r="D36"/>
  <c r="M36"/>
  <c r="AE36" s="1"/>
  <c r="A37"/>
  <c r="B37"/>
  <c r="C37"/>
  <c r="D37"/>
  <c r="M37"/>
  <c r="AE37" s="1"/>
  <c r="A38"/>
  <c r="B38"/>
  <c r="C38"/>
  <c r="D38"/>
  <c r="M38"/>
  <c r="AE38" s="1"/>
  <c r="A39"/>
  <c r="B39"/>
  <c r="C39"/>
  <c r="D39"/>
  <c r="M39"/>
  <c r="AE39" s="1"/>
  <c r="P39"/>
  <c r="A40"/>
  <c r="B40"/>
  <c r="C40"/>
  <c r="D40"/>
  <c r="M40"/>
  <c r="AE40" s="1"/>
  <c r="P40"/>
  <c r="M41"/>
  <c r="P41"/>
  <c r="P42"/>
  <c r="R42"/>
  <c r="Q43" s="1"/>
  <c r="O43" s="1"/>
  <c r="AM42"/>
  <c r="A43"/>
  <c r="B43"/>
  <c r="C43"/>
  <c r="D43"/>
  <c r="M43"/>
  <c r="AE43" s="1"/>
  <c r="A44"/>
  <c r="B44"/>
  <c r="C44"/>
  <c r="D44"/>
  <c r="M44"/>
  <c r="AE44" s="1"/>
  <c r="A45"/>
  <c r="B45"/>
  <c r="C45"/>
  <c r="D45"/>
  <c r="M45"/>
  <c r="AE45" s="1"/>
  <c r="A46"/>
  <c r="B46"/>
  <c r="C46"/>
  <c r="D46"/>
  <c r="M46"/>
  <c r="AE46" s="1"/>
  <c r="A47"/>
  <c r="B47"/>
  <c r="C47"/>
  <c r="D47"/>
  <c r="M47"/>
  <c r="AE47" s="1"/>
  <c r="P47"/>
  <c r="A48"/>
  <c r="B48"/>
  <c r="C48"/>
  <c r="D48"/>
  <c r="M48"/>
  <c r="AE48" s="1"/>
  <c r="P48"/>
  <c r="M49"/>
  <c r="P49"/>
  <c r="P50"/>
  <c r="R50"/>
  <c r="Q51" s="1"/>
  <c r="O51" s="1"/>
  <c r="AM50"/>
  <c r="A51"/>
  <c r="B51"/>
  <c r="C51"/>
  <c r="D51"/>
  <c r="M51"/>
  <c r="AE51" s="1"/>
  <c r="A52"/>
  <c r="B52"/>
  <c r="C52"/>
  <c r="D52"/>
  <c r="M52"/>
  <c r="AE52" s="1"/>
  <c r="A53"/>
  <c r="B53"/>
  <c r="C53"/>
  <c r="D53"/>
  <c r="M53"/>
  <c r="AE53" s="1"/>
  <c r="A54"/>
  <c r="B54"/>
  <c r="C54"/>
  <c r="D54"/>
  <c r="M54"/>
  <c r="AE54" s="1"/>
  <c r="A55"/>
  <c r="B55"/>
  <c r="C55"/>
  <c r="D55"/>
  <c r="M55"/>
  <c r="AE55" s="1"/>
  <c r="P55"/>
  <c r="A56"/>
  <c r="B56"/>
  <c r="C56"/>
  <c r="D56"/>
  <c r="M56"/>
  <c r="AE56" s="1"/>
  <c r="P56"/>
  <c r="M57"/>
  <c r="P57"/>
  <c r="P58"/>
  <c r="R58"/>
  <c r="Q60" s="1"/>
  <c r="O60" s="1"/>
  <c r="AM58"/>
  <c r="A59"/>
  <c r="B59"/>
  <c r="C59"/>
  <c r="D59"/>
  <c r="M59"/>
  <c r="AE59" s="1"/>
  <c r="A60"/>
  <c r="B60"/>
  <c r="C60"/>
  <c r="D60"/>
  <c r="M60"/>
  <c r="AE60" s="1"/>
  <c r="A61"/>
  <c r="B61"/>
  <c r="C61"/>
  <c r="D61"/>
  <c r="M61"/>
  <c r="AE61" s="1"/>
  <c r="A62"/>
  <c r="B62"/>
  <c r="C62"/>
  <c r="D62"/>
  <c r="M62"/>
  <c r="AE62" s="1"/>
  <c r="A63"/>
  <c r="B63"/>
  <c r="C63"/>
  <c r="D63"/>
  <c r="M63"/>
  <c r="AE63" s="1"/>
  <c r="P63"/>
  <c r="A64"/>
  <c r="B64"/>
  <c r="C64"/>
  <c r="D64"/>
  <c r="M64"/>
  <c r="AE64" s="1"/>
  <c r="P64"/>
  <c r="P65"/>
  <c r="AM65"/>
  <c r="P66"/>
  <c r="R66"/>
  <c r="Q68" s="1"/>
  <c r="O68" s="1"/>
  <c r="AM66"/>
  <c r="A67"/>
  <c r="B67"/>
  <c r="C67"/>
  <c r="D67"/>
  <c r="M67"/>
  <c r="AE67" s="1"/>
  <c r="A68"/>
  <c r="B68"/>
  <c r="C68"/>
  <c r="D68"/>
  <c r="M68"/>
  <c r="AE68" s="1"/>
  <c r="A69"/>
  <c r="B69"/>
  <c r="C69"/>
  <c r="D69"/>
  <c r="M69"/>
  <c r="AE69" s="1"/>
  <c r="A70"/>
  <c r="B70"/>
  <c r="C70"/>
  <c r="D70"/>
  <c r="M70"/>
  <c r="AE70" s="1"/>
  <c r="A71"/>
  <c r="B71"/>
  <c r="C71"/>
  <c r="D71"/>
  <c r="M71"/>
  <c r="AE71" s="1"/>
  <c r="A72"/>
  <c r="B72"/>
  <c r="C72"/>
  <c r="D72"/>
  <c r="M72"/>
  <c r="AE72" s="1"/>
  <c r="A76"/>
  <c r="B76"/>
  <c r="C76"/>
  <c r="D76"/>
  <c r="E76"/>
  <c r="K76"/>
  <c r="M76"/>
  <c r="N76" s="1"/>
  <c r="AF76"/>
  <c r="A77"/>
  <c r="B77"/>
  <c r="C77"/>
  <c r="D77"/>
  <c r="E77"/>
  <c r="K77"/>
  <c r="M77"/>
  <c r="N77" s="1"/>
  <c r="AF77"/>
  <c r="A78"/>
  <c r="B78"/>
  <c r="C78"/>
  <c r="D78"/>
  <c r="E78"/>
  <c r="K78"/>
  <c r="M78"/>
  <c r="N78" s="1"/>
  <c r="AF78"/>
  <c r="A79"/>
  <c r="B79"/>
  <c r="C79"/>
  <c r="D79"/>
  <c r="E79"/>
  <c r="K79"/>
  <c r="M79"/>
  <c r="N79" s="1"/>
  <c r="AF79"/>
  <c r="A80"/>
  <c r="B80"/>
  <c r="C80"/>
  <c r="D80"/>
  <c r="E80"/>
  <c r="K80"/>
  <c r="M80"/>
  <c r="N80" s="1"/>
  <c r="AF80"/>
  <c r="A81"/>
  <c r="B81"/>
  <c r="C81"/>
  <c r="D81"/>
  <c r="E81"/>
  <c r="K81"/>
  <c r="M81"/>
  <c r="N81" s="1"/>
  <c r="AF81"/>
  <c r="A82"/>
  <c r="B82"/>
  <c r="C82"/>
  <c r="D82"/>
  <c r="E82"/>
  <c r="K82"/>
  <c r="M82"/>
  <c r="N82" s="1"/>
  <c r="AF82"/>
  <c r="A83"/>
  <c r="B83"/>
  <c r="C83"/>
  <c r="D83"/>
  <c r="E83"/>
  <c r="K83"/>
  <c r="M83"/>
  <c r="N83" s="1"/>
  <c r="AF83"/>
  <c r="AM84"/>
  <c r="AM85"/>
  <c r="AM86"/>
  <c r="A87"/>
  <c r="B87"/>
  <c r="C87"/>
  <c r="D87"/>
  <c r="E87"/>
  <c r="K87"/>
  <c r="M87"/>
  <c r="AI87" s="1"/>
  <c r="AF87"/>
  <c r="A88"/>
  <c r="B88"/>
  <c r="C88"/>
  <c r="D88"/>
  <c r="E88"/>
  <c r="K88"/>
  <c r="M88"/>
  <c r="AF88"/>
  <c r="A89"/>
  <c r="B89"/>
  <c r="C89"/>
  <c r="D89"/>
  <c r="E89"/>
  <c r="K89"/>
  <c r="M89"/>
  <c r="AI89" s="1"/>
  <c r="AF89"/>
  <c r="A90"/>
  <c r="B90"/>
  <c r="C90"/>
  <c r="D90"/>
  <c r="E90"/>
  <c r="K90"/>
  <c r="M90"/>
  <c r="AI90" s="1"/>
  <c r="AF90"/>
  <c r="AM91"/>
  <c r="AM92"/>
  <c r="AM93"/>
  <c r="A94"/>
  <c r="B94"/>
  <c r="C94"/>
  <c r="D94"/>
  <c r="E94"/>
  <c r="K94"/>
  <c r="M94"/>
  <c r="N94" s="1"/>
  <c r="AF94"/>
  <c r="A95"/>
  <c r="B95"/>
  <c r="C95"/>
  <c r="D95"/>
  <c r="E95"/>
  <c r="K95"/>
  <c r="J95" s="1"/>
  <c r="M95"/>
  <c r="N95" s="1"/>
  <c r="AF95"/>
  <c r="AM96"/>
  <c r="AM97"/>
  <c r="AF98"/>
  <c r="AM98"/>
  <c r="A99"/>
  <c r="B99"/>
  <c r="C99"/>
  <c r="D99"/>
  <c r="E99"/>
  <c r="K99"/>
  <c r="M99"/>
  <c r="AI99" s="1"/>
  <c r="AM100"/>
  <c r="AF101"/>
  <c r="AM101"/>
  <c r="AM102"/>
  <c r="A103"/>
  <c r="B103"/>
  <c r="C103"/>
  <c r="D103"/>
  <c r="E103"/>
  <c r="M103"/>
  <c r="AG101" s="1"/>
  <c r="K14" i="9"/>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K14" i="16"/>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K14" i="18"/>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K14" i="24"/>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K14" i="21"/>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K14" i="17"/>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K14" i="10"/>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K14" i="23"/>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K14" i="15"/>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K14" i="14"/>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Q16" i="30"/>
  <c r="B17"/>
  <c r="C17"/>
  <c r="AF17" s="1"/>
  <c r="B18"/>
  <c r="C18"/>
  <c r="B19"/>
  <c r="C19"/>
  <c r="B20"/>
  <c r="C20"/>
  <c r="Q24"/>
  <c r="B25"/>
  <c r="C25"/>
  <c r="AF25" s="1"/>
  <c r="B26"/>
  <c r="C26"/>
  <c r="B27"/>
  <c r="C27"/>
  <c r="B28"/>
  <c r="C28"/>
  <c r="Q32"/>
  <c r="B33"/>
  <c r="B34"/>
  <c r="B35"/>
  <c r="B36"/>
  <c r="Q40"/>
  <c r="B41"/>
  <c r="C41"/>
  <c r="B42"/>
  <c r="C42"/>
  <c r="B43"/>
  <c r="C43"/>
  <c r="B44"/>
  <c r="C44"/>
  <c r="Q48"/>
  <c r="B49"/>
  <c r="C49"/>
  <c r="B50"/>
  <c r="C50"/>
  <c r="B51"/>
  <c r="C51"/>
  <c r="B52"/>
  <c r="C52"/>
  <c r="Q56"/>
  <c r="B57"/>
  <c r="C57"/>
  <c r="B58"/>
  <c r="C58"/>
  <c r="B59"/>
  <c r="C59"/>
  <c r="B60"/>
  <c r="C60"/>
  <c r="Q64"/>
  <c r="B65"/>
  <c r="C65"/>
  <c r="B66"/>
  <c r="C66"/>
  <c r="B67"/>
  <c r="C67"/>
  <c r="B68"/>
  <c r="C68"/>
  <c r="Q72"/>
  <c r="B73"/>
  <c r="C73"/>
  <c r="B74"/>
  <c r="C74"/>
  <c r="B75"/>
  <c r="C75"/>
  <c r="B76"/>
  <c r="C76"/>
  <c r="AD1" i="4"/>
  <c r="AE1"/>
  <c r="AF1"/>
  <c r="AG1"/>
  <c r="AH1"/>
  <c r="AI1"/>
  <c r="AJ1"/>
  <c r="AK1"/>
  <c r="AL1"/>
  <c r="AM1"/>
  <c r="AN1"/>
  <c r="A66"/>
  <c r="A71"/>
  <c r="A74"/>
  <c r="K14" i="12"/>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G4" i="31"/>
  <c r="F11" i="2" s="1"/>
  <c r="I4" i="31"/>
  <c r="J11" i="2" s="1"/>
  <c r="G5" i="31"/>
  <c r="F12" i="2" s="1"/>
  <c r="I5" i="31"/>
  <c r="J12" i="2" s="1"/>
  <c r="G6" i="31"/>
  <c r="F13" i="2" s="1"/>
  <c r="I6" i="31"/>
  <c r="J13" i="2" s="1"/>
  <c r="G7" i="31"/>
  <c r="F14" i="2" s="1"/>
  <c r="I7" i="31"/>
  <c r="J14" i="2" s="1"/>
  <c r="G8" i="31"/>
  <c r="F15" i="2" s="1"/>
  <c r="I8" i="31"/>
  <c r="J15" i="2" s="1"/>
  <c r="G9" i="31"/>
  <c r="F16" i="2" s="1"/>
  <c r="I9" i="31"/>
  <c r="J16" i="2" s="1"/>
  <c r="G12" i="31"/>
  <c r="F19" i="2" s="1"/>
  <c r="I12" i="31"/>
  <c r="J19" i="2" s="1"/>
  <c r="G13" i="31"/>
  <c r="F20" i="2" s="1"/>
  <c r="I13" i="31"/>
  <c r="J20" i="2" s="1"/>
  <c r="G15" i="31"/>
  <c r="F21" i="2" s="1"/>
  <c r="J21"/>
  <c r="G14" i="31"/>
  <c r="F22" i="2" s="1"/>
  <c r="I14" i="31"/>
  <c r="J22" i="2" s="1"/>
  <c r="G16" i="31"/>
  <c r="F23" i="2" s="1"/>
  <c r="I16" i="31"/>
  <c r="J23" i="2" s="1"/>
  <c r="G17" i="31"/>
  <c r="F24" i="2" s="1"/>
  <c r="I17" i="31"/>
  <c r="J24" i="2" s="1"/>
  <c r="G20" i="31"/>
  <c r="G21"/>
  <c r="J28" i="2"/>
  <c r="G22" i="31"/>
  <c r="G23"/>
  <c r="J30" i="2"/>
  <c r="G24" i="31"/>
  <c r="J31" i="2"/>
  <c r="J32"/>
  <c r="G28" i="31"/>
  <c r="F35" i="2" s="1"/>
  <c r="I28" i="31"/>
  <c r="J35" i="2" s="1"/>
  <c r="G29" i="31"/>
  <c r="F36" i="2" s="1"/>
  <c r="I29" i="31"/>
  <c r="J36" i="2" s="1"/>
  <c r="G30" i="31"/>
  <c r="F37" i="2" s="1"/>
  <c r="I30" i="31"/>
  <c r="J37" i="2" s="1"/>
  <c r="G31" i="31"/>
  <c r="F38" i="2" s="1"/>
  <c r="I31" i="31"/>
  <c r="J38" i="2" s="1"/>
  <c r="G32" i="31"/>
  <c r="I32"/>
  <c r="J39" i="2" s="1"/>
  <c r="G33" i="31"/>
  <c r="I33"/>
  <c r="J40" i="2" s="1"/>
  <c r="G36" i="31"/>
  <c r="F43" i="2" s="1"/>
  <c r="I36" i="31"/>
  <c r="G37"/>
  <c r="I37"/>
  <c r="J44" i="2" s="1"/>
  <c r="G38" i="31"/>
  <c r="F45" i="2" s="1"/>
  <c r="I38" i="31"/>
  <c r="G39"/>
  <c r="I39"/>
  <c r="J46" i="2" s="1"/>
  <c r="G40" i="31"/>
  <c r="I40"/>
  <c r="J47" i="2" s="1"/>
  <c r="G41" i="31"/>
  <c r="I41"/>
  <c r="J48" i="2" s="1"/>
  <c r="G44" i="31"/>
  <c r="I44"/>
  <c r="J51" i="2" s="1"/>
  <c r="G45" i="31"/>
  <c r="I45"/>
  <c r="J52" i="2" s="1"/>
  <c r="G46" i="31"/>
  <c r="I46"/>
  <c r="J53" i="2" s="1"/>
  <c r="G47" i="31"/>
  <c r="I47"/>
  <c r="J54" i="2" s="1"/>
  <c r="G48" i="31"/>
  <c r="I48"/>
  <c r="J55" i="2" s="1"/>
  <c r="G49" i="31"/>
  <c r="I49"/>
  <c r="J56" i="2" s="1"/>
  <c r="G52" i="31"/>
  <c r="I52"/>
  <c r="J59" i="2" s="1"/>
  <c r="G53" i="31"/>
  <c r="I53"/>
  <c r="J60" i="2" s="1"/>
  <c r="G54" i="31"/>
  <c r="I54"/>
  <c r="J61" i="2" s="1"/>
  <c r="G55" i="31"/>
  <c r="I55"/>
  <c r="J62" i="2" s="1"/>
  <c r="G56" i="31"/>
  <c r="I56"/>
  <c r="J63" i="2" s="1"/>
  <c r="G57" i="31"/>
  <c r="I57"/>
  <c r="J64" i="2" s="1"/>
  <c r="G60" i="31"/>
  <c r="I60"/>
  <c r="J67" i="2" s="1"/>
  <c r="G61" i="31"/>
  <c r="I61"/>
  <c r="J68" i="2" s="1"/>
  <c r="G62" i="31"/>
  <c r="I62"/>
  <c r="J69" i="2" s="1"/>
  <c r="G63" i="31"/>
  <c r="I63"/>
  <c r="J70" i="2" s="1"/>
  <c r="G64" i="31"/>
  <c r="I64"/>
  <c r="J71" i="2" s="1"/>
  <c r="G65" i="31"/>
  <c r="I65"/>
  <c r="J72" i="2" s="1"/>
  <c r="G69" i="31"/>
  <c r="I69"/>
  <c r="G70"/>
  <c r="I70"/>
  <c r="G71"/>
  <c r="I71"/>
  <c r="G72"/>
  <c r="I72"/>
  <c r="G73"/>
  <c r="I73"/>
  <c r="G74"/>
  <c r="I74"/>
  <c r="G75"/>
  <c r="I75"/>
  <c r="G76"/>
  <c r="I76"/>
  <c r="G80"/>
  <c r="I80"/>
  <c r="G81"/>
  <c r="I81"/>
  <c r="G82"/>
  <c r="I82"/>
  <c r="G83"/>
  <c r="I83"/>
  <c r="G92"/>
  <c r="I92"/>
  <c r="G96"/>
  <c r="I96"/>
  <c r="K14" i="22"/>
  <c r="K15"/>
  <c r="K16"/>
  <c r="K17"/>
  <c r="K18"/>
  <c r="K19"/>
  <c r="K20"/>
  <c r="M20"/>
  <c r="O20"/>
  <c r="K22"/>
  <c r="K23"/>
  <c r="K24"/>
  <c r="K25"/>
  <c r="K26"/>
  <c r="K27"/>
  <c r="K28"/>
  <c r="M28"/>
  <c r="O28"/>
  <c r="K30"/>
  <c r="K31"/>
  <c r="K32"/>
  <c r="K33"/>
  <c r="K34"/>
  <c r="K35"/>
  <c r="K36"/>
  <c r="M36"/>
  <c r="O36"/>
  <c r="K38"/>
  <c r="K39"/>
  <c r="K40"/>
  <c r="K41"/>
  <c r="K42"/>
  <c r="K43"/>
  <c r="K44"/>
  <c r="M44"/>
  <c r="O44"/>
  <c r="K46"/>
  <c r="K47"/>
  <c r="K48"/>
  <c r="K49"/>
  <c r="K50"/>
  <c r="K51"/>
  <c r="K52"/>
  <c r="M52"/>
  <c r="O52"/>
  <c r="K54"/>
  <c r="K55"/>
  <c r="K56"/>
  <c r="K57"/>
  <c r="K58"/>
  <c r="K59"/>
  <c r="K60"/>
  <c r="M60"/>
  <c r="O60"/>
  <c r="K62"/>
  <c r="K63"/>
  <c r="K64"/>
  <c r="K65"/>
  <c r="K66"/>
  <c r="K67"/>
  <c r="K68"/>
  <c r="M68"/>
  <c r="O68"/>
  <c r="K70"/>
  <c r="K71"/>
  <c r="K72"/>
  <c r="K73"/>
  <c r="K74"/>
  <c r="K75"/>
  <c r="K76"/>
  <c r="M76"/>
  <c r="O76"/>
  <c r="K78"/>
  <c r="K79"/>
  <c r="K80"/>
  <c r="K81"/>
  <c r="K82"/>
  <c r="K83"/>
  <c r="K84"/>
  <c r="K85"/>
  <c r="K86"/>
  <c r="M86"/>
  <c r="O86"/>
  <c r="K88"/>
  <c r="K89"/>
  <c r="K90"/>
  <c r="K91"/>
  <c r="K92"/>
  <c r="M92"/>
  <c r="O92"/>
  <c r="K94"/>
  <c r="K95"/>
  <c r="K96"/>
  <c r="M96"/>
  <c r="O96"/>
  <c r="K98"/>
  <c r="K99"/>
  <c r="M99"/>
  <c r="O99"/>
  <c r="K101"/>
  <c r="J94" i="2" l="1"/>
  <c r="Q12"/>
  <c r="O12" s="1"/>
  <c r="F94"/>
  <c r="AM30"/>
  <c r="AF68" i="30"/>
  <c r="AF67"/>
  <c r="AF66"/>
  <c r="AF65"/>
  <c r="AF58"/>
  <c r="AF57"/>
  <c r="AF76"/>
  <c r="AF75"/>
  <c r="AF74"/>
  <c r="AF73"/>
  <c r="AF60"/>
  <c r="AF59"/>
  <c r="AF52"/>
  <c r="AF51"/>
  <c r="AF50"/>
  <c r="AF49"/>
  <c r="AF44"/>
  <c r="AF43"/>
  <c r="AF42"/>
  <c r="AF41"/>
  <c r="L25" i="11"/>
  <c r="M25" s="1"/>
  <c r="AE21" i="2"/>
  <c r="AF26" i="30"/>
  <c r="AG24"/>
  <c r="AL24" s="1"/>
  <c r="AQ24" s="1"/>
  <c r="AF20"/>
  <c r="AF19"/>
  <c r="AF28"/>
  <c r="AF27"/>
  <c r="AF18"/>
  <c r="AG16"/>
  <c r="AL16" s="1"/>
  <c r="AQ16" s="1"/>
  <c r="L14" i="11"/>
  <c r="L15"/>
  <c r="L16"/>
  <c r="L17"/>
  <c r="L30"/>
  <c r="L31"/>
  <c r="L32"/>
  <c r="L33"/>
  <c r="L34"/>
  <c r="L35"/>
  <c r="L46"/>
  <c r="L47"/>
  <c r="L48"/>
  <c r="L49"/>
  <c r="L50"/>
  <c r="L51"/>
  <c r="L64"/>
  <c r="L65"/>
  <c r="L66"/>
  <c r="L67"/>
  <c r="L78"/>
  <c r="L79"/>
  <c r="L80"/>
  <c r="L81"/>
  <c r="L82"/>
  <c r="L83"/>
  <c r="L84"/>
  <c r="L85"/>
  <c r="L88"/>
  <c r="L89"/>
  <c r="L91"/>
  <c r="L22"/>
  <c r="L23"/>
  <c r="L26"/>
  <c r="L27"/>
  <c r="L38"/>
  <c r="L39"/>
  <c r="L40"/>
  <c r="L41"/>
  <c r="L42"/>
  <c r="L43"/>
  <c r="L54"/>
  <c r="L55"/>
  <c r="L56"/>
  <c r="L57"/>
  <c r="L58"/>
  <c r="L59"/>
  <c r="L72"/>
  <c r="L73"/>
  <c r="L74"/>
  <c r="L75"/>
  <c r="L90"/>
  <c r="L18"/>
  <c r="L19"/>
  <c r="L24"/>
  <c r="L71"/>
  <c r="L70"/>
  <c r="L63"/>
  <c r="L94"/>
  <c r="L95"/>
  <c r="L101"/>
  <c r="L98"/>
  <c r="L62"/>
  <c r="L99" i="6"/>
  <c r="L92"/>
  <c r="L91"/>
  <c r="L90"/>
  <c r="L89"/>
  <c r="L76"/>
  <c r="L75"/>
  <c r="L74"/>
  <c r="L73"/>
  <c r="L72"/>
  <c r="L71"/>
  <c r="L60"/>
  <c r="L59"/>
  <c r="L58"/>
  <c r="L57"/>
  <c r="L52"/>
  <c r="L51"/>
  <c r="L50"/>
  <c r="L49"/>
  <c r="L48"/>
  <c r="L44"/>
  <c r="L43"/>
  <c r="L42"/>
  <c r="L41"/>
  <c r="L36"/>
  <c r="L35"/>
  <c r="L34"/>
  <c r="L33"/>
  <c r="L32"/>
  <c r="L28"/>
  <c r="L27"/>
  <c r="L26"/>
  <c r="L25"/>
  <c r="L20"/>
  <c r="L17"/>
  <c r="L16"/>
  <c r="L19"/>
  <c r="L18"/>
  <c r="L15"/>
  <c r="L102"/>
  <c r="L96"/>
  <c r="L95"/>
  <c r="L86"/>
  <c r="L85"/>
  <c r="L84"/>
  <c r="L83"/>
  <c r="L82"/>
  <c r="L81"/>
  <c r="L80"/>
  <c r="L79"/>
  <c r="L68"/>
  <c r="L67"/>
  <c r="L66"/>
  <c r="L65"/>
  <c r="L64"/>
  <c r="L63"/>
  <c r="L56"/>
  <c r="L55"/>
  <c r="L47"/>
  <c r="L40"/>
  <c r="L39"/>
  <c r="L31"/>
  <c r="L24"/>
  <c r="L23"/>
  <c r="L98" i="43"/>
  <c r="L91"/>
  <c r="L90"/>
  <c r="L89"/>
  <c r="L88"/>
  <c r="L75"/>
  <c r="L74"/>
  <c r="L73"/>
  <c r="L72"/>
  <c r="L71"/>
  <c r="L70"/>
  <c r="L59"/>
  <c r="L58"/>
  <c r="L57"/>
  <c r="L56"/>
  <c r="L51"/>
  <c r="L50"/>
  <c r="L49"/>
  <c r="L48"/>
  <c r="L47"/>
  <c r="L43"/>
  <c r="L42"/>
  <c r="L41"/>
  <c r="L40"/>
  <c r="L35"/>
  <c r="L34"/>
  <c r="L33"/>
  <c r="L32"/>
  <c r="L31"/>
  <c r="L27"/>
  <c r="L26"/>
  <c r="L25"/>
  <c r="L24"/>
  <c r="L19"/>
  <c r="L16"/>
  <c r="L15"/>
  <c r="L98" i="40"/>
  <c r="L91"/>
  <c r="L90"/>
  <c r="L89"/>
  <c r="L88"/>
  <c r="L75"/>
  <c r="L74"/>
  <c r="L73"/>
  <c r="L72"/>
  <c r="L71"/>
  <c r="L70"/>
  <c r="L59"/>
  <c r="L58"/>
  <c r="L57"/>
  <c r="L56"/>
  <c r="L51"/>
  <c r="L50"/>
  <c r="L49"/>
  <c r="L48"/>
  <c r="L47"/>
  <c r="L43"/>
  <c r="L42"/>
  <c r="L41"/>
  <c r="L40"/>
  <c r="L35"/>
  <c r="L34"/>
  <c r="L33"/>
  <c r="L32"/>
  <c r="L31"/>
  <c r="L27"/>
  <c r="L26"/>
  <c r="L25"/>
  <c r="L24"/>
  <c r="L19"/>
  <c r="L16"/>
  <c r="L15"/>
  <c r="L101" i="43"/>
  <c r="L95"/>
  <c r="L94"/>
  <c r="L85"/>
  <c r="L84"/>
  <c r="L83"/>
  <c r="L82"/>
  <c r="L81"/>
  <c r="L80"/>
  <c r="L79"/>
  <c r="L78"/>
  <c r="L67"/>
  <c r="L66"/>
  <c r="L65"/>
  <c r="L64"/>
  <c r="L63"/>
  <c r="L62"/>
  <c r="L55"/>
  <c r="L54"/>
  <c r="L46"/>
  <c r="L39"/>
  <c r="L38"/>
  <c r="L30"/>
  <c r="L23"/>
  <c r="L22"/>
  <c r="L18"/>
  <c r="L17"/>
  <c r="L14"/>
  <c r="L101" i="40"/>
  <c r="L95"/>
  <c r="L94"/>
  <c r="L85"/>
  <c r="L84"/>
  <c r="L83"/>
  <c r="L82"/>
  <c r="L81"/>
  <c r="L80"/>
  <c r="L79"/>
  <c r="L78"/>
  <c r="L67"/>
  <c r="L66"/>
  <c r="L65"/>
  <c r="L64"/>
  <c r="L63"/>
  <c r="L62"/>
  <c r="L55"/>
  <c r="L54"/>
  <c r="L46"/>
  <c r="L39"/>
  <c r="L38"/>
  <c r="L30"/>
  <c r="L23"/>
  <c r="L22"/>
  <c r="L18"/>
  <c r="L17"/>
  <c r="L14"/>
  <c r="L98" i="39"/>
  <c r="L85"/>
  <c r="L73"/>
  <c r="L72"/>
  <c r="L67"/>
  <c r="L66"/>
  <c r="L65"/>
  <c r="L64"/>
  <c r="L63"/>
  <c r="L62"/>
  <c r="L59"/>
  <c r="L58"/>
  <c r="L51"/>
  <c r="L48"/>
  <c r="L47"/>
  <c r="L46"/>
  <c r="L43"/>
  <c r="L42"/>
  <c r="L35"/>
  <c r="L30"/>
  <c r="L23"/>
  <c r="L22"/>
  <c r="L18"/>
  <c r="L17"/>
  <c r="L16"/>
  <c r="L15"/>
  <c r="L101" i="38"/>
  <c r="L95"/>
  <c r="L94"/>
  <c r="L91"/>
  <c r="L90"/>
  <c r="L85"/>
  <c r="L84"/>
  <c r="L83"/>
  <c r="L82"/>
  <c r="L81"/>
  <c r="L80"/>
  <c r="L79"/>
  <c r="L78"/>
  <c r="L75"/>
  <c r="L74"/>
  <c r="L71"/>
  <c r="L70"/>
  <c r="L55"/>
  <c r="L54"/>
  <c r="L46"/>
  <c r="L39"/>
  <c r="L38"/>
  <c r="L30"/>
  <c r="L23"/>
  <c r="L22"/>
  <c r="L18"/>
  <c r="L17"/>
  <c r="L16"/>
  <c r="L15"/>
  <c r="L101" i="37"/>
  <c r="L40"/>
  <c r="L33"/>
  <c r="L24"/>
  <c r="L22"/>
  <c r="L16"/>
  <c r="L14"/>
  <c r="L101" i="39"/>
  <c r="L95"/>
  <c r="L94"/>
  <c r="L91"/>
  <c r="L90"/>
  <c r="L89"/>
  <c r="L88"/>
  <c r="L84"/>
  <c r="L83"/>
  <c r="L82"/>
  <c r="L81"/>
  <c r="L80"/>
  <c r="L79"/>
  <c r="L78"/>
  <c r="L75"/>
  <c r="L74"/>
  <c r="L71"/>
  <c r="L70"/>
  <c r="L57"/>
  <c r="L56"/>
  <c r="L55"/>
  <c r="L54"/>
  <c r="L50"/>
  <c r="L49"/>
  <c r="L41"/>
  <c r="L40"/>
  <c r="L39"/>
  <c r="L38"/>
  <c r="L34"/>
  <c r="L33"/>
  <c r="L32"/>
  <c r="L31"/>
  <c r="L27"/>
  <c r="L26"/>
  <c r="L25"/>
  <c r="L24"/>
  <c r="L19"/>
  <c r="L14"/>
  <c r="L98" i="38"/>
  <c r="L89"/>
  <c r="L88"/>
  <c r="L73"/>
  <c r="L72"/>
  <c r="L67"/>
  <c r="L66"/>
  <c r="L65"/>
  <c r="L64"/>
  <c r="L63"/>
  <c r="L62"/>
  <c r="L59"/>
  <c r="L58"/>
  <c r="L57"/>
  <c r="L56"/>
  <c r="L51"/>
  <c r="L50"/>
  <c r="L49"/>
  <c r="L48"/>
  <c r="L47"/>
  <c r="L43"/>
  <c r="L42"/>
  <c r="L41"/>
  <c r="L40"/>
  <c r="L35"/>
  <c r="L34"/>
  <c r="L33"/>
  <c r="L32"/>
  <c r="L31"/>
  <c r="L27"/>
  <c r="L26"/>
  <c r="L25"/>
  <c r="L24"/>
  <c r="L19"/>
  <c r="L14"/>
  <c r="L98" i="37"/>
  <c r="L89"/>
  <c r="L88"/>
  <c r="L73"/>
  <c r="L72"/>
  <c r="L67"/>
  <c r="L66"/>
  <c r="L65"/>
  <c r="L64"/>
  <c r="L63"/>
  <c r="L62"/>
  <c r="L59"/>
  <c r="L58"/>
  <c r="L51"/>
  <c r="L48"/>
  <c r="L47"/>
  <c r="L46"/>
  <c r="L43"/>
  <c r="L42"/>
  <c r="L35"/>
  <c r="L32"/>
  <c r="L31"/>
  <c r="L30"/>
  <c r="L27"/>
  <c r="L26"/>
  <c r="L19"/>
  <c r="L18"/>
  <c r="L17"/>
  <c r="L95"/>
  <c r="L94"/>
  <c r="L91"/>
  <c r="L90"/>
  <c r="L85"/>
  <c r="L84"/>
  <c r="L83"/>
  <c r="L82"/>
  <c r="L81"/>
  <c r="L80"/>
  <c r="L79"/>
  <c r="L78"/>
  <c r="L75"/>
  <c r="L74"/>
  <c r="L71"/>
  <c r="L70"/>
  <c r="L57"/>
  <c r="L56"/>
  <c r="L55"/>
  <c r="L54"/>
  <c r="L50"/>
  <c r="L49"/>
  <c r="L41"/>
  <c r="L39"/>
  <c r="L38"/>
  <c r="L34"/>
  <c r="L25"/>
  <c r="L23"/>
  <c r="L15"/>
  <c r="Q19" i="2"/>
  <c r="O19" s="1"/>
  <c r="Q13"/>
  <c r="O13" s="1"/>
  <c r="B34" i="3"/>
  <c r="B18"/>
  <c r="B2"/>
  <c r="B34" i="4"/>
  <c r="AC34" s="1"/>
  <c r="B2"/>
  <c r="AC2" s="1"/>
  <c r="B38"/>
  <c r="AC38" s="1"/>
  <c r="B24" i="3"/>
  <c r="B35"/>
  <c r="B19"/>
  <c r="B3"/>
  <c r="B35" i="4"/>
  <c r="AC35" s="1"/>
  <c r="B19"/>
  <c r="AC19" s="1"/>
  <c r="B3"/>
  <c r="AC3" s="1"/>
  <c r="B37" i="3"/>
  <c r="B36"/>
  <c r="B20"/>
  <c r="B4"/>
  <c r="B37" i="4"/>
  <c r="AC37" s="1"/>
  <c r="B20"/>
  <c r="AC20" s="1"/>
  <c r="B4"/>
  <c r="AC4" s="1"/>
  <c r="B21" i="3"/>
  <c r="B5"/>
  <c r="B21" i="4"/>
  <c r="AC21" s="1"/>
  <c r="B5"/>
  <c r="AC5" s="1"/>
  <c r="B38" i="3"/>
  <c r="B23" i="4"/>
  <c r="AC23" s="1"/>
  <c r="B7"/>
  <c r="AC7" s="1"/>
  <c r="B8" i="3"/>
  <c r="B43" i="4"/>
  <c r="AC43" s="1"/>
  <c r="B8"/>
  <c r="AC8" s="1"/>
  <c r="B25" i="3"/>
  <c r="B9"/>
  <c r="B25" i="4"/>
  <c r="AC25" s="1"/>
  <c r="B17"/>
  <c r="AC17" s="1"/>
  <c r="AI80" i="2"/>
  <c r="AM70"/>
  <c r="AM44"/>
  <c r="Q11"/>
  <c r="O11" s="1"/>
  <c r="E59" i="36"/>
  <c r="B1" i="6"/>
  <c r="Q20" i="2"/>
  <c r="O20" s="1"/>
  <c r="Q22"/>
  <c r="O22" s="1"/>
  <c r="Q62"/>
  <c r="O62" s="1"/>
  <c r="Q44"/>
  <c r="O44" s="1"/>
  <c r="Q46"/>
  <c r="O46" s="1"/>
  <c r="F69"/>
  <c r="B32" i="3" s="1"/>
  <c r="F67" i="2"/>
  <c r="B16" i="4" s="1"/>
  <c r="AC16" s="1"/>
  <c r="F71" i="2"/>
  <c r="B56" i="4" s="1"/>
  <c r="AC56" s="1"/>
  <c r="F70" i="2"/>
  <c r="B33" i="3" s="1"/>
  <c r="F72" i="2"/>
  <c r="B55" i="4" s="1"/>
  <c r="AC55" s="1"/>
  <c r="F68" i="2"/>
  <c r="B18" i="4" s="1"/>
  <c r="AC18" s="1"/>
  <c r="F63" i="2"/>
  <c r="B53" i="4" s="1"/>
  <c r="AC53" s="1"/>
  <c r="F64" i="2"/>
  <c r="B46" i="3" s="1"/>
  <c r="F61" i="2"/>
  <c r="B30" i="3" s="1"/>
  <c r="F59" i="2"/>
  <c r="B14" i="3" s="1"/>
  <c r="F60" i="2"/>
  <c r="B15" i="4" s="1"/>
  <c r="AC15" s="1"/>
  <c r="F62" i="2"/>
  <c r="B31" i="3" s="1"/>
  <c r="F53" i="2"/>
  <c r="B28" i="3" s="1"/>
  <c r="F54" i="2"/>
  <c r="B29" i="3" s="1"/>
  <c r="F51" i="2"/>
  <c r="B12" i="4" s="1"/>
  <c r="AC12" s="1"/>
  <c r="F55" i="2"/>
  <c r="B45" i="3" s="1"/>
  <c r="F56" i="2"/>
  <c r="B46" i="4" s="1"/>
  <c r="AC46" s="1"/>
  <c r="F52" i="2"/>
  <c r="B14" i="4" s="1"/>
  <c r="AC14" s="1"/>
  <c r="J45" i="2"/>
  <c r="B26" i="3" s="1"/>
  <c r="F48" i="2"/>
  <c r="B42" i="3" s="1"/>
  <c r="F47" i="2"/>
  <c r="B43" i="3" s="1"/>
  <c r="F46" i="2"/>
  <c r="B27" i="3" s="1"/>
  <c r="F40" i="2"/>
  <c r="B40" i="3" s="1"/>
  <c r="F39" i="2"/>
  <c r="B41" i="3" s="1"/>
  <c r="F30" i="2"/>
  <c r="B24" i="4" s="1"/>
  <c r="AC24" s="1"/>
  <c r="F29" i="2"/>
  <c r="B22" i="3" s="1"/>
  <c r="F27" i="2"/>
  <c r="F31"/>
  <c r="B39" i="3" s="1"/>
  <c r="F28" i="2"/>
  <c r="B7" i="3" s="1"/>
  <c r="F44" i="2"/>
  <c r="B11" i="4" s="1"/>
  <c r="AC11" s="1"/>
  <c r="J43" i="2"/>
  <c r="B10" i="4" s="1"/>
  <c r="AC10" s="1"/>
  <c r="AM51" i="2"/>
  <c r="AM27"/>
  <c r="AM46"/>
  <c r="AM39"/>
  <c r="AM52"/>
  <c r="AM72"/>
  <c r="AM38"/>
  <c r="AM21"/>
  <c r="AM16"/>
  <c r="AM47"/>
  <c r="AM67"/>
  <c r="AM57"/>
  <c r="AM49"/>
  <c r="AM32"/>
  <c r="AM68"/>
  <c r="AM69"/>
  <c r="AM41"/>
  <c r="AI78"/>
  <c r="AM59"/>
  <c r="AI83"/>
  <c r="AM45"/>
  <c r="AM62"/>
  <c r="AM43"/>
  <c r="AM29"/>
  <c r="AI94"/>
  <c r="AI81"/>
  <c r="AM64"/>
  <c r="AM61"/>
  <c r="AM40"/>
  <c r="AM33"/>
  <c r="AI77"/>
  <c r="AM60"/>
  <c r="AM22"/>
  <c r="AM20"/>
  <c r="AM19"/>
  <c r="AM12"/>
  <c r="AM11"/>
  <c r="AM53"/>
  <c r="AM54"/>
  <c r="AM31"/>
  <c r="AM36"/>
  <c r="AM55"/>
  <c r="AM35"/>
  <c r="AM24"/>
  <c r="AM37"/>
  <c r="AM15"/>
  <c r="AM23"/>
  <c r="AM13"/>
  <c r="L14" i="15"/>
  <c r="O14" s="1"/>
  <c r="L16"/>
  <c r="O16" s="1"/>
  <c r="L14" i="22"/>
  <c r="M14" s="1"/>
  <c r="L14" i="14"/>
  <c r="M14" s="1"/>
  <c r="L81" i="15"/>
  <c r="M81" s="1"/>
  <c r="AM28" i="2"/>
  <c r="L17" i="15"/>
  <c r="M17" s="1"/>
  <c r="L85"/>
  <c r="M85" s="1"/>
  <c r="L65"/>
  <c r="M65" s="1"/>
  <c r="L49"/>
  <c r="M49" s="1"/>
  <c r="L33"/>
  <c r="M33" s="1"/>
  <c r="L83" i="14"/>
  <c r="M83" s="1"/>
  <c r="L35"/>
  <c r="O35" s="1"/>
  <c r="L82" i="15"/>
  <c r="O82" s="1"/>
  <c r="L62"/>
  <c r="O62" s="1"/>
  <c r="L46"/>
  <c r="O46" s="1"/>
  <c r="L18"/>
  <c r="O18" s="1"/>
  <c r="AM14" i="2"/>
  <c r="L85" i="22"/>
  <c r="M85" s="1"/>
  <c r="L49"/>
  <c r="M49" s="1"/>
  <c r="L16" i="14"/>
  <c r="M16" s="1"/>
  <c r="L94" i="22"/>
  <c r="M94" s="1"/>
  <c r="L83"/>
  <c r="M83" s="1"/>
  <c r="L79"/>
  <c r="M79" s="1"/>
  <c r="L67"/>
  <c r="M67" s="1"/>
  <c r="L63"/>
  <c r="M63" s="1"/>
  <c r="L51"/>
  <c r="O51" s="1"/>
  <c r="L47"/>
  <c r="M47" s="1"/>
  <c r="L35"/>
  <c r="M35" s="1"/>
  <c r="L31"/>
  <c r="M31" s="1"/>
  <c r="L19"/>
  <c r="O19" s="1"/>
  <c r="L15"/>
  <c r="M15" s="1"/>
  <c r="L101" i="12"/>
  <c r="M101" s="1"/>
  <c r="L82" i="14"/>
  <c r="M82" s="1"/>
  <c r="L78"/>
  <c r="M78" s="1"/>
  <c r="L66"/>
  <c r="M66" s="1"/>
  <c r="L62"/>
  <c r="M62" s="1"/>
  <c r="L50"/>
  <c r="M50" s="1"/>
  <c r="L46"/>
  <c r="M46" s="1"/>
  <c r="L34"/>
  <c r="M34" s="1"/>
  <c r="L30"/>
  <c r="M30" s="1"/>
  <c r="L18"/>
  <c r="M18" s="1"/>
  <c r="L84" i="22"/>
  <c r="M84" s="1"/>
  <c r="L64"/>
  <c r="O64" s="1"/>
  <c r="L48"/>
  <c r="M48" s="1"/>
  <c r="L79" i="14"/>
  <c r="O79" s="1"/>
  <c r="L51"/>
  <c r="O51" s="1"/>
  <c r="L101" i="23"/>
  <c r="O101" s="1"/>
  <c r="L78" i="15"/>
  <c r="O78" s="1"/>
  <c r="L50"/>
  <c r="O50" s="1"/>
  <c r="L34"/>
  <c r="O34" s="1"/>
  <c r="L65" i="22"/>
  <c r="M65" s="1"/>
  <c r="L33"/>
  <c r="M33" s="1"/>
  <c r="L17"/>
  <c r="M17" s="1"/>
  <c r="L84" i="14"/>
  <c r="M84" s="1"/>
  <c r="L94" i="15"/>
  <c r="O94" s="1"/>
  <c r="L83"/>
  <c r="M83" s="1"/>
  <c r="L79"/>
  <c r="M79" s="1"/>
  <c r="L67"/>
  <c r="M67" s="1"/>
  <c r="L63"/>
  <c r="M63" s="1"/>
  <c r="L51"/>
  <c r="M51" s="1"/>
  <c r="L47"/>
  <c r="M47" s="1"/>
  <c r="L35"/>
  <c r="M35" s="1"/>
  <c r="L31"/>
  <c r="M31" s="1"/>
  <c r="L19"/>
  <c r="M19" s="1"/>
  <c r="L15"/>
  <c r="M15" s="1"/>
  <c r="L94" i="14"/>
  <c r="M94" s="1"/>
  <c r="L67"/>
  <c r="O67" s="1"/>
  <c r="L47"/>
  <c r="O47" s="1"/>
  <c r="L19"/>
  <c r="O19" s="1"/>
  <c r="L81" i="22"/>
  <c r="M81" s="1"/>
  <c r="L80" i="14"/>
  <c r="M80" s="1"/>
  <c r="L48"/>
  <c r="M48" s="1"/>
  <c r="L82" i="22"/>
  <c r="M82" s="1"/>
  <c r="L62"/>
  <c r="M62" s="1"/>
  <c r="L46"/>
  <c r="M46" s="1"/>
  <c r="L30"/>
  <c r="M30" s="1"/>
  <c r="L18"/>
  <c r="M18" s="1"/>
  <c r="L85" i="14"/>
  <c r="O85" s="1"/>
  <c r="L81"/>
  <c r="M81" s="1"/>
  <c r="L65"/>
  <c r="O65" s="1"/>
  <c r="L49"/>
  <c r="O49" s="1"/>
  <c r="L33"/>
  <c r="O33" s="1"/>
  <c r="L17"/>
  <c r="O17" s="1"/>
  <c r="L95" i="22"/>
  <c r="M95" s="1"/>
  <c r="L80"/>
  <c r="M80" s="1"/>
  <c r="L32"/>
  <c r="M32" s="1"/>
  <c r="L16"/>
  <c r="M16" s="1"/>
  <c r="L63" i="14"/>
  <c r="O63" s="1"/>
  <c r="L31"/>
  <c r="O31" s="1"/>
  <c r="L15"/>
  <c r="O15" s="1"/>
  <c r="L66" i="15"/>
  <c r="O66" s="1"/>
  <c r="L30"/>
  <c r="O30" s="1"/>
  <c r="L95" i="14"/>
  <c r="M95" s="1"/>
  <c r="L64"/>
  <c r="M64" s="1"/>
  <c r="L32"/>
  <c r="M32" s="1"/>
  <c r="L78" i="22"/>
  <c r="M78" s="1"/>
  <c r="L66"/>
  <c r="M66" s="1"/>
  <c r="L50"/>
  <c r="M50" s="1"/>
  <c r="L34"/>
  <c r="O34" s="1"/>
  <c r="L95" i="15"/>
  <c r="M95" s="1"/>
  <c r="L84"/>
  <c r="O84" s="1"/>
  <c r="L80"/>
  <c r="O80" s="1"/>
  <c r="L64"/>
  <c r="O64" s="1"/>
  <c r="L48"/>
  <c r="O48" s="1"/>
  <c r="L32"/>
  <c r="O32" s="1"/>
  <c r="Q70" i="2"/>
  <c r="O70" s="1"/>
  <c r="Q45"/>
  <c r="O45" s="1"/>
  <c r="L101" i="22"/>
  <c r="M101" s="1"/>
  <c r="L95" i="12"/>
  <c r="M95" s="1"/>
  <c r="L94"/>
  <c r="O94" s="1"/>
  <c r="L85"/>
  <c r="M85" s="1"/>
  <c r="L84"/>
  <c r="O84" s="1"/>
  <c r="L83"/>
  <c r="M83" s="1"/>
  <c r="L82"/>
  <c r="O82" s="1"/>
  <c r="L81"/>
  <c r="M81" s="1"/>
  <c r="L80"/>
  <c r="M80" s="1"/>
  <c r="L79"/>
  <c r="M79" s="1"/>
  <c r="L78"/>
  <c r="M78" s="1"/>
  <c r="L67"/>
  <c r="M67" s="1"/>
  <c r="L66"/>
  <c r="M66" s="1"/>
  <c r="L65"/>
  <c r="M65" s="1"/>
  <c r="L64"/>
  <c r="M64" s="1"/>
  <c r="L63"/>
  <c r="M63" s="1"/>
  <c r="L62"/>
  <c r="M62" s="1"/>
  <c r="L51"/>
  <c r="M51" s="1"/>
  <c r="L50"/>
  <c r="M50" s="1"/>
  <c r="L49"/>
  <c r="M49" s="1"/>
  <c r="L48"/>
  <c r="M48" s="1"/>
  <c r="L47"/>
  <c r="M47" s="1"/>
  <c r="L46"/>
  <c r="M46" s="1"/>
  <c r="L35"/>
  <c r="M35" s="1"/>
  <c r="L34"/>
  <c r="M34" s="1"/>
  <c r="L33"/>
  <c r="M33" s="1"/>
  <c r="L32"/>
  <c r="M32" s="1"/>
  <c r="L31"/>
  <c r="M31" s="1"/>
  <c r="L30"/>
  <c r="M30" s="1"/>
  <c r="L19"/>
  <c r="M19" s="1"/>
  <c r="L18"/>
  <c r="M18" s="1"/>
  <c r="L17"/>
  <c r="M17" s="1"/>
  <c r="L16"/>
  <c r="M16" s="1"/>
  <c r="L15"/>
  <c r="M15" s="1"/>
  <c r="L14"/>
  <c r="M14" s="1"/>
  <c r="L101" i="14"/>
  <c r="M101" s="1"/>
  <c r="L101" i="15"/>
  <c r="M101" s="1"/>
  <c r="L101" i="17"/>
  <c r="M101" s="1"/>
  <c r="N103" i="2"/>
  <c r="O103" s="1"/>
  <c r="AG98"/>
  <c r="AJ95"/>
  <c r="AG95"/>
  <c r="AJ94"/>
  <c r="AG94"/>
  <c r="L35" i="9"/>
  <c r="O35" s="1"/>
  <c r="L33"/>
  <c r="O33" s="1"/>
  <c r="L32"/>
  <c r="M32" s="1"/>
  <c r="L31"/>
  <c r="O31" s="1"/>
  <c r="L34"/>
  <c r="M34" s="1"/>
  <c r="AJ83" i="2"/>
  <c r="AG83"/>
  <c r="AG82"/>
  <c r="AJ81"/>
  <c r="AG81"/>
  <c r="AJ80"/>
  <c r="AG80"/>
  <c r="AG79"/>
  <c r="AJ78"/>
  <c r="AG78"/>
  <c r="AJ77"/>
  <c r="AG77"/>
  <c r="L15" i="9"/>
  <c r="O15" s="1"/>
  <c r="L16"/>
  <c r="M16" s="1"/>
  <c r="L17"/>
  <c r="O17" s="1"/>
  <c r="L18"/>
  <c r="M18" s="1"/>
  <c r="L19"/>
  <c r="O19" s="1"/>
  <c r="L95"/>
  <c r="O95" s="1"/>
  <c r="L22" i="24"/>
  <c r="M22" s="1"/>
  <c r="L23"/>
  <c r="M23" s="1"/>
  <c r="L24"/>
  <c r="M24" s="1"/>
  <c r="L25"/>
  <c r="M25" s="1"/>
  <c r="L26"/>
  <c r="M26" s="1"/>
  <c r="L27"/>
  <c r="M27" s="1"/>
  <c r="L38"/>
  <c r="M38" s="1"/>
  <c r="L39"/>
  <c r="M39" s="1"/>
  <c r="L40"/>
  <c r="M40" s="1"/>
  <c r="L41"/>
  <c r="M41" s="1"/>
  <c r="L42"/>
  <c r="M42" s="1"/>
  <c r="L43"/>
  <c r="M43" s="1"/>
  <c r="L54"/>
  <c r="M54" s="1"/>
  <c r="L55"/>
  <c r="M55" s="1"/>
  <c r="L56"/>
  <c r="M56" s="1"/>
  <c r="L57"/>
  <c r="M57" s="1"/>
  <c r="L58"/>
  <c r="M58" s="1"/>
  <c r="L59"/>
  <c r="M59" s="1"/>
  <c r="L70"/>
  <c r="M70" s="1"/>
  <c r="L71"/>
  <c r="M71" s="1"/>
  <c r="L72"/>
  <c r="M72" s="1"/>
  <c r="L73"/>
  <c r="M73" s="1"/>
  <c r="L74"/>
  <c r="O74" s="1"/>
  <c r="L75"/>
  <c r="M75" s="1"/>
  <c r="L88"/>
  <c r="O88" s="1"/>
  <c r="L89"/>
  <c r="M89" s="1"/>
  <c r="L90"/>
  <c r="O90" s="1"/>
  <c r="L91"/>
  <c r="M91" s="1"/>
  <c r="L98"/>
  <c r="M98" s="1"/>
  <c r="L101" i="21"/>
  <c r="M101" s="1"/>
  <c r="L22" i="17"/>
  <c r="O22" s="1"/>
  <c r="L23"/>
  <c r="M23" s="1"/>
  <c r="L24"/>
  <c r="O24" s="1"/>
  <c r="L25"/>
  <c r="M25" s="1"/>
  <c r="L26"/>
  <c r="M26" s="1"/>
  <c r="L27"/>
  <c r="M27" s="1"/>
  <c r="L38"/>
  <c r="O38" s="1"/>
  <c r="L39"/>
  <c r="M39" s="1"/>
  <c r="L40"/>
  <c r="O40" s="1"/>
  <c r="L41"/>
  <c r="M41" s="1"/>
  <c r="L42"/>
  <c r="O42" s="1"/>
  <c r="L43"/>
  <c r="M43" s="1"/>
  <c r="L54"/>
  <c r="O54" s="1"/>
  <c r="L55"/>
  <c r="M55" s="1"/>
  <c r="L56"/>
  <c r="M56" s="1"/>
  <c r="L57"/>
  <c r="M57" s="1"/>
  <c r="L58"/>
  <c r="M58" s="1"/>
  <c r="L59"/>
  <c r="M59" s="1"/>
  <c r="L70"/>
  <c r="O70" s="1"/>
  <c r="L71"/>
  <c r="M71" s="1"/>
  <c r="L72"/>
  <c r="O72" s="1"/>
  <c r="L73"/>
  <c r="M73" s="1"/>
  <c r="L74"/>
  <c r="O74" s="1"/>
  <c r="L75"/>
  <c r="M75" s="1"/>
  <c r="L88"/>
  <c r="M88" s="1"/>
  <c r="L89"/>
  <c r="M89" s="1"/>
  <c r="L90"/>
  <c r="M90" s="1"/>
  <c r="L91"/>
  <c r="M91" s="1"/>
  <c r="L98"/>
  <c r="M98" s="1"/>
  <c r="L14" i="10"/>
  <c r="M14" s="1"/>
  <c r="L15"/>
  <c r="O15" s="1"/>
  <c r="L16"/>
  <c r="M16" s="1"/>
  <c r="L17"/>
  <c r="O17" s="1"/>
  <c r="L18"/>
  <c r="M18" s="1"/>
  <c r="L19"/>
  <c r="O19" s="1"/>
  <c r="L30"/>
  <c r="M30" s="1"/>
  <c r="L31"/>
  <c r="M31" s="1"/>
  <c r="L32"/>
  <c r="M32" s="1"/>
  <c r="L33"/>
  <c r="M33" s="1"/>
  <c r="L34"/>
  <c r="M34" s="1"/>
  <c r="L35"/>
  <c r="M35" s="1"/>
  <c r="L46"/>
  <c r="M46" s="1"/>
  <c r="L47"/>
  <c r="M47" s="1"/>
  <c r="L48"/>
  <c r="M48" s="1"/>
  <c r="L49"/>
  <c r="M49" s="1"/>
  <c r="L50"/>
  <c r="M50" s="1"/>
  <c r="L51"/>
  <c r="M51" s="1"/>
  <c r="L62"/>
  <c r="M62" s="1"/>
  <c r="L63"/>
  <c r="M63" s="1"/>
  <c r="L64"/>
  <c r="M64" s="1"/>
  <c r="L65"/>
  <c r="M65" s="1"/>
  <c r="L66"/>
  <c r="M66" s="1"/>
  <c r="L67"/>
  <c r="M67" s="1"/>
  <c r="L78"/>
  <c r="M78" s="1"/>
  <c r="L79"/>
  <c r="M79" s="1"/>
  <c r="L80"/>
  <c r="O80" s="1"/>
  <c r="L81"/>
  <c r="M81" s="1"/>
  <c r="L82"/>
  <c r="O82" s="1"/>
  <c r="L83"/>
  <c r="O83" s="1"/>
  <c r="L84"/>
  <c r="O84" s="1"/>
  <c r="L85"/>
  <c r="O85" s="1"/>
  <c r="L94"/>
  <c r="O94" s="1"/>
  <c r="L95"/>
  <c r="M95" s="1"/>
  <c r="L101"/>
  <c r="M101" s="1"/>
  <c r="L22" i="23"/>
  <c r="O22" s="1"/>
  <c r="L23"/>
  <c r="M23" s="1"/>
  <c r="L24"/>
  <c r="O24" s="1"/>
  <c r="L25"/>
  <c r="M25" s="1"/>
  <c r="L26"/>
  <c r="O26" s="1"/>
  <c r="L27"/>
  <c r="M27" s="1"/>
  <c r="L38"/>
  <c r="O38" s="1"/>
  <c r="L39"/>
  <c r="M39" s="1"/>
  <c r="L40"/>
  <c r="O40" s="1"/>
  <c r="L41"/>
  <c r="M41" s="1"/>
  <c r="L42"/>
  <c r="O42" s="1"/>
  <c r="L43"/>
  <c r="M43" s="1"/>
  <c r="L54"/>
  <c r="O54" s="1"/>
  <c r="L55"/>
  <c r="M55" s="1"/>
  <c r="L56"/>
  <c r="O56" s="1"/>
  <c r="L57"/>
  <c r="M57" s="1"/>
  <c r="L58"/>
  <c r="O58" s="1"/>
  <c r="L59"/>
  <c r="M59" s="1"/>
  <c r="L70"/>
  <c r="O70" s="1"/>
  <c r="L71"/>
  <c r="M71" s="1"/>
  <c r="L72"/>
  <c r="O72" s="1"/>
  <c r="L73"/>
  <c r="M73" s="1"/>
  <c r="L74"/>
  <c r="O74" s="1"/>
  <c r="L75"/>
  <c r="M75" s="1"/>
  <c r="L88"/>
  <c r="M88" s="1"/>
  <c r="L89"/>
  <c r="M89" s="1"/>
  <c r="L90"/>
  <c r="O90" s="1"/>
  <c r="L91"/>
  <c r="M91" s="1"/>
  <c r="L98"/>
  <c r="O98" s="1"/>
  <c r="L22" i="15"/>
  <c r="M22" s="1"/>
  <c r="L23"/>
  <c r="O23" s="1"/>
  <c r="L24"/>
  <c r="M24" s="1"/>
  <c r="L25"/>
  <c r="O25" s="1"/>
  <c r="L26"/>
  <c r="M26" s="1"/>
  <c r="L27"/>
  <c r="O27" s="1"/>
  <c r="L38"/>
  <c r="M38" s="1"/>
  <c r="L39"/>
  <c r="O39" s="1"/>
  <c r="L40"/>
  <c r="M40" s="1"/>
  <c r="L41"/>
  <c r="O41" s="1"/>
  <c r="L42"/>
  <c r="M42" s="1"/>
  <c r="L43"/>
  <c r="O43" s="1"/>
  <c r="L54"/>
  <c r="M54" s="1"/>
  <c r="L55"/>
  <c r="O55" s="1"/>
  <c r="L98" i="22"/>
  <c r="M98" s="1"/>
  <c r="L91"/>
  <c r="M91" s="1"/>
  <c r="L90"/>
  <c r="M90" s="1"/>
  <c r="L89"/>
  <c r="M89" s="1"/>
  <c r="L88"/>
  <c r="M88" s="1"/>
  <c r="L75"/>
  <c r="M75" s="1"/>
  <c r="L74"/>
  <c r="M74" s="1"/>
  <c r="L73"/>
  <c r="O73" s="1"/>
  <c r="L72"/>
  <c r="M72" s="1"/>
  <c r="L71"/>
  <c r="M71" s="1"/>
  <c r="L70"/>
  <c r="M70" s="1"/>
  <c r="L59"/>
  <c r="O59" s="1"/>
  <c r="L58"/>
  <c r="M58" s="1"/>
  <c r="L57"/>
  <c r="M57" s="1"/>
  <c r="L56"/>
  <c r="M56" s="1"/>
  <c r="L55"/>
  <c r="M55" s="1"/>
  <c r="L54"/>
  <c r="O54" s="1"/>
  <c r="L43"/>
  <c r="M43" s="1"/>
  <c r="L42"/>
  <c r="M42" s="1"/>
  <c r="L41"/>
  <c r="M41" s="1"/>
  <c r="L40"/>
  <c r="M40" s="1"/>
  <c r="L39"/>
  <c r="M39" s="1"/>
  <c r="L38"/>
  <c r="M38" s="1"/>
  <c r="L27"/>
  <c r="M27" s="1"/>
  <c r="L26"/>
  <c r="M26" s="1"/>
  <c r="L25"/>
  <c r="M25" s="1"/>
  <c r="L24"/>
  <c r="M24" s="1"/>
  <c r="L23"/>
  <c r="M23" s="1"/>
  <c r="L22"/>
  <c r="O22" s="1"/>
  <c r="L98" i="12"/>
  <c r="M98" s="1"/>
  <c r="L91"/>
  <c r="O91" s="1"/>
  <c r="L90"/>
  <c r="M90" s="1"/>
  <c r="L89"/>
  <c r="O89" s="1"/>
  <c r="L88"/>
  <c r="M88" s="1"/>
  <c r="L75"/>
  <c r="M75" s="1"/>
  <c r="L74"/>
  <c r="M74" s="1"/>
  <c r="L73"/>
  <c r="M73" s="1"/>
  <c r="L72"/>
  <c r="M72" s="1"/>
  <c r="L71"/>
  <c r="M71" s="1"/>
  <c r="L70"/>
  <c r="M70" s="1"/>
  <c r="L59"/>
  <c r="M59" s="1"/>
  <c r="L58"/>
  <c r="M58" s="1"/>
  <c r="L57"/>
  <c r="M57" s="1"/>
  <c r="L56"/>
  <c r="M56" s="1"/>
  <c r="L55"/>
  <c r="M55" s="1"/>
  <c r="L54"/>
  <c r="M54" s="1"/>
  <c r="L43"/>
  <c r="M43" s="1"/>
  <c r="L42"/>
  <c r="M42" s="1"/>
  <c r="L41"/>
  <c r="M41" s="1"/>
  <c r="L40"/>
  <c r="M40" s="1"/>
  <c r="L39"/>
  <c r="M39" s="1"/>
  <c r="L38"/>
  <c r="M38" s="1"/>
  <c r="L27"/>
  <c r="M27" s="1"/>
  <c r="L26"/>
  <c r="M26" s="1"/>
  <c r="L25"/>
  <c r="M25" s="1"/>
  <c r="L24"/>
  <c r="M24" s="1"/>
  <c r="L23"/>
  <c r="M23" s="1"/>
  <c r="L22"/>
  <c r="M22" s="1"/>
  <c r="L98" i="14"/>
  <c r="M98" s="1"/>
  <c r="L91"/>
  <c r="M91" s="1"/>
  <c r="L90"/>
  <c r="M90" s="1"/>
  <c r="L89"/>
  <c r="M89" s="1"/>
  <c r="L88"/>
  <c r="M88" s="1"/>
  <c r="L75"/>
  <c r="M75" s="1"/>
  <c r="L74"/>
  <c r="O74" s="1"/>
  <c r="L73"/>
  <c r="M73" s="1"/>
  <c r="L72"/>
  <c r="O72" s="1"/>
  <c r="L71"/>
  <c r="M71" s="1"/>
  <c r="L70"/>
  <c r="O70" s="1"/>
  <c r="L59"/>
  <c r="M59" s="1"/>
  <c r="L58"/>
  <c r="O58" s="1"/>
  <c r="L57"/>
  <c r="M57" s="1"/>
  <c r="L56"/>
  <c r="O56" s="1"/>
  <c r="L55"/>
  <c r="M55" s="1"/>
  <c r="L54"/>
  <c r="O54" s="1"/>
  <c r="L43"/>
  <c r="M43" s="1"/>
  <c r="L42"/>
  <c r="O42" s="1"/>
  <c r="L41"/>
  <c r="M41" s="1"/>
  <c r="L40"/>
  <c r="O40" s="1"/>
  <c r="L39"/>
  <c r="M39" s="1"/>
  <c r="L38"/>
  <c r="O38" s="1"/>
  <c r="L27"/>
  <c r="M27" s="1"/>
  <c r="L26"/>
  <c r="O26" s="1"/>
  <c r="L25"/>
  <c r="M25" s="1"/>
  <c r="L24"/>
  <c r="O24" s="1"/>
  <c r="L23"/>
  <c r="M23" s="1"/>
  <c r="L22"/>
  <c r="O22" s="1"/>
  <c r="L98" i="15"/>
  <c r="M98" s="1"/>
  <c r="L91"/>
  <c r="O91" s="1"/>
  <c r="L90"/>
  <c r="M90" s="1"/>
  <c r="L89"/>
  <c r="O89" s="1"/>
  <c r="L88"/>
  <c r="M88" s="1"/>
  <c r="L75"/>
  <c r="O75" s="1"/>
  <c r="L74"/>
  <c r="M74" s="1"/>
  <c r="L73"/>
  <c r="O73" s="1"/>
  <c r="L72"/>
  <c r="M72" s="1"/>
  <c r="L71"/>
  <c r="O71" s="1"/>
  <c r="L70"/>
  <c r="M70" s="1"/>
  <c r="L59"/>
  <c r="O59" s="1"/>
  <c r="L58"/>
  <c r="O58" s="1"/>
  <c r="L57"/>
  <c r="O57" s="1"/>
  <c r="L56"/>
  <c r="M56" s="1"/>
  <c r="L95" i="23"/>
  <c r="M95" s="1"/>
  <c r="L94"/>
  <c r="M94" s="1"/>
  <c r="L85"/>
  <c r="M85" s="1"/>
  <c r="L84"/>
  <c r="M84" s="1"/>
  <c r="L83"/>
  <c r="M83" s="1"/>
  <c r="L82"/>
  <c r="M82" s="1"/>
  <c r="L81"/>
  <c r="M81" s="1"/>
  <c r="L80"/>
  <c r="M80" s="1"/>
  <c r="L79"/>
  <c r="O79" s="1"/>
  <c r="L78"/>
  <c r="M78" s="1"/>
  <c r="L67"/>
  <c r="O67" s="1"/>
  <c r="L66"/>
  <c r="M66" s="1"/>
  <c r="L65"/>
  <c r="O65" s="1"/>
  <c r="L64"/>
  <c r="M64" s="1"/>
  <c r="L63"/>
  <c r="O63" s="1"/>
  <c r="L62"/>
  <c r="M62" s="1"/>
  <c r="L51"/>
  <c r="O51" s="1"/>
  <c r="L50"/>
  <c r="M50" s="1"/>
  <c r="L49"/>
  <c r="O49" s="1"/>
  <c r="L48"/>
  <c r="M48" s="1"/>
  <c r="L47"/>
  <c r="O47" s="1"/>
  <c r="L46"/>
  <c r="M46" s="1"/>
  <c r="L35"/>
  <c r="O35" s="1"/>
  <c r="L34"/>
  <c r="M34" s="1"/>
  <c r="L33"/>
  <c r="O33" s="1"/>
  <c r="L32"/>
  <c r="M32" s="1"/>
  <c r="L31"/>
  <c r="O31" s="1"/>
  <c r="L30"/>
  <c r="M30" s="1"/>
  <c r="L19"/>
  <c r="O19" s="1"/>
  <c r="L18"/>
  <c r="M18" s="1"/>
  <c r="L17"/>
  <c r="O17" s="1"/>
  <c r="L16"/>
  <c r="M16" s="1"/>
  <c r="L15"/>
  <c r="O15" s="1"/>
  <c r="L14"/>
  <c r="M14" s="1"/>
  <c r="L98" i="10"/>
  <c r="M98" s="1"/>
  <c r="L91"/>
  <c r="O91" s="1"/>
  <c r="L90"/>
  <c r="M90" s="1"/>
  <c r="L89"/>
  <c r="O89" s="1"/>
  <c r="L88"/>
  <c r="M88" s="1"/>
  <c r="L75"/>
  <c r="M75" s="1"/>
  <c r="L74"/>
  <c r="O74" s="1"/>
  <c r="L73"/>
  <c r="M73" s="1"/>
  <c r="L72"/>
  <c r="M72" s="1"/>
  <c r="L71"/>
  <c r="M71" s="1"/>
  <c r="L70"/>
  <c r="M70" s="1"/>
  <c r="L59"/>
  <c r="M59" s="1"/>
  <c r="L58"/>
  <c r="O58" s="1"/>
  <c r="L57"/>
  <c r="M57" s="1"/>
  <c r="L56"/>
  <c r="M56" s="1"/>
  <c r="L55"/>
  <c r="M55" s="1"/>
  <c r="L54"/>
  <c r="O54" s="1"/>
  <c r="L43"/>
  <c r="M43" s="1"/>
  <c r="L42"/>
  <c r="M42" s="1"/>
  <c r="L41"/>
  <c r="M41" s="1"/>
  <c r="L40"/>
  <c r="M40" s="1"/>
  <c r="L39"/>
  <c r="M39" s="1"/>
  <c r="L38"/>
  <c r="O38" s="1"/>
  <c r="L27"/>
  <c r="M27" s="1"/>
  <c r="L26"/>
  <c r="M26" s="1"/>
  <c r="L25"/>
  <c r="M25" s="1"/>
  <c r="L24"/>
  <c r="M24" s="1"/>
  <c r="L23"/>
  <c r="M23" s="1"/>
  <c r="L22"/>
  <c r="M22" s="1"/>
  <c r="L95" i="17"/>
  <c r="M95" s="1"/>
  <c r="L94"/>
  <c r="M94" s="1"/>
  <c r="L85"/>
  <c r="M85" s="1"/>
  <c r="L84"/>
  <c r="M84" s="1"/>
  <c r="L83"/>
  <c r="M83" s="1"/>
  <c r="L82"/>
  <c r="M82" s="1"/>
  <c r="L81"/>
  <c r="M81" s="1"/>
  <c r="L80"/>
  <c r="M80" s="1"/>
  <c r="L79"/>
  <c r="O79" s="1"/>
  <c r="L78"/>
  <c r="M78" s="1"/>
  <c r="L67"/>
  <c r="O67" s="1"/>
  <c r="L66"/>
  <c r="M66" s="1"/>
  <c r="L65"/>
  <c r="M65" s="1"/>
  <c r="L64"/>
  <c r="M64" s="1"/>
  <c r="L63"/>
  <c r="O63" s="1"/>
  <c r="L62"/>
  <c r="M62" s="1"/>
  <c r="L51"/>
  <c r="O51" s="1"/>
  <c r="L50"/>
  <c r="M50" s="1"/>
  <c r="L49"/>
  <c r="M49" s="1"/>
  <c r="L48"/>
  <c r="M48" s="1"/>
  <c r="L47"/>
  <c r="O47" s="1"/>
  <c r="L46"/>
  <c r="M46" s="1"/>
  <c r="L35"/>
  <c r="O35" s="1"/>
  <c r="L34"/>
  <c r="M34" s="1"/>
  <c r="L33"/>
  <c r="M33" s="1"/>
  <c r="L32"/>
  <c r="M32" s="1"/>
  <c r="L31"/>
  <c r="O31" s="1"/>
  <c r="L30"/>
  <c r="M30" s="1"/>
  <c r="L19"/>
  <c r="O19" s="1"/>
  <c r="L18"/>
  <c r="M18" s="1"/>
  <c r="L17"/>
  <c r="M17" s="1"/>
  <c r="L16"/>
  <c r="M16" s="1"/>
  <c r="L15"/>
  <c r="O15" s="1"/>
  <c r="L14"/>
  <c r="M14" s="1"/>
  <c r="L95" i="21"/>
  <c r="M95" s="1"/>
  <c r="L94"/>
  <c r="M94" s="1"/>
  <c r="L85"/>
  <c r="M85" s="1"/>
  <c r="L84"/>
  <c r="M84" s="1"/>
  <c r="L83"/>
  <c r="M83" s="1"/>
  <c r="L82"/>
  <c r="M82" s="1"/>
  <c r="L81"/>
  <c r="M81" s="1"/>
  <c r="L80"/>
  <c r="M80" s="1"/>
  <c r="L79"/>
  <c r="M79" s="1"/>
  <c r="L78"/>
  <c r="M78" s="1"/>
  <c r="L67"/>
  <c r="M67" s="1"/>
  <c r="L66"/>
  <c r="M66" s="1"/>
  <c r="L65"/>
  <c r="M65" s="1"/>
  <c r="L64"/>
  <c r="M64" s="1"/>
  <c r="L63"/>
  <c r="M63" s="1"/>
  <c r="L62"/>
  <c r="M62" s="1"/>
  <c r="L51"/>
  <c r="M51" s="1"/>
  <c r="L50"/>
  <c r="M50" s="1"/>
  <c r="L49"/>
  <c r="M49" s="1"/>
  <c r="L48"/>
  <c r="M48" s="1"/>
  <c r="L47"/>
  <c r="M47" s="1"/>
  <c r="L46"/>
  <c r="M46" s="1"/>
  <c r="L35"/>
  <c r="M35" s="1"/>
  <c r="L34"/>
  <c r="M34" s="1"/>
  <c r="L33"/>
  <c r="O33" s="1"/>
  <c r="L32"/>
  <c r="M32" s="1"/>
  <c r="L31"/>
  <c r="M31" s="1"/>
  <c r="L30"/>
  <c r="M30" s="1"/>
  <c r="L19"/>
  <c r="M19" s="1"/>
  <c r="L18"/>
  <c r="M18" s="1"/>
  <c r="L17"/>
  <c r="O17" s="1"/>
  <c r="L16"/>
  <c r="M16" s="1"/>
  <c r="L15"/>
  <c r="M15" s="1"/>
  <c r="L14"/>
  <c r="M14" s="1"/>
  <c r="L95" i="16"/>
  <c r="M95" s="1"/>
  <c r="L94"/>
  <c r="M94" s="1"/>
  <c r="L85"/>
  <c r="M85" s="1"/>
  <c r="L84"/>
  <c r="M84" s="1"/>
  <c r="L83"/>
  <c r="M83" s="1"/>
  <c r="L82"/>
  <c r="M82" s="1"/>
  <c r="L81"/>
  <c r="M81" s="1"/>
  <c r="L80"/>
  <c r="M80" s="1"/>
  <c r="L79"/>
  <c r="M79" s="1"/>
  <c r="L78"/>
  <c r="M78" s="1"/>
  <c r="L67"/>
  <c r="M67" s="1"/>
  <c r="L66"/>
  <c r="M66" s="1"/>
  <c r="L65"/>
  <c r="M65" s="1"/>
  <c r="L64"/>
  <c r="M64" s="1"/>
  <c r="L63"/>
  <c r="M63" s="1"/>
  <c r="L62"/>
  <c r="M62" s="1"/>
  <c r="L51"/>
  <c r="M51" s="1"/>
  <c r="L50"/>
  <c r="M50" s="1"/>
  <c r="L49"/>
  <c r="M49" s="1"/>
  <c r="L48"/>
  <c r="M48" s="1"/>
  <c r="L47"/>
  <c r="M47" s="1"/>
  <c r="L46"/>
  <c r="M46" s="1"/>
  <c r="L35"/>
  <c r="M35" s="1"/>
  <c r="L34"/>
  <c r="M34" s="1"/>
  <c r="L33"/>
  <c r="M33" s="1"/>
  <c r="L32"/>
  <c r="M32" s="1"/>
  <c r="L31"/>
  <c r="M31" s="1"/>
  <c r="L30"/>
  <c r="M30" s="1"/>
  <c r="L19"/>
  <c r="M19" s="1"/>
  <c r="L18"/>
  <c r="M18" s="1"/>
  <c r="L17"/>
  <c r="M17" s="1"/>
  <c r="L16"/>
  <c r="M16" s="1"/>
  <c r="L15"/>
  <c r="M15" s="1"/>
  <c r="L14"/>
  <c r="M14" s="1"/>
  <c r="L98" i="9"/>
  <c r="O98" s="1"/>
  <c r="AG76" i="2"/>
  <c r="AM63"/>
  <c r="AM71"/>
  <c r="AM56"/>
  <c r="AM48"/>
  <c r="L47" i="9"/>
  <c r="O47" s="1"/>
  <c r="L98" i="18"/>
  <c r="M98" s="1"/>
  <c r="L89"/>
  <c r="M89" s="1"/>
  <c r="L73"/>
  <c r="M73" s="1"/>
  <c r="L55"/>
  <c r="M55" s="1"/>
  <c r="Q67" i="2"/>
  <c r="O67" s="1"/>
  <c r="Q69"/>
  <c r="O69" s="1"/>
  <c r="L91" i="18"/>
  <c r="M91" s="1"/>
  <c r="L90"/>
  <c r="M90" s="1"/>
  <c r="L88"/>
  <c r="M88" s="1"/>
  <c r="L75"/>
  <c r="M75" s="1"/>
  <c r="L74"/>
  <c r="M74" s="1"/>
  <c r="L72"/>
  <c r="M72" s="1"/>
  <c r="L71"/>
  <c r="M71" s="1"/>
  <c r="L70"/>
  <c r="M70" s="1"/>
  <c r="L59"/>
  <c r="M59" s="1"/>
  <c r="L58"/>
  <c r="M58" s="1"/>
  <c r="L57"/>
  <c r="M57" s="1"/>
  <c r="L56"/>
  <c r="M56" s="1"/>
  <c r="L54"/>
  <c r="M54" s="1"/>
  <c r="L43"/>
  <c r="M43" s="1"/>
  <c r="L42"/>
  <c r="M42" s="1"/>
  <c r="L41"/>
  <c r="M41" s="1"/>
  <c r="L40"/>
  <c r="M40" s="1"/>
  <c r="L39"/>
  <c r="M39" s="1"/>
  <c r="L38"/>
  <c r="M38" s="1"/>
  <c r="L27"/>
  <c r="M27" s="1"/>
  <c r="L26"/>
  <c r="M26" s="1"/>
  <c r="L25"/>
  <c r="M25" s="1"/>
  <c r="L24"/>
  <c r="M24" s="1"/>
  <c r="L23"/>
  <c r="M23" s="1"/>
  <c r="L22"/>
  <c r="M22" s="1"/>
  <c r="L101" i="16"/>
  <c r="M101" s="1"/>
  <c r="L85" i="9"/>
  <c r="O85" s="1"/>
  <c r="L84"/>
  <c r="M84" s="1"/>
  <c r="L83"/>
  <c r="O83" s="1"/>
  <c r="L82"/>
  <c r="M82" s="1"/>
  <c r="L81"/>
  <c r="O81" s="1"/>
  <c r="L80"/>
  <c r="M80" s="1"/>
  <c r="L79"/>
  <c r="O79" s="1"/>
  <c r="L78"/>
  <c r="M78" s="1"/>
  <c r="L67"/>
  <c r="O67" s="1"/>
  <c r="L66"/>
  <c r="M66" s="1"/>
  <c r="L65"/>
  <c r="O65" s="1"/>
  <c r="L64"/>
  <c r="M64" s="1"/>
  <c r="L63"/>
  <c r="O63" s="1"/>
  <c r="L62"/>
  <c r="M62" s="1"/>
  <c r="L51"/>
  <c r="O51" s="1"/>
  <c r="L50"/>
  <c r="M50" s="1"/>
  <c r="L49"/>
  <c r="O49" s="1"/>
  <c r="L48"/>
  <c r="M48" s="1"/>
  <c r="Q59" i="2"/>
  <c r="O59" s="1"/>
  <c r="Q61"/>
  <c r="O61" s="1"/>
  <c r="Q27"/>
  <c r="O27" s="1"/>
  <c r="Q28"/>
  <c r="O28" s="1"/>
  <c r="Q29"/>
  <c r="O29" s="1"/>
  <c r="L14" i="9"/>
  <c r="L22"/>
  <c r="O22" s="1"/>
  <c r="L23"/>
  <c r="M23" s="1"/>
  <c r="L24"/>
  <c r="O24" s="1"/>
  <c r="L25"/>
  <c r="M25" s="1"/>
  <c r="L26"/>
  <c r="O26" s="1"/>
  <c r="L27"/>
  <c r="L30"/>
  <c r="L38"/>
  <c r="O38" s="1"/>
  <c r="L39"/>
  <c r="M39" s="1"/>
  <c r="L40"/>
  <c r="O40" s="1"/>
  <c r="L41"/>
  <c r="M41" s="1"/>
  <c r="L42"/>
  <c r="O42" s="1"/>
  <c r="L43"/>
  <c r="L46"/>
  <c r="L54"/>
  <c r="O54" s="1"/>
  <c r="L55"/>
  <c r="M55" s="1"/>
  <c r="L56"/>
  <c r="O56" s="1"/>
  <c r="L57"/>
  <c r="M57" s="1"/>
  <c r="L58"/>
  <c r="O58" s="1"/>
  <c r="L59"/>
  <c r="M59" s="1"/>
  <c r="L70"/>
  <c r="O70" s="1"/>
  <c r="L71"/>
  <c r="M71" s="1"/>
  <c r="L72"/>
  <c r="O72" s="1"/>
  <c r="L73"/>
  <c r="M73" s="1"/>
  <c r="L74"/>
  <c r="O74" s="1"/>
  <c r="L75"/>
  <c r="M75" s="1"/>
  <c r="L88"/>
  <c r="O88" s="1"/>
  <c r="L22" i="16"/>
  <c r="M22" s="1"/>
  <c r="L23"/>
  <c r="M23" s="1"/>
  <c r="L24"/>
  <c r="M24" s="1"/>
  <c r="L25"/>
  <c r="M25" s="1"/>
  <c r="L26"/>
  <c r="M26" s="1"/>
  <c r="L27"/>
  <c r="M27" s="1"/>
  <c r="L38"/>
  <c r="M38" s="1"/>
  <c r="L39"/>
  <c r="M39" s="1"/>
  <c r="L40"/>
  <c r="M40" s="1"/>
  <c r="L41"/>
  <c r="M41" s="1"/>
  <c r="L42"/>
  <c r="M42" s="1"/>
  <c r="L43"/>
  <c r="M43" s="1"/>
  <c r="L54"/>
  <c r="M54" s="1"/>
  <c r="L55"/>
  <c r="M55" s="1"/>
  <c r="L56"/>
  <c r="M56" s="1"/>
  <c r="L57"/>
  <c r="M57" s="1"/>
  <c r="L58"/>
  <c r="M58" s="1"/>
  <c r="L59"/>
  <c r="M59" s="1"/>
  <c r="L70"/>
  <c r="M70" s="1"/>
  <c r="L71"/>
  <c r="M71" s="1"/>
  <c r="L72"/>
  <c r="M72" s="1"/>
  <c r="L73"/>
  <c r="M73" s="1"/>
  <c r="L74"/>
  <c r="M74" s="1"/>
  <c r="L75"/>
  <c r="M75" s="1"/>
  <c r="L88"/>
  <c r="M88" s="1"/>
  <c r="L89"/>
  <c r="M89" s="1"/>
  <c r="L90"/>
  <c r="M90" s="1"/>
  <c r="L91"/>
  <c r="M91" s="1"/>
  <c r="L98"/>
  <c r="M98" s="1"/>
  <c r="L14" i="18"/>
  <c r="M14" s="1"/>
  <c r="L15"/>
  <c r="M15" s="1"/>
  <c r="L16"/>
  <c r="M16" s="1"/>
  <c r="L17"/>
  <c r="M17" s="1"/>
  <c r="L18"/>
  <c r="M18" s="1"/>
  <c r="L19"/>
  <c r="M19" s="1"/>
  <c r="L30"/>
  <c r="M30" s="1"/>
  <c r="L31"/>
  <c r="M31" s="1"/>
  <c r="L32"/>
  <c r="M32" s="1"/>
  <c r="L33"/>
  <c r="M33" s="1"/>
  <c r="L34"/>
  <c r="M34" s="1"/>
  <c r="L35"/>
  <c r="M35" s="1"/>
  <c r="L46"/>
  <c r="M46" s="1"/>
  <c r="L47"/>
  <c r="M47" s="1"/>
  <c r="L48"/>
  <c r="M48" s="1"/>
  <c r="L49"/>
  <c r="M49" s="1"/>
  <c r="L50"/>
  <c r="M50" s="1"/>
  <c r="L51"/>
  <c r="M51" s="1"/>
  <c r="L62"/>
  <c r="M62" s="1"/>
  <c r="L63"/>
  <c r="M63" s="1"/>
  <c r="L64"/>
  <c r="M64" s="1"/>
  <c r="L65"/>
  <c r="M65" s="1"/>
  <c r="L66"/>
  <c r="M66" s="1"/>
  <c r="L67"/>
  <c r="M67" s="1"/>
  <c r="L78"/>
  <c r="M78" s="1"/>
  <c r="L79"/>
  <c r="M79" s="1"/>
  <c r="L80"/>
  <c r="M80" s="1"/>
  <c r="L81"/>
  <c r="M81" s="1"/>
  <c r="L82"/>
  <c r="M82" s="1"/>
  <c r="L83"/>
  <c r="M83" s="1"/>
  <c r="L84"/>
  <c r="M84" s="1"/>
  <c r="L85"/>
  <c r="M85" s="1"/>
  <c r="L94"/>
  <c r="M94" s="1"/>
  <c r="L95"/>
  <c r="M95" s="1"/>
  <c r="L101"/>
  <c r="M101" s="1"/>
  <c r="L14" i="24"/>
  <c r="M14" s="1"/>
  <c r="L15"/>
  <c r="M15" s="1"/>
  <c r="L16"/>
  <c r="M16" s="1"/>
  <c r="L17"/>
  <c r="M17" s="1"/>
  <c r="L18"/>
  <c r="M18" s="1"/>
  <c r="L19"/>
  <c r="M19" s="1"/>
  <c r="L30"/>
  <c r="M30" s="1"/>
  <c r="L31"/>
  <c r="M31" s="1"/>
  <c r="L32"/>
  <c r="M32" s="1"/>
  <c r="L33"/>
  <c r="M33" s="1"/>
  <c r="L34"/>
  <c r="M34" s="1"/>
  <c r="L35"/>
  <c r="M35" s="1"/>
  <c r="L46"/>
  <c r="M46" s="1"/>
  <c r="L47"/>
  <c r="M47" s="1"/>
  <c r="L48"/>
  <c r="M48" s="1"/>
  <c r="L49"/>
  <c r="M49" s="1"/>
  <c r="L50"/>
  <c r="M50" s="1"/>
  <c r="L51"/>
  <c r="M51" s="1"/>
  <c r="L62"/>
  <c r="M62" s="1"/>
  <c r="L63"/>
  <c r="M63" s="1"/>
  <c r="L64"/>
  <c r="M64" s="1"/>
  <c r="L65"/>
  <c r="M65" s="1"/>
  <c r="L66"/>
  <c r="M66" s="1"/>
  <c r="L67"/>
  <c r="M67" s="1"/>
  <c r="L78"/>
  <c r="M78" s="1"/>
  <c r="L79"/>
  <c r="M79" s="1"/>
  <c r="L80"/>
  <c r="M80" s="1"/>
  <c r="L81"/>
  <c r="O81" s="1"/>
  <c r="L82"/>
  <c r="M82" s="1"/>
  <c r="L83"/>
  <c r="M83" s="1"/>
  <c r="L84"/>
  <c r="M84" s="1"/>
  <c r="L85"/>
  <c r="O85" s="1"/>
  <c r="L94"/>
  <c r="M94" s="1"/>
  <c r="L95"/>
  <c r="M95" s="1"/>
  <c r="L101"/>
  <c r="O101" s="1"/>
  <c r="L22" i="21"/>
  <c r="M22" s="1"/>
  <c r="L23"/>
  <c r="M23" s="1"/>
  <c r="L24"/>
  <c r="O24" s="1"/>
  <c r="L25"/>
  <c r="M25" s="1"/>
  <c r="L26"/>
  <c r="M26" s="1"/>
  <c r="L27"/>
  <c r="M27" s="1"/>
  <c r="L38"/>
  <c r="M38" s="1"/>
  <c r="L39"/>
  <c r="M39" s="1"/>
  <c r="L40"/>
  <c r="M40" s="1"/>
  <c r="L41"/>
  <c r="M41" s="1"/>
  <c r="L42"/>
  <c r="M42" s="1"/>
  <c r="L43"/>
  <c r="M43" s="1"/>
  <c r="L54"/>
  <c r="M54" s="1"/>
  <c r="L55"/>
  <c r="M55" s="1"/>
  <c r="L56"/>
  <c r="M56" s="1"/>
  <c r="L57"/>
  <c r="M57" s="1"/>
  <c r="L58"/>
  <c r="M58" s="1"/>
  <c r="L59"/>
  <c r="M59" s="1"/>
  <c r="L70"/>
  <c r="M70" s="1"/>
  <c r="L71"/>
  <c r="M71" s="1"/>
  <c r="L72"/>
  <c r="M72" s="1"/>
  <c r="L73"/>
  <c r="M73" s="1"/>
  <c r="L74"/>
  <c r="M74" s="1"/>
  <c r="L75"/>
  <c r="M75" s="1"/>
  <c r="L88"/>
  <c r="M88" s="1"/>
  <c r="L89"/>
  <c r="M89" s="1"/>
  <c r="L90"/>
  <c r="M90" s="1"/>
  <c r="L91"/>
  <c r="M91" s="1"/>
  <c r="L98"/>
  <c r="M98" s="1"/>
  <c r="F25" i="30"/>
  <c r="E26"/>
  <c r="G26"/>
  <c r="E27"/>
  <c r="G27"/>
  <c r="E28"/>
  <c r="G28"/>
  <c r="E25"/>
  <c r="G25"/>
  <c r="F26"/>
  <c r="F27"/>
  <c r="F28"/>
  <c r="F17"/>
  <c r="E18"/>
  <c r="G18"/>
  <c r="E19"/>
  <c r="G19"/>
  <c r="E20"/>
  <c r="G20"/>
  <c r="E17"/>
  <c r="G17"/>
  <c r="F18"/>
  <c r="F19"/>
  <c r="F20"/>
  <c r="I26"/>
  <c r="I27"/>
  <c r="I28"/>
  <c r="I25"/>
  <c r="H26"/>
  <c r="H27"/>
  <c r="H28"/>
  <c r="I18"/>
  <c r="I19"/>
  <c r="I20"/>
  <c r="I17"/>
  <c r="H18"/>
  <c r="H19"/>
  <c r="H20"/>
  <c r="H25"/>
  <c r="H17"/>
  <c r="N99" i="2"/>
  <c r="AJ99"/>
  <c r="L89" i="9"/>
  <c r="L91"/>
  <c r="L94"/>
  <c r="L101"/>
  <c r="L90"/>
  <c r="L101" i="20"/>
  <c r="N90" i="2"/>
  <c r="AG90"/>
  <c r="AJ90"/>
  <c r="N89"/>
  <c r="AG89"/>
  <c r="AJ89"/>
  <c r="N88"/>
  <c r="AG88"/>
  <c r="N87"/>
  <c r="AG87"/>
  <c r="AJ87"/>
  <c r="L101" i="7"/>
  <c r="L98"/>
  <c r="L95"/>
  <c r="L90"/>
  <c r="L88"/>
  <c r="L85"/>
  <c r="L83"/>
  <c r="L81"/>
  <c r="L79"/>
  <c r="L14" i="25"/>
  <c r="L16"/>
  <c r="L18"/>
  <c r="L23"/>
  <c r="L25"/>
  <c r="L27"/>
  <c r="L30"/>
  <c r="L32"/>
  <c r="L34"/>
  <c r="L39"/>
  <c r="L41"/>
  <c r="L43"/>
  <c r="L46"/>
  <c r="L48"/>
  <c r="L50"/>
  <c r="L55"/>
  <c r="L57"/>
  <c r="L59"/>
  <c r="L62"/>
  <c r="L64"/>
  <c r="L66"/>
  <c r="L71"/>
  <c r="L73"/>
  <c r="L15"/>
  <c r="L17"/>
  <c r="L19"/>
  <c r="L22"/>
  <c r="L24"/>
  <c r="L26"/>
  <c r="L31"/>
  <c r="L33"/>
  <c r="L35"/>
  <c r="L38"/>
  <c r="L40"/>
  <c r="L42"/>
  <c r="L47"/>
  <c r="L49"/>
  <c r="L51"/>
  <c r="L54"/>
  <c r="L56"/>
  <c r="L58"/>
  <c r="L63"/>
  <c r="L65"/>
  <c r="L67"/>
  <c r="L75"/>
  <c r="L78"/>
  <c r="L80"/>
  <c r="L82"/>
  <c r="L84"/>
  <c r="L89"/>
  <c r="L91"/>
  <c r="L94"/>
  <c r="L14" i="8"/>
  <c r="L16"/>
  <c r="L18"/>
  <c r="L23"/>
  <c r="L25"/>
  <c r="L27"/>
  <c r="L30"/>
  <c r="L32"/>
  <c r="L34"/>
  <c r="L39"/>
  <c r="L41"/>
  <c r="L43"/>
  <c r="L46"/>
  <c r="L48"/>
  <c r="L50"/>
  <c r="L55"/>
  <c r="L57"/>
  <c r="L59"/>
  <c r="L62"/>
  <c r="L64"/>
  <c r="L66"/>
  <c r="L71"/>
  <c r="L73"/>
  <c r="L75"/>
  <c r="L78"/>
  <c r="L80"/>
  <c r="L82"/>
  <c r="L84"/>
  <c r="L89"/>
  <c r="L91"/>
  <c r="L94"/>
  <c r="L15" i="27"/>
  <c r="L17"/>
  <c r="L19"/>
  <c r="L22"/>
  <c r="L24"/>
  <c r="L26"/>
  <c r="L31"/>
  <c r="L33"/>
  <c r="L35"/>
  <c r="L38"/>
  <c r="L40"/>
  <c r="L42"/>
  <c r="L70" i="25"/>
  <c r="L72"/>
  <c r="L74"/>
  <c r="L79"/>
  <c r="L81"/>
  <c r="L83"/>
  <c r="L85"/>
  <c r="L88"/>
  <c r="L90"/>
  <c r="L95"/>
  <c r="L98"/>
  <c r="L101"/>
  <c r="L15" i="8"/>
  <c r="L17"/>
  <c r="L19"/>
  <c r="L22"/>
  <c r="L24"/>
  <c r="L26"/>
  <c r="L31"/>
  <c r="L33"/>
  <c r="L35"/>
  <c r="L38"/>
  <c r="L40"/>
  <c r="L42"/>
  <c r="L47"/>
  <c r="L49"/>
  <c r="L51"/>
  <c r="L54"/>
  <c r="L56"/>
  <c r="L58"/>
  <c r="L63"/>
  <c r="L65"/>
  <c r="L67"/>
  <c r="L70"/>
  <c r="L72"/>
  <c r="L74"/>
  <c r="L79"/>
  <c r="L81"/>
  <c r="L83"/>
  <c r="L85"/>
  <c r="L88"/>
  <c r="L90"/>
  <c r="L95"/>
  <c r="L98"/>
  <c r="L101"/>
  <c r="L14" i="27"/>
  <c r="L16"/>
  <c r="L18"/>
  <c r="L23"/>
  <c r="L25"/>
  <c r="L27"/>
  <c r="L30"/>
  <c r="L32"/>
  <c r="L34"/>
  <c r="L39"/>
  <c r="L47"/>
  <c r="L49"/>
  <c r="L51"/>
  <c r="L54"/>
  <c r="L56"/>
  <c r="L58"/>
  <c r="L63"/>
  <c r="L65"/>
  <c r="L67"/>
  <c r="L70"/>
  <c r="L72"/>
  <c r="L74"/>
  <c r="L79"/>
  <c r="L81"/>
  <c r="L83"/>
  <c r="L85"/>
  <c r="L88"/>
  <c r="L90"/>
  <c r="L95"/>
  <c r="L98"/>
  <c r="L101"/>
  <c r="L14" i="28"/>
  <c r="L16"/>
  <c r="L18"/>
  <c r="L23"/>
  <c r="L25"/>
  <c r="L27"/>
  <c r="L30"/>
  <c r="L32"/>
  <c r="L34"/>
  <c r="L39"/>
  <c r="L41"/>
  <c r="L43"/>
  <c r="L46"/>
  <c r="L48"/>
  <c r="L50"/>
  <c r="L55"/>
  <c r="L57"/>
  <c r="L59"/>
  <c r="L62"/>
  <c r="L64"/>
  <c r="L66"/>
  <c r="L71"/>
  <c r="L73"/>
  <c r="L75"/>
  <c r="L78"/>
  <c r="L80"/>
  <c r="L82"/>
  <c r="L84"/>
  <c r="L89"/>
  <c r="L91"/>
  <c r="L94"/>
  <c r="L14" i="20"/>
  <c r="L16"/>
  <c r="L18"/>
  <c r="L23"/>
  <c r="L25"/>
  <c r="L27"/>
  <c r="L30"/>
  <c r="L32"/>
  <c r="L34"/>
  <c r="L39"/>
  <c r="L41"/>
  <c r="L43"/>
  <c r="L46"/>
  <c r="L48"/>
  <c r="L50"/>
  <c r="L55"/>
  <c r="L57"/>
  <c r="L59"/>
  <c r="L62"/>
  <c r="L64"/>
  <c r="L66"/>
  <c r="L71"/>
  <c r="L73"/>
  <c r="L75"/>
  <c r="L78"/>
  <c r="L80"/>
  <c r="L82"/>
  <c r="L84"/>
  <c r="L89"/>
  <c r="L91"/>
  <c r="L94"/>
  <c r="L15" i="7"/>
  <c r="L17"/>
  <c r="L19"/>
  <c r="L22"/>
  <c r="L24"/>
  <c r="L26"/>
  <c r="L31"/>
  <c r="L33"/>
  <c r="L35"/>
  <c r="L38"/>
  <c r="L40"/>
  <c r="L42"/>
  <c r="L47"/>
  <c r="L49"/>
  <c r="L51"/>
  <c r="L54"/>
  <c r="L56"/>
  <c r="L58"/>
  <c r="L63"/>
  <c r="L65"/>
  <c r="L67"/>
  <c r="L70"/>
  <c r="L72"/>
  <c r="L74"/>
  <c r="L41" i="27"/>
  <c r="L43"/>
  <c r="L46"/>
  <c r="L48"/>
  <c r="L50"/>
  <c r="L55"/>
  <c r="L57"/>
  <c r="L59"/>
  <c r="L62"/>
  <c r="L64"/>
  <c r="L66"/>
  <c r="L71"/>
  <c r="L73"/>
  <c r="L75"/>
  <c r="L78"/>
  <c r="L80"/>
  <c r="L82"/>
  <c r="L84"/>
  <c r="L89"/>
  <c r="L91"/>
  <c r="L94"/>
  <c r="L15" i="28"/>
  <c r="L17"/>
  <c r="L19"/>
  <c r="L22"/>
  <c r="L24"/>
  <c r="L26"/>
  <c r="L31"/>
  <c r="L33"/>
  <c r="L35"/>
  <c r="L38"/>
  <c r="L40"/>
  <c r="L42"/>
  <c r="L47"/>
  <c r="L49"/>
  <c r="L51"/>
  <c r="L54"/>
  <c r="L56"/>
  <c r="L58"/>
  <c r="L63"/>
  <c r="L65"/>
  <c r="L67"/>
  <c r="L70"/>
  <c r="L72"/>
  <c r="L74"/>
  <c r="L79"/>
  <c r="L81"/>
  <c r="L83"/>
  <c r="L85"/>
  <c r="L88"/>
  <c r="L90"/>
  <c r="L95"/>
  <c r="L98"/>
  <c r="L101"/>
  <c r="L15" i="20"/>
  <c r="L17"/>
  <c r="L19"/>
  <c r="L22"/>
  <c r="L24"/>
  <c r="L26"/>
  <c r="L31"/>
  <c r="L33"/>
  <c r="L35"/>
  <c r="L38"/>
  <c r="L40"/>
  <c r="L42"/>
  <c r="L47"/>
  <c r="L49"/>
  <c r="L51"/>
  <c r="L54"/>
  <c r="L56"/>
  <c r="L58"/>
  <c r="L63"/>
  <c r="L65"/>
  <c r="L67"/>
  <c r="L70"/>
  <c r="L72"/>
  <c r="L74"/>
  <c r="L79"/>
  <c r="L81"/>
  <c r="L83"/>
  <c r="L85"/>
  <c r="L88"/>
  <c r="L90"/>
  <c r="L95"/>
  <c r="L98"/>
  <c r="Q54" i="2"/>
  <c r="O54" s="1"/>
  <c r="Q53"/>
  <c r="O53" s="1"/>
  <c r="Q52"/>
  <c r="O52" s="1"/>
  <c r="Q38"/>
  <c r="O38" s="1"/>
  <c r="Q37"/>
  <c r="O37" s="1"/>
  <c r="Q36"/>
  <c r="O36" s="1"/>
  <c r="L94" i="7"/>
  <c r="L91"/>
  <c r="L89"/>
  <c r="L84"/>
  <c r="L82"/>
  <c r="L80"/>
  <c r="L78"/>
  <c r="L75"/>
  <c r="L73"/>
  <c r="L71"/>
  <c r="L66"/>
  <c r="L64"/>
  <c r="L62"/>
  <c r="L59"/>
  <c r="L57"/>
  <c r="L55"/>
  <c r="L50"/>
  <c r="L48"/>
  <c r="L46"/>
  <c r="L43"/>
  <c r="L41"/>
  <c r="L39"/>
  <c r="L34"/>
  <c r="L32"/>
  <c r="L30"/>
  <c r="L27"/>
  <c r="L25"/>
  <c r="L23"/>
  <c r="L18"/>
  <c r="L16"/>
  <c r="L14"/>
  <c r="O25" i="11" l="1"/>
  <c r="P25" s="1"/>
  <c r="B6" i="4"/>
  <c r="AC6" s="1"/>
  <c r="AJ33" i="30"/>
  <c r="AI33"/>
  <c r="AI34"/>
  <c r="AH36"/>
  <c r="AI35"/>
  <c r="AJ34"/>
  <c r="AJ35"/>
  <c r="AG33"/>
  <c r="AJ36"/>
  <c r="AG34"/>
  <c r="AH35"/>
  <c r="AG36"/>
  <c r="AG35"/>
  <c r="AI36"/>
  <c r="AH33"/>
  <c r="AH34"/>
  <c r="AG17"/>
  <c r="AG40"/>
  <c r="AG44" s="1"/>
  <c r="AH40"/>
  <c r="AM40" s="1"/>
  <c r="AR40" s="1"/>
  <c r="AI40"/>
  <c r="AI42" s="1"/>
  <c r="AH43"/>
  <c r="AJ40"/>
  <c r="AO40" s="1"/>
  <c r="AT40" s="1"/>
  <c r="AG48"/>
  <c r="AL48" s="1"/>
  <c r="AQ48" s="1"/>
  <c r="AH48"/>
  <c r="AM48" s="1"/>
  <c r="AR48" s="1"/>
  <c r="AI48"/>
  <c r="AN48" s="1"/>
  <c r="AS48" s="1"/>
  <c r="AJ48"/>
  <c r="AO48" s="1"/>
  <c r="AT48" s="1"/>
  <c r="AG52"/>
  <c r="AI56"/>
  <c r="AN56" s="1"/>
  <c r="AS56" s="1"/>
  <c r="AJ56"/>
  <c r="AO56" s="1"/>
  <c r="AT56" s="1"/>
  <c r="AG72"/>
  <c r="AL72" s="1"/>
  <c r="AQ72" s="1"/>
  <c r="AH72"/>
  <c r="AM72" s="1"/>
  <c r="AR72" s="1"/>
  <c r="AI72"/>
  <c r="AN72" s="1"/>
  <c r="AS72" s="1"/>
  <c r="AI76"/>
  <c r="AJ72"/>
  <c r="AO72" s="1"/>
  <c r="AT72" s="1"/>
  <c r="AI57"/>
  <c r="AG56"/>
  <c r="AL56" s="1"/>
  <c r="AQ56" s="1"/>
  <c r="AI58"/>
  <c r="AH56"/>
  <c r="AM56" s="1"/>
  <c r="AR56" s="1"/>
  <c r="AG64"/>
  <c r="AL64" s="1"/>
  <c r="AQ64" s="1"/>
  <c r="AH64"/>
  <c r="AM64" s="1"/>
  <c r="AR64" s="1"/>
  <c r="AI64"/>
  <c r="AN64" s="1"/>
  <c r="AS64" s="1"/>
  <c r="AJ64"/>
  <c r="AO64" s="1"/>
  <c r="AT64" s="1"/>
  <c r="AG27"/>
  <c r="AG28"/>
  <c r="AG26"/>
  <c r="AG25"/>
  <c r="AG19"/>
  <c r="AI16"/>
  <c r="AI20" s="1"/>
  <c r="AG20"/>
  <c r="AJ16"/>
  <c r="AJ19" s="1"/>
  <c r="AG18"/>
  <c r="AJ18"/>
  <c r="AH16"/>
  <c r="AH20" s="1"/>
  <c r="AI24"/>
  <c r="AI25" s="1"/>
  <c r="AJ24"/>
  <c r="AJ25" s="1"/>
  <c r="AH24"/>
  <c r="AH25" s="1"/>
  <c r="M75" i="11"/>
  <c r="O75"/>
  <c r="M73"/>
  <c r="O73"/>
  <c r="M59"/>
  <c r="O59"/>
  <c r="M57"/>
  <c r="O57"/>
  <c r="M55"/>
  <c r="O55"/>
  <c r="M43"/>
  <c r="O43"/>
  <c r="M41"/>
  <c r="O41"/>
  <c r="M39"/>
  <c r="O39"/>
  <c r="M27"/>
  <c r="O27"/>
  <c r="M23"/>
  <c r="O23"/>
  <c r="M91"/>
  <c r="O91"/>
  <c r="M88"/>
  <c r="O88"/>
  <c r="M84"/>
  <c r="O84"/>
  <c r="M82"/>
  <c r="O82"/>
  <c r="M80"/>
  <c r="O80"/>
  <c r="M78"/>
  <c r="O78"/>
  <c r="M66"/>
  <c r="O66"/>
  <c r="M64"/>
  <c r="O64"/>
  <c r="M50"/>
  <c r="O50"/>
  <c r="M48"/>
  <c r="O48"/>
  <c r="M46"/>
  <c r="O46"/>
  <c r="M34"/>
  <c r="O34"/>
  <c r="M32"/>
  <c r="O32"/>
  <c r="M30"/>
  <c r="O30"/>
  <c r="M16"/>
  <c r="O16"/>
  <c r="M14"/>
  <c r="O14"/>
  <c r="M90"/>
  <c r="O90"/>
  <c r="M74"/>
  <c r="O74"/>
  <c r="M72"/>
  <c r="O72"/>
  <c r="M58"/>
  <c r="O58"/>
  <c r="M56"/>
  <c r="O56"/>
  <c r="M54"/>
  <c r="O54"/>
  <c r="M42"/>
  <c r="O42"/>
  <c r="M40"/>
  <c r="O40"/>
  <c r="M38"/>
  <c r="O38"/>
  <c r="M26"/>
  <c r="O26"/>
  <c r="M22"/>
  <c r="O22"/>
  <c r="M89"/>
  <c r="O89"/>
  <c r="M85"/>
  <c r="O85"/>
  <c r="M83"/>
  <c r="O83"/>
  <c r="M81"/>
  <c r="O81"/>
  <c r="M79"/>
  <c r="O79"/>
  <c r="M67"/>
  <c r="O67"/>
  <c r="M65"/>
  <c r="O65"/>
  <c r="M51"/>
  <c r="O51"/>
  <c r="M49"/>
  <c r="O49"/>
  <c r="M47"/>
  <c r="O47"/>
  <c r="M35"/>
  <c r="O35"/>
  <c r="M33"/>
  <c r="O33"/>
  <c r="M31"/>
  <c r="O31"/>
  <c r="M17"/>
  <c r="O17"/>
  <c r="M15"/>
  <c r="O15"/>
  <c r="M19"/>
  <c r="O19"/>
  <c r="M18"/>
  <c r="O18"/>
  <c r="M24"/>
  <c r="O24"/>
  <c r="M71"/>
  <c r="O71"/>
  <c r="M70"/>
  <c r="O70"/>
  <c r="M63"/>
  <c r="O63"/>
  <c r="O101"/>
  <c r="M101"/>
  <c r="M94"/>
  <c r="O94"/>
  <c r="M62"/>
  <c r="O62"/>
  <c r="M98"/>
  <c r="O98"/>
  <c r="M95"/>
  <c r="O95"/>
  <c r="M17" i="40"/>
  <c r="O17"/>
  <c r="O22"/>
  <c r="M22"/>
  <c r="O30"/>
  <c r="M30"/>
  <c r="O39"/>
  <c r="M39"/>
  <c r="O54"/>
  <c r="M54"/>
  <c r="O62"/>
  <c r="M62"/>
  <c r="O64"/>
  <c r="M64"/>
  <c r="O66"/>
  <c r="M66"/>
  <c r="O78"/>
  <c r="M78"/>
  <c r="O80"/>
  <c r="M80"/>
  <c r="O82"/>
  <c r="M82"/>
  <c r="O84"/>
  <c r="M84"/>
  <c r="O94"/>
  <c r="M94"/>
  <c r="O101"/>
  <c r="M101"/>
  <c r="O17" i="43"/>
  <c r="M17"/>
  <c r="O22"/>
  <c r="M22"/>
  <c r="O30"/>
  <c r="M30"/>
  <c r="O39"/>
  <c r="M39"/>
  <c r="O54"/>
  <c r="M54"/>
  <c r="O62"/>
  <c r="M62"/>
  <c r="O64"/>
  <c r="M64"/>
  <c r="O66"/>
  <c r="M66"/>
  <c r="O78"/>
  <c r="M78"/>
  <c r="O80"/>
  <c r="M80"/>
  <c r="O82"/>
  <c r="M82"/>
  <c r="O84"/>
  <c r="M84"/>
  <c r="O94"/>
  <c r="M94"/>
  <c r="O101"/>
  <c r="M101"/>
  <c r="O16" i="40"/>
  <c r="M16"/>
  <c r="O24"/>
  <c r="M24"/>
  <c r="O26"/>
  <c r="M26"/>
  <c r="O31"/>
  <c r="M31"/>
  <c r="O33"/>
  <c r="M33"/>
  <c r="O35"/>
  <c r="M35"/>
  <c r="O41"/>
  <c r="M41"/>
  <c r="O43"/>
  <c r="M43"/>
  <c r="O48"/>
  <c r="M48"/>
  <c r="O50"/>
  <c r="M50"/>
  <c r="O56"/>
  <c r="M56"/>
  <c r="O58"/>
  <c r="M58"/>
  <c r="O70"/>
  <c r="M70"/>
  <c r="O72"/>
  <c r="M72"/>
  <c r="O74"/>
  <c r="M74"/>
  <c r="O88"/>
  <c r="M88"/>
  <c r="O90"/>
  <c r="M90"/>
  <c r="O98"/>
  <c r="M98"/>
  <c r="O16" i="43"/>
  <c r="M16"/>
  <c r="O24"/>
  <c r="M24"/>
  <c r="O26"/>
  <c r="M26"/>
  <c r="O31"/>
  <c r="M31"/>
  <c r="O33"/>
  <c r="M33"/>
  <c r="O35"/>
  <c r="M35"/>
  <c r="O41"/>
  <c r="M41"/>
  <c r="O43"/>
  <c r="M43"/>
  <c r="O48"/>
  <c r="M48"/>
  <c r="O50"/>
  <c r="M50"/>
  <c r="O56"/>
  <c r="M56"/>
  <c r="O58"/>
  <c r="M58"/>
  <c r="O70"/>
  <c r="M70"/>
  <c r="O72"/>
  <c r="M72"/>
  <c r="O74"/>
  <c r="M74"/>
  <c r="O88"/>
  <c r="M88"/>
  <c r="O90"/>
  <c r="M90"/>
  <c r="O98"/>
  <c r="M98"/>
  <c r="O24" i="6"/>
  <c r="M24"/>
  <c r="O39"/>
  <c r="M39"/>
  <c r="O47"/>
  <c r="M47"/>
  <c r="O56"/>
  <c r="M56"/>
  <c r="O64"/>
  <c r="M64"/>
  <c r="O66"/>
  <c r="M66"/>
  <c r="O68"/>
  <c r="M68"/>
  <c r="O80"/>
  <c r="M80"/>
  <c r="O82"/>
  <c r="M82"/>
  <c r="O84"/>
  <c r="M84"/>
  <c r="O86"/>
  <c r="M86"/>
  <c r="O96"/>
  <c r="M96"/>
  <c r="O15"/>
  <c r="M15"/>
  <c r="O19"/>
  <c r="M19"/>
  <c r="O17"/>
  <c r="M17"/>
  <c r="O25"/>
  <c r="M25"/>
  <c r="O27"/>
  <c r="M27"/>
  <c r="O32"/>
  <c r="M32"/>
  <c r="O34"/>
  <c r="M34"/>
  <c r="O36"/>
  <c r="M36"/>
  <c r="O42"/>
  <c r="M42"/>
  <c r="O44"/>
  <c r="M44"/>
  <c r="O49"/>
  <c r="M49"/>
  <c r="O51"/>
  <c r="M51"/>
  <c r="O57"/>
  <c r="M57"/>
  <c r="O59"/>
  <c r="M59"/>
  <c r="O71"/>
  <c r="M71"/>
  <c r="O73"/>
  <c r="M73"/>
  <c r="O75"/>
  <c r="M75"/>
  <c r="O89"/>
  <c r="M89"/>
  <c r="O91"/>
  <c r="M91"/>
  <c r="O99"/>
  <c r="M99"/>
  <c r="O14" i="40"/>
  <c r="M14"/>
  <c r="O18"/>
  <c r="M18"/>
  <c r="O23"/>
  <c r="M23"/>
  <c r="O38"/>
  <c r="M38"/>
  <c r="O46"/>
  <c r="M46"/>
  <c r="O55"/>
  <c r="M55"/>
  <c r="O63"/>
  <c r="M63"/>
  <c r="O65"/>
  <c r="M65"/>
  <c r="O67"/>
  <c r="M67"/>
  <c r="O79"/>
  <c r="M79"/>
  <c r="O81"/>
  <c r="M81"/>
  <c r="O83"/>
  <c r="M83"/>
  <c r="O85"/>
  <c r="M85"/>
  <c r="O95"/>
  <c r="M95"/>
  <c r="O14" i="43"/>
  <c r="M14"/>
  <c r="O18"/>
  <c r="M18"/>
  <c r="O23"/>
  <c r="M23"/>
  <c r="O38"/>
  <c r="M38"/>
  <c r="O46"/>
  <c r="M46"/>
  <c r="O55"/>
  <c r="M55"/>
  <c r="O63"/>
  <c r="M63"/>
  <c r="O65"/>
  <c r="M65"/>
  <c r="O67"/>
  <c r="M67"/>
  <c r="O79"/>
  <c r="M79"/>
  <c r="O81"/>
  <c r="M81"/>
  <c r="O83"/>
  <c r="M83"/>
  <c r="O85"/>
  <c r="M85"/>
  <c r="O95"/>
  <c r="M95"/>
  <c r="O15" i="40"/>
  <c r="M15"/>
  <c r="O19"/>
  <c r="M19"/>
  <c r="O25"/>
  <c r="M25"/>
  <c r="O27"/>
  <c r="M27"/>
  <c r="O32"/>
  <c r="M32"/>
  <c r="O34"/>
  <c r="M34"/>
  <c r="O40"/>
  <c r="M40"/>
  <c r="O42"/>
  <c r="M42"/>
  <c r="O47"/>
  <c r="M47"/>
  <c r="O49"/>
  <c r="M49"/>
  <c r="O51"/>
  <c r="M51"/>
  <c r="O57"/>
  <c r="M57"/>
  <c r="O59"/>
  <c r="M59"/>
  <c r="O71"/>
  <c r="M71"/>
  <c r="O73"/>
  <c r="M73"/>
  <c r="O75"/>
  <c r="M75"/>
  <c r="O89"/>
  <c r="M89"/>
  <c r="O91"/>
  <c r="M91"/>
  <c r="O15" i="43"/>
  <c r="M15"/>
  <c r="O19"/>
  <c r="M19"/>
  <c r="O25"/>
  <c r="M25"/>
  <c r="O27"/>
  <c r="M27"/>
  <c r="O32"/>
  <c r="M32"/>
  <c r="O34"/>
  <c r="M34"/>
  <c r="O40"/>
  <c r="M40"/>
  <c r="O42"/>
  <c r="M42"/>
  <c r="O47"/>
  <c r="M47"/>
  <c r="O49"/>
  <c r="M49"/>
  <c r="O51"/>
  <c r="M51"/>
  <c r="O57"/>
  <c r="M57"/>
  <c r="O59"/>
  <c r="M59"/>
  <c r="O71"/>
  <c r="M71"/>
  <c r="O73"/>
  <c r="M73"/>
  <c r="O75"/>
  <c r="M75"/>
  <c r="O89"/>
  <c r="M89"/>
  <c r="O91"/>
  <c r="M91"/>
  <c r="O23" i="6"/>
  <c r="M23"/>
  <c r="O31"/>
  <c r="M31"/>
  <c r="O40"/>
  <c r="M40"/>
  <c r="O55"/>
  <c r="M55"/>
  <c r="O63"/>
  <c r="M63"/>
  <c r="O65"/>
  <c r="M65"/>
  <c r="O67"/>
  <c r="M67"/>
  <c r="O79"/>
  <c r="M79"/>
  <c r="O81"/>
  <c r="M81"/>
  <c r="O83"/>
  <c r="M83"/>
  <c r="O85"/>
  <c r="M85"/>
  <c r="O95"/>
  <c r="M95"/>
  <c r="O102"/>
  <c r="M102"/>
  <c r="M18"/>
  <c r="O18"/>
  <c r="O16"/>
  <c r="M16"/>
  <c r="O20"/>
  <c r="M20"/>
  <c r="O26"/>
  <c r="M26"/>
  <c r="O28"/>
  <c r="M28"/>
  <c r="O33"/>
  <c r="M33"/>
  <c r="O35"/>
  <c r="M35"/>
  <c r="O41"/>
  <c r="M41"/>
  <c r="O43"/>
  <c r="M43"/>
  <c r="O48"/>
  <c r="M48"/>
  <c r="O50"/>
  <c r="M50"/>
  <c r="O52"/>
  <c r="M52"/>
  <c r="O58"/>
  <c r="M58"/>
  <c r="O60"/>
  <c r="M60"/>
  <c r="O72"/>
  <c r="M72"/>
  <c r="O74"/>
  <c r="M74"/>
  <c r="O76"/>
  <c r="M76"/>
  <c r="O90"/>
  <c r="M90"/>
  <c r="O92"/>
  <c r="M92"/>
  <c r="B16" i="3"/>
  <c r="O23" i="37"/>
  <c r="M23"/>
  <c r="O34"/>
  <c r="M34"/>
  <c r="O39"/>
  <c r="M39"/>
  <c r="O49"/>
  <c r="M49"/>
  <c r="O54"/>
  <c r="M54"/>
  <c r="O56"/>
  <c r="M56"/>
  <c r="O70"/>
  <c r="M70"/>
  <c r="O74"/>
  <c r="M74"/>
  <c r="O78"/>
  <c r="M78"/>
  <c r="O80"/>
  <c r="M80"/>
  <c r="O82"/>
  <c r="M82"/>
  <c r="O84"/>
  <c r="M84"/>
  <c r="O90"/>
  <c r="M90"/>
  <c r="O94"/>
  <c r="M94"/>
  <c r="M17"/>
  <c r="O17"/>
  <c r="O19"/>
  <c r="M19"/>
  <c r="O27"/>
  <c r="M27"/>
  <c r="O31"/>
  <c r="M31"/>
  <c r="O35"/>
  <c r="M35"/>
  <c r="O43"/>
  <c r="M43"/>
  <c r="O47"/>
  <c r="M47"/>
  <c r="O51"/>
  <c r="M51"/>
  <c r="O59"/>
  <c r="M59"/>
  <c r="O63"/>
  <c r="M63"/>
  <c r="O65"/>
  <c r="M65"/>
  <c r="O67"/>
  <c r="M67"/>
  <c r="O73"/>
  <c r="M73"/>
  <c r="O89"/>
  <c r="M89"/>
  <c r="O14" i="38"/>
  <c r="M14"/>
  <c r="O24"/>
  <c r="M24"/>
  <c r="O26"/>
  <c r="M26"/>
  <c r="O31"/>
  <c r="M31"/>
  <c r="O33"/>
  <c r="M33"/>
  <c r="O35"/>
  <c r="M35"/>
  <c r="O41"/>
  <c r="M41"/>
  <c r="O43"/>
  <c r="M43"/>
  <c r="O48"/>
  <c r="M48"/>
  <c r="O50"/>
  <c r="M50"/>
  <c r="O56"/>
  <c r="M56"/>
  <c r="O58"/>
  <c r="M58"/>
  <c r="O62"/>
  <c r="M62"/>
  <c r="O64"/>
  <c r="M64"/>
  <c r="O66"/>
  <c r="M66"/>
  <c r="O72"/>
  <c r="M72"/>
  <c r="O88"/>
  <c r="M88"/>
  <c r="O98"/>
  <c r="M98"/>
  <c r="O19" i="39"/>
  <c r="M19"/>
  <c r="O25"/>
  <c r="M25"/>
  <c r="O27"/>
  <c r="M27"/>
  <c r="O32"/>
  <c r="M32"/>
  <c r="O34"/>
  <c r="M34"/>
  <c r="O39"/>
  <c r="M39"/>
  <c r="O41"/>
  <c r="M41"/>
  <c r="O50"/>
  <c r="M50"/>
  <c r="O55"/>
  <c r="M55"/>
  <c r="O57"/>
  <c r="M57"/>
  <c r="O71"/>
  <c r="M71"/>
  <c r="O75"/>
  <c r="M75"/>
  <c r="O79"/>
  <c r="M79"/>
  <c r="O81"/>
  <c r="M81"/>
  <c r="O83"/>
  <c r="M83"/>
  <c r="O88"/>
  <c r="M88"/>
  <c r="O90"/>
  <c r="M90"/>
  <c r="O94"/>
  <c r="M94"/>
  <c r="O101"/>
  <c r="M101"/>
  <c r="O16" i="37"/>
  <c r="M16"/>
  <c r="O24"/>
  <c r="M24"/>
  <c r="O40"/>
  <c r="M40"/>
  <c r="O15" i="38"/>
  <c r="M15"/>
  <c r="O17"/>
  <c r="M17"/>
  <c r="O22"/>
  <c r="M22"/>
  <c r="O30"/>
  <c r="M30"/>
  <c r="O39"/>
  <c r="M39"/>
  <c r="O54"/>
  <c r="M54"/>
  <c r="O70"/>
  <c r="M70"/>
  <c r="O74"/>
  <c r="M74"/>
  <c r="O78"/>
  <c r="M78"/>
  <c r="O80"/>
  <c r="M80"/>
  <c r="O82"/>
  <c r="M82"/>
  <c r="O84"/>
  <c r="M84"/>
  <c r="O90"/>
  <c r="M90"/>
  <c r="O94"/>
  <c r="M94"/>
  <c r="O101"/>
  <c r="M101"/>
  <c r="P101" s="1"/>
  <c r="O16" i="39"/>
  <c r="M16"/>
  <c r="O18"/>
  <c r="M18"/>
  <c r="O23"/>
  <c r="M23"/>
  <c r="O35"/>
  <c r="M35"/>
  <c r="O43"/>
  <c r="M43"/>
  <c r="O47"/>
  <c r="M47"/>
  <c r="O51"/>
  <c r="M51"/>
  <c r="O59"/>
  <c r="M59"/>
  <c r="O63"/>
  <c r="M63"/>
  <c r="O65"/>
  <c r="M65"/>
  <c r="O67"/>
  <c r="M67"/>
  <c r="O73"/>
  <c r="M73"/>
  <c r="O98"/>
  <c r="M98"/>
  <c r="B32" i="4"/>
  <c r="AC32" s="1"/>
  <c r="B33"/>
  <c r="AC33" s="1"/>
  <c r="B41"/>
  <c r="AC41" s="1"/>
  <c r="B49"/>
  <c r="AC49" s="1"/>
  <c r="B12" i="3"/>
  <c r="O15" i="37"/>
  <c r="M15"/>
  <c r="O25"/>
  <c r="M25"/>
  <c r="O38"/>
  <c r="M38"/>
  <c r="O41"/>
  <c r="M41"/>
  <c r="O50"/>
  <c r="M50"/>
  <c r="O55"/>
  <c r="M55"/>
  <c r="O57"/>
  <c r="M57"/>
  <c r="O71"/>
  <c r="M71"/>
  <c r="O75"/>
  <c r="M75"/>
  <c r="O79"/>
  <c r="M79"/>
  <c r="O81"/>
  <c r="M81"/>
  <c r="O83"/>
  <c r="M83"/>
  <c r="O85"/>
  <c r="M85"/>
  <c r="O91"/>
  <c r="M91"/>
  <c r="O95"/>
  <c r="M95"/>
  <c r="O18"/>
  <c r="M18"/>
  <c r="O26"/>
  <c r="M26"/>
  <c r="O30"/>
  <c r="M30"/>
  <c r="O32"/>
  <c r="M32"/>
  <c r="O42"/>
  <c r="M42"/>
  <c r="O46"/>
  <c r="M46"/>
  <c r="O48"/>
  <c r="M48"/>
  <c r="O58"/>
  <c r="M58"/>
  <c r="O62"/>
  <c r="M62"/>
  <c r="O64"/>
  <c r="M64"/>
  <c r="O66"/>
  <c r="M66"/>
  <c r="O72"/>
  <c r="M72"/>
  <c r="O88"/>
  <c r="M88"/>
  <c r="O98"/>
  <c r="M98"/>
  <c r="O19" i="38"/>
  <c r="M19"/>
  <c r="O25"/>
  <c r="M25"/>
  <c r="O27"/>
  <c r="M27"/>
  <c r="O32"/>
  <c r="M32"/>
  <c r="O34"/>
  <c r="M34"/>
  <c r="O40"/>
  <c r="M40"/>
  <c r="O42"/>
  <c r="M42"/>
  <c r="O47"/>
  <c r="M47"/>
  <c r="O49"/>
  <c r="M49"/>
  <c r="O51"/>
  <c r="M51"/>
  <c r="O57"/>
  <c r="M57"/>
  <c r="O59"/>
  <c r="M59"/>
  <c r="O63"/>
  <c r="M63"/>
  <c r="O65"/>
  <c r="M65"/>
  <c r="O67"/>
  <c r="M67"/>
  <c r="O73"/>
  <c r="M73"/>
  <c r="O89"/>
  <c r="M89"/>
  <c r="O14" i="39"/>
  <c r="M14"/>
  <c r="O24"/>
  <c r="M24"/>
  <c r="O26"/>
  <c r="M26"/>
  <c r="O31"/>
  <c r="M31"/>
  <c r="O33"/>
  <c r="M33"/>
  <c r="O38"/>
  <c r="M38"/>
  <c r="O40"/>
  <c r="M40"/>
  <c r="O49"/>
  <c r="M49"/>
  <c r="O54"/>
  <c r="M54"/>
  <c r="O56"/>
  <c r="M56"/>
  <c r="O70"/>
  <c r="M70"/>
  <c r="O74"/>
  <c r="M74"/>
  <c r="O78"/>
  <c r="M78"/>
  <c r="O80"/>
  <c r="M80"/>
  <c r="O82"/>
  <c r="M82"/>
  <c r="O84"/>
  <c r="M84"/>
  <c r="O89"/>
  <c r="M89"/>
  <c r="O91"/>
  <c r="M91"/>
  <c r="O95"/>
  <c r="M95"/>
  <c r="O14" i="37"/>
  <c r="M14"/>
  <c r="M22"/>
  <c r="O22"/>
  <c r="O33"/>
  <c r="M33"/>
  <c r="O101"/>
  <c r="M101"/>
  <c r="O16" i="38"/>
  <c r="M16"/>
  <c r="O18"/>
  <c r="M18"/>
  <c r="O23"/>
  <c r="M23"/>
  <c r="O38"/>
  <c r="M38"/>
  <c r="O46"/>
  <c r="M46"/>
  <c r="O55"/>
  <c r="M55"/>
  <c r="O71"/>
  <c r="M71"/>
  <c r="O75"/>
  <c r="M75"/>
  <c r="O79"/>
  <c r="M79"/>
  <c r="O81"/>
  <c r="M81"/>
  <c r="O83"/>
  <c r="M83"/>
  <c r="O85"/>
  <c r="M85"/>
  <c r="O91"/>
  <c r="M91"/>
  <c r="O95"/>
  <c r="M95"/>
  <c r="O15" i="39"/>
  <c r="M15"/>
  <c r="O17"/>
  <c r="M17"/>
  <c r="O22"/>
  <c r="M22"/>
  <c r="O30"/>
  <c r="M30"/>
  <c r="O42"/>
  <c r="M42"/>
  <c r="O46"/>
  <c r="M46"/>
  <c r="O48"/>
  <c r="M48"/>
  <c r="O58"/>
  <c r="M58"/>
  <c r="O62"/>
  <c r="M62"/>
  <c r="O64"/>
  <c r="M64"/>
  <c r="O66"/>
  <c r="M66"/>
  <c r="O72"/>
  <c r="M72"/>
  <c r="O85"/>
  <c r="M85"/>
  <c r="B44" i="4"/>
  <c r="AC44" s="1"/>
  <c r="B17" i="3"/>
  <c r="B13" i="4"/>
  <c r="AC13" s="1"/>
  <c r="B47"/>
  <c r="AC47" s="1"/>
  <c r="B30"/>
  <c r="AC30" s="1"/>
  <c r="B10" i="3"/>
  <c r="B52" i="4"/>
  <c r="AC52" s="1"/>
  <c r="B15" i="3"/>
  <c r="B6"/>
  <c r="B40" i="4"/>
  <c r="AC40" s="1"/>
  <c r="B13" i="3"/>
  <c r="B49"/>
  <c r="B11"/>
  <c r="B26" i="4"/>
  <c r="AC26" s="1"/>
  <c r="B31"/>
  <c r="AC31" s="1"/>
  <c r="B22"/>
  <c r="AC22" s="1"/>
  <c r="B50"/>
  <c r="AC50" s="1"/>
  <c r="B28"/>
  <c r="AC28" s="1"/>
  <c r="B44" i="3"/>
  <c r="B27" i="4"/>
  <c r="AC27" s="1"/>
  <c r="B23" i="3"/>
  <c r="B29" i="4"/>
  <c r="AC29" s="1"/>
  <c r="B9"/>
  <c r="AC9" s="1"/>
  <c r="B47" i="3"/>
  <c r="B48"/>
  <c r="E34" i="30"/>
  <c r="I68"/>
  <c r="G58"/>
  <c r="G75"/>
  <c r="G33"/>
  <c r="I74"/>
  <c r="F66"/>
  <c r="H35"/>
  <c r="X35" s="1"/>
  <c r="E58"/>
  <c r="G59"/>
  <c r="F65"/>
  <c r="G44"/>
  <c r="E73"/>
  <c r="E74"/>
  <c r="G73"/>
  <c r="F74"/>
  <c r="G74"/>
  <c r="E76"/>
  <c r="E75"/>
  <c r="E68"/>
  <c r="G65"/>
  <c r="F68"/>
  <c r="H66"/>
  <c r="X66" s="1"/>
  <c r="I67"/>
  <c r="G67"/>
  <c r="G57"/>
  <c r="G60"/>
  <c r="F59"/>
  <c r="I57"/>
  <c r="E57"/>
  <c r="F60"/>
  <c r="E59"/>
  <c r="H57"/>
  <c r="X57" s="1"/>
  <c r="F58"/>
  <c r="F57"/>
  <c r="E60"/>
  <c r="G76"/>
  <c r="F75"/>
  <c r="I75"/>
  <c r="I73"/>
  <c r="H76"/>
  <c r="F76"/>
  <c r="I76"/>
  <c r="H73"/>
  <c r="X73" s="1"/>
  <c r="H75"/>
  <c r="X75" s="1"/>
  <c r="F73"/>
  <c r="H74"/>
  <c r="X74" s="1"/>
  <c r="H68"/>
  <c r="X68" s="1"/>
  <c r="H67"/>
  <c r="X67" s="1"/>
  <c r="G68"/>
  <c r="F67"/>
  <c r="E66"/>
  <c r="H65"/>
  <c r="I65"/>
  <c r="G66"/>
  <c r="I66"/>
  <c r="E67"/>
  <c r="E65"/>
  <c r="I58"/>
  <c r="I59"/>
  <c r="H60"/>
  <c r="X60" s="1"/>
  <c r="H59"/>
  <c r="I60"/>
  <c r="H58"/>
  <c r="H49"/>
  <c r="X49" s="1"/>
  <c r="I49"/>
  <c r="H52"/>
  <c r="X52" s="1"/>
  <c r="F49"/>
  <c r="F43"/>
  <c r="F42"/>
  <c r="H44"/>
  <c r="X44" s="1"/>
  <c r="F44"/>
  <c r="H43"/>
  <c r="X43" s="1"/>
  <c r="F41"/>
  <c r="I41"/>
  <c r="E42"/>
  <c r="G42"/>
  <c r="E43"/>
  <c r="E41"/>
  <c r="I43"/>
  <c r="H42"/>
  <c r="X42" s="1"/>
  <c r="I42"/>
  <c r="G43"/>
  <c r="G41"/>
  <c r="I44"/>
  <c r="H41"/>
  <c r="E44"/>
  <c r="G34"/>
  <c r="E35"/>
  <c r="G35"/>
  <c r="I35"/>
  <c r="H36"/>
  <c r="X36" s="1"/>
  <c r="E36"/>
  <c r="F36"/>
  <c r="G36"/>
  <c r="F34"/>
  <c r="I36"/>
  <c r="F35"/>
  <c r="E33"/>
  <c r="F33"/>
  <c r="H34"/>
  <c r="X34" s="1"/>
  <c r="H33"/>
  <c r="X33" s="1"/>
  <c r="I33"/>
  <c r="I34"/>
  <c r="H51"/>
  <c r="X51" s="1"/>
  <c r="E50"/>
  <c r="I50"/>
  <c r="H50"/>
  <c r="X50" s="1"/>
  <c r="G50"/>
  <c r="I51"/>
  <c r="E49"/>
  <c r="G49"/>
  <c r="E52"/>
  <c r="F50"/>
  <c r="E51"/>
  <c r="G51"/>
  <c r="G52"/>
  <c r="F51"/>
  <c r="I52"/>
  <c r="F52"/>
  <c r="M54" i="22"/>
  <c r="P54" s="1"/>
  <c r="O84" i="17"/>
  <c r="P84" s="1"/>
  <c r="O67" i="21"/>
  <c r="P67" s="1"/>
  <c r="M46" i="15"/>
  <c r="P46" s="1"/>
  <c r="O75" i="9"/>
  <c r="P75" s="1"/>
  <c r="O26" i="17"/>
  <c r="P26" s="1"/>
  <c r="M14" i="15"/>
  <c r="P14" s="1"/>
  <c r="M48"/>
  <c r="P48" s="1"/>
  <c r="O95" i="16"/>
  <c r="P95" s="1"/>
  <c r="O91" i="18"/>
  <c r="P91" s="1"/>
  <c r="O81" i="23"/>
  <c r="P81" s="1"/>
  <c r="M72" i="17"/>
  <c r="P72" s="1"/>
  <c r="O30" i="22"/>
  <c r="P30" s="1"/>
  <c r="O17" i="17"/>
  <c r="P17" s="1"/>
  <c r="O14" i="12"/>
  <c r="P14" s="1"/>
  <c r="O31"/>
  <c r="P31" s="1"/>
  <c r="O98" i="17"/>
  <c r="P98" s="1"/>
  <c r="O33" i="15"/>
  <c r="P33" s="1"/>
  <c r="M81" i="9"/>
  <c r="P81" s="1"/>
  <c r="M42" i="14"/>
  <c r="P42" s="1"/>
  <c r="M22" i="22"/>
  <c r="P22" s="1"/>
  <c r="M24" i="14"/>
  <c r="P24" s="1"/>
  <c r="O15" i="24"/>
  <c r="P15" s="1"/>
  <c r="O89" i="16"/>
  <c r="P89" s="1"/>
  <c r="M94" i="12"/>
  <c r="P94" s="1"/>
  <c r="O42" i="18"/>
  <c r="P42" s="1"/>
  <c r="M19" i="22"/>
  <c r="P19" s="1"/>
  <c r="O24" i="15"/>
  <c r="P24" s="1"/>
  <c r="O66" i="22"/>
  <c r="P66" s="1"/>
  <c r="O90" i="14"/>
  <c r="P90" s="1"/>
  <c r="M57" i="15"/>
  <c r="P57" s="1"/>
  <c r="M70" i="14"/>
  <c r="P70" s="1"/>
  <c r="O22" i="24"/>
  <c r="P22" s="1"/>
  <c r="O32" i="22"/>
  <c r="P32" s="1"/>
  <c r="O16" i="10"/>
  <c r="P16" s="1"/>
  <c r="O40" i="22"/>
  <c r="P40" s="1"/>
  <c r="O27" i="12"/>
  <c r="P27" s="1"/>
  <c r="O62" i="10"/>
  <c r="P62" s="1"/>
  <c r="O57" i="23"/>
  <c r="P57" s="1"/>
  <c r="O79" i="16"/>
  <c r="P79" s="1"/>
  <c r="O51"/>
  <c r="P51" s="1"/>
  <c r="M26" i="9"/>
  <c r="P26" s="1"/>
  <c r="M80" i="10"/>
  <c r="P80" s="1"/>
  <c r="M94" i="15"/>
  <c r="P94" s="1"/>
  <c r="O88" i="22"/>
  <c r="P88" s="1"/>
  <c r="O15" i="16"/>
  <c r="P15" s="1"/>
  <c r="O31" i="21"/>
  <c r="P31" s="1"/>
  <c r="M58" i="10"/>
  <c r="P58" s="1"/>
  <c r="O14" i="14"/>
  <c r="P14" s="1"/>
  <c r="M54" i="17"/>
  <c r="P54" s="1"/>
  <c r="O75" i="23"/>
  <c r="P75" s="1"/>
  <c r="O24" i="18"/>
  <c r="P24" s="1"/>
  <c r="M84" i="12"/>
  <c r="P84" s="1"/>
  <c r="O31" i="15"/>
  <c r="P31" s="1"/>
  <c r="M34"/>
  <c r="P34" s="1"/>
  <c r="M35" i="9"/>
  <c r="P35" s="1"/>
  <c r="M17" i="23"/>
  <c r="P17" s="1"/>
  <c r="O22" i="10"/>
  <c r="P22" s="1"/>
  <c r="O71" i="18"/>
  <c r="P71" s="1"/>
  <c r="O46" i="14"/>
  <c r="P46" s="1"/>
  <c r="O81" i="17"/>
  <c r="P81" s="1"/>
  <c r="O101" i="10"/>
  <c r="P101" s="1"/>
  <c r="O73" i="12"/>
  <c r="P73" s="1"/>
  <c r="O42" i="15"/>
  <c r="P42" s="1"/>
  <c r="M75"/>
  <c r="P75" s="1"/>
  <c r="O83" i="22"/>
  <c r="P83" s="1"/>
  <c r="O58" i="24"/>
  <c r="P58" s="1"/>
  <c r="M88"/>
  <c r="P88" s="1"/>
  <c r="O41" i="21"/>
  <c r="P41" s="1"/>
  <c r="O39" i="23"/>
  <c r="P39" s="1"/>
  <c r="O78" i="12"/>
  <c r="P78" s="1"/>
  <c r="M70" i="9"/>
  <c r="P70" s="1"/>
  <c r="M35" i="17"/>
  <c r="P35" s="1"/>
  <c r="M66" i="15"/>
  <c r="P66" s="1"/>
  <c r="M79" i="14"/>
  <c r="P79" s="1"/>
  <c r="O58" i="22"/>
  <c r="P58" s="1"/>
  <c r="O40" i="24"/>
  <c r="P40" s="1"/>
  <c r="O64" i="10"/>
  <c r="P64" s="1"/>
  <c r="M38" i="17"/>
  <c r="P38" s="1"/>
  <c r="O34" i="10"/>
  <c r="P34" s="1"/>
  <c r="O50" i="12"/>
  <c r="P50" s="1"/>
  <c r="O94" i="22"/>
  <c r="P94" s="1"/>
  <c r="O32" i="12"/>
  <c r="P32" s="1"/>
  <c r="O66" i="21"/>
  <c r="P66" s="1"/>
  <c r="O59" i="10"/>
  <c r="P59" s="1"/>
  <c r="M38" i="23"/>
  <c r="P38" s="1"/>
  <c r="O65" i="22"/>
  <c r="P65" s="1"/>
  <c r="O41"/>
  <c r="P41" s="1"/>
  <c r="O95" i="12"/>
  <c r="P95" s="1"/>
  <c r="O95" i="10"/>
  <c r="P95" s="1"/>
  <c r="O16" i="16"/>
  <c r="P16" s="1"/>
  <c r="O70" i="22"/>
  <c r="P70" s="1"/>
  <c r="O24" i="16"/>
  <c r="P24" s="1"/>
  <c r="O22" i="21"/>
  <c r="P22" s="1"/>
  <c r="O15" i="12"/>
  <c r="P15" s="1"/>
  <c r="O94" i="21"/>
  <c r="P94" s="1"/>
  <c r="O64" i="17"/>
  <c r="P64" s="1"/>
  <c r="O75" i="24"/>
  <c r="P75" s="1"/>
  <c r="M42" i="23"/>
  <c r="P42" s="1"/>
  <c r="O82"/>
  <c r="P82" s="1"/>
  <c r="O18" i="17"/>
  <c r="P18" s="1"/>
  <c r="O25" i="9"/>
  <c r="P25" s="1"/>
  <c r="M32" i="15"/>
  <c r="P32" s="1"/>
  <c r="M24" i="21"/>
  <c r="P24" s="1"/>
  <c r="M23" i="15"/>
  <c r="P23" s="1"/>
  <c r="O50" i="14"/>
  <c r="P50" s="1"/>
  <c r="M85" i="24"/>
  <c r="P85" s="1"/>
  <c r="O15" i="21"/>
  <c r="P15" s="1"/>
  <c r="O24" i="22"/>
  <c r="P24" s="1"/>
  <c r="M98" i="9"/>
  <c r="P98" s="1"/>
  <c r="M51" i="14"/>
  <c r="P51" s="1"/>
  <c r="M74" i="24"/>
  <c r="P74" s="1"/>
  <c r="O98" i="14"/>
  <c r="P98" s="1"/>
  <c r="O14" i="22"/>
  <c r="P14" s="1"/>
  <c r="O84" i="21"/>
  <c r="P84" s="1"/>
  <c r="O32" i="10"/>
  <c r="P32" s="1"/>
  <c r="O15" i="22"/>
  <c r="P15" s="1"/>
  <c r="O62" i="23"/>
  <c r="P62" s="1"/>
  <c r="O23" i="24"/>
  <c r="P23" s="1"/>
  <c r="O62" i="12"/>
  <c r="P62" s="1"/>
  <c r="O81" i="10"/>
  <c r="P81" s="1"/>
  <c r="M18" i="15"/>
  <c r="P18" s="1"/>
  <c r="M17" i="14"/>
  <c r="P17" s="1"/>
  <c r="O33" i="10"/>
  <c r="P33" s="1"/>
  <c r="O56" i="12"/>
  <c r="P56" s="1"/>
  <c r="O78" i="16"/>
  <c r="P78" s="1"/>
  <c r="O59" i="9"/>
  <c r="P59" s="1"/>
  <c r="O19" i="15"/>
  <c r="P19" s="1"/>
  <c r="O70" i="10"/>
  <c r="P70" s="1"/>
  <c r="M19" i="9"/>
  <c r="P19" s="1"/>
  <c r="O83" i="14"/>
  <c r="P83" s="1"/>
  <c r="O72" i="12"/>
  <c r="P72" s="1"/>
  <c r="O26" i="18"/>
  <c r="P26" s="1"/>
  <c r="M95" i="9"/>
  <c r="P95" s="1"/>
  <c r="M16" i="15"/>
  <c r="P16" s="1"/>
  <c r="M64"/>
  <c r="P64" s="1"/>
  <c r="O58" i="16"/>
  <c r="P58" s="1"/>
  <c r="O51" i="12"/>
  <c r="P51" s="1"/>
  <c r="O25" i="14"/>
  <c r="P25" s="1"/>
  <c r="O75" i="16"/>
  <c r="P75" s="1"/>
  <c r="O14" i="21"/>
  <c r="P14" s="1"/>
  <c r="O78" i="10"/>
  <c r="P78" s="1"/>
  <c r="O46" i="17"/>
  <c r="P46" s="1"/>
  <c r="M88" i="9"/>
  <c r="P88" s="1"/>
  <c r="O79" i="22"/>
  <c r="P79" s="1"/>
  <c r="M33" i="21"/>
  <c r="P33" s="1"/>
  <c r="O49" i="12"/>
  <c r="P49" s="1"/>
  <c r="O46" i="22"/>
  <c r="P46" s="1"/>
  <c r="O23"/>
  <c r="P23" s="1"/>
  <c r="O62" i="16"/>
  <c r="P62" s="1"/>
  <c r="O32" i="24"/>
  <c r="P32" s="1"/>
  <c r="O49" i="15"/>
  <c r="P49" s="1"/>
  <c r="O83"/>
  <c r="P83" s="1"/>
  <c r="O31" i="22"/>
  <c r="P31" s="1"/>
  <c r="O78" i="14"/>
  <c r="P78" s="1"/>
  <c r="M58" i="9"/>
  <c r="P58" s="1"/>
  <c r="M71" i="15"/>
  <c r="P71" s="1"/>
  <c r="O101" i="22"/>
  <c r="P101" s="1"/>
  <c r="O26" i="24"/>
  <c r="P26" s="1"/>
  <c r="O24" i="12"/>
  <c r="P24" s="1"/>
  <c r="O35" i="22"/>
  <c r="P35" s="1"/>
  <c r="M33" i="14"/>
  <c r="P33" s="1"/>
  <c r="O56" i="24"/>
  <c r="P56" s="1"/>
  <c r="O42" i="10"/>
  <c r="P42" s="1"/>
  <c r="O62" i="14"/>
  <c r="P62" s="1"/>
  <c r="O14" i="23"/>
  <c r="P14" s="1"/>
  <c r="O56" i="21"/>
  <c r="P56" s="1"/>
  <c r="O57" i="12"/>
  <c r="P57" s="1"/>
  <c r="M89" i="15"/>
  <c r="P89" s="1"/>
  <c r="O62" i="22"/>
  <c r="P62" s="1"/>
  <c r="O40" i="15"/>
  <c r="P40" s="1"/>
  <c r="M65" i="9"/>
  <c r="P65" s="1"/>
  <c r="O90" i="22"/>
  <c r="P90" s="1"/>
  <c r="O38" i="24"/>
  <c r="P38" s="1"/>
  <c r="M70" i="17"/>
  <c r="P70" s="1"/>
  <c r="O74" i="18"/>
  <c r="P74" s="1"/>
  <c r="O50" i="10"/>
  <c r="P50" s="1"/>
  <c r="O98" i="16"/>
  <c r="P98" s="1"/>
  <c r="O82" i="14"/>
  <c r="P82" s="1"/>
  <c r="M42" i="9"/>
  <c r="P42" s="1"/>
  <c r="O85" i="23"/>
  <c r="P85" s="1"/>
  <c r="M89" i="10"/>
  <c r="P89" s="1"/>
  <c r="M54" i="23"/>
  <c r="P54" s="1"/>
  <c r="M31" i="14"/>
  <c r="P31" s="1"/>
  <c r="O49" i="10"/>
  <c r="P49" s="1"/>
  <c r="O74" i="12"/>
  <c r="P74" s="1"/>
  <c r="O48" i="22"/>
  <c r="P48" s="1"/>
  <c r="O32" i="14"/>
  <c r="P32" s="1"/>
  <c r="O64" i="9"/>
  <c r="P64" s="1"/>
  <c r="O15" i="18"/>
  <c r="P15" s="1"/>
  <c r="O18" i="23"/>
  <c r="P18" s="1"/>
  <c r="O82" i="9"/>
  <c r="P82" s="1"/>
  <c r="O84" i="23"/>
  <c r="P84" s="1"/>
  <c r="O64" i="12"/>
  <c r="P64" s="1"/>
  <c r="O39" i="24"/>
  <c r="P39" s="1"/>
  <c r="O32" i="23"/>
  <c r="P32" s="1"/>
  <c r="O18" i="14"/>
  <c r="P18" s="1"/>
  <c r="O67" i="15"/>
  <c r="P67" s="1"/>
  <c r="O84" i="16"/>
  <c r="P84" s="1"/>
  <c r="O78" i="17"/>
  <c r="P78" s="1"/>
  <c r="O43" i="24"/>
  <c r="P43" s="1"/>
  <c r="O27" i="10"/>
  <c r="P27" s="1"/>
  <c r="M62" i="15"/>
  <c r="P62" s="1"/>
  <c r="O40" i="16"/>
  <c r="P40" s="1"/>
  <c r="O78" i="21"/>
  <c r="P78" s="1"/>
  <c r="O57" i="14"/>
  <c r="P57" s="1"/>
  <c r="O80" i="22"/>
  <c r="P80" s="1"/>
  <c r="O58" i="17"/>
  <c r="P58" s="1"/>
  <c r="O34" i="16"/>
  <c r="P34" s="1"/>
  <c r="O57" i="24"/>
  <c r="P57" s="1"/>
  <c r="O75" i="17"/>
  <c r="P75" s="1"/>
  <c r="O80" i="16"/>
  <c r="P80" s="1"/>
  <c r="O78" i="22"/>
  <c r="P78" s="1"/>
  <c r="O82" i="17"/>
  <c r="P82" s="1"/>
  <c r="O94" i="14"/>
  <c r="P94" s="1"/>
  <c r="O17" i="22"/>
  <c r="P17" s="1"/>
  <c r="O54" i="16"/>
  <c r="P54" s="1"/>
  <c r="M90" i="23"/>
  <c r="P90" s="1"/>
  <c r="M74" i="14"/>
  <c r="P74" s="1"/>
  <c r="O55" i="10"/>
  <c r="P55" s="1"/>
  <c r="O42" i="12"/>
  <c r="P42" s="1"/>
  <c r="O30" i="16"/>
  <c r="P30" s="1"/>
  <c r="O71" i="22"/>
  <c r="P71" s="1"/>
  <c r="M50" i="15"/>
  <c r="P50" s="1"/>
  <c r="M91"/>
  <c r="P91" s="1"/>
  <c r="M74" i="23"/>
  <c r="P74" s="1"/>
  <c r="O98" i="22"/>
  <c r="P98" s="1"/>
  <c r="O22" i="16"/>
  <c r="P22" s="1"/>
  <c r="O98" i="24"/>
  <c r="P98" s="1"/>
  <c r="O65" i="10"/>
  <c r="P65" s="1"/>
  <c r="O38" i="12"/>
  <c r="P38" s="1"/>
  <c r="O81"/>
  <c r="P81" s="1"/>
  <c r="O64" i="21"/>
  <c r="P64" s="1"/>
  <c r="O48" i="10"/>
  <c r="P48" s="1"/>
  <c r="O48" i="14"/>
  <c r="P48" s="1"/>
  <c r="O18" i="16"/>
  <c r="P18" s="1"/>
  <c r="O23" i="10"/>
  <c r="P23" s="1"/>
  <c r="O46" i="23"/>
  <c r="P46" s="1"/>
  <c r="M59" i="22"/>
  <c r="P59" s="1"/>
  <c r="O25" i="24"/>
  <c r="P25" s="1"/>
  <c r="O43" i="17"/>
  <c r="P43" s="1"/>
  <c r="O35" i="15"/>
  <c r="P35" s="1"/>
  <c r="O32" i="21"/>
  <c r="P32" s="1"/>
  <c r="O64" i="23"/>
  <c r="P64" s="1"/>
  <c r="O19" i="12"/>
  <c r="P19" s="1"/>
  <c r="O26" i="21"/>
  <c r="P26" s="1"/>
  <c r="O73" i="18"/>
  <c r="P73" s="1"/>
  <c r="O50" i="23"/>
  <c r="P50" s="1"/>
  <c r="M91" i="10"/>
  <c r="P91" s="1"/>
  <c r="M70" i="23"/>
  <c r="P70" s="1"/>
  <c r="O88" i="16"/>
  <c r="P88" s="1"/>
  <c r="O47" i="24"/>
  <c r="P47" s="1"/>
  <c r="O33" i="12"/>
  <c r="P33" s="1"/>
  <c r="O79"/>
  <c r="P79" s="1"/>
  <c r="O50" i="21"/>
  <c r="P50" s="1"/>
  <c r="O41" i="10"/>
  <c r="P41" s="1"/>
  <c r="O73" i="9"/>
  <c r="P73" s="1"/>
  <c r="O14" i="17"/>
  <c r="P14" s="1"/>
  <c r="O17" i="15"/>
  <c r="P17" s="1"/>
  <c r="O91" i="24"/>
  <c r="P91" s="1"/>
  <c r="M101" i="23"/>
  <c r="P101" s="1"/>
  <c r="O84" i="18"/>
  <c r="P84" s="1"/>
  <c r="O59" i="23"/>
  <c r="P59" s="1"/>
  <c r="M54" i="9"/>
  <c r="P54" s="1"/>
  <c r="M94" i="10"/>
  <c r="P94" s="1"/>
  <c r="M65" i="23"/>
  <c r="P65" s="1"/>
  <c r="M98"/>
  <c r="P98" s="1"/>
  <c r="M35" i="14"/>
  <c r="P35" s="1"/>
  <c r="M72"/>
  <c r="P72" s="1"/>
  <c r="O95" i="22"/>
  <c r="P95" s="1"/>
  <c r="O24" i="24"/>
  <c r="P24" s="1"/>
  <c r="O67"/>
  <c r="P67" s="1"/>
  <c r="O17" i="12"/>
  <c r="P17" s="1"/>
  <c r="O47"/>
  <c r="P47" s="1"/>
  <c r="O57" i="21"/>
  <c r="P57" s="1"/>
  <c r="O56" i="17"/>
  <c r="P56" s="1"/>
  <c r="O85" i="15"/>
  <c r="P85" s="1"/>
  <c r="O33" i="22"/>
  <c r="P33" s="1"/>
  <c r="O84" i="9"/>
  <c r="P84" s="1"/>
  <c r="O98" i="18"/>
  <c r="P98" s="1"/>
  <c r="O55" i="23"/>
  <c r="P55" s="1"/>
  <c r="O40" i="18"/>
  <c r="P40" s="1"/>
  <c r="O75" i="12"/>
  <c r="P75" s="1"/>
  <c r="O79" i="15"/>
  <c r="P79" s="1"/>
  <c r="O71" i="24"/>
  <c r="P71" s="1"/>
  <c r="O47" i="15"/>
  <c r="P47" s="1"/>
  <c r="M40" i="14"/>
  <c r="P40" s="1"/>
  <c r="O54" i="15"/>
  <c r="P54" s="1"/>
  <c r="O70" i="12"/>
  <c r="P70" s="1"/>
  <c r="M83" i="10"/>
  <c r="P83" s="1"/>
  <c r="O46" i="21"/>
  <c r="P46" s="1"/>
  <c r="O94" i="23"/>
  <c r="P94" s="1"/>
  <c r="O94" i="17"/>
  <c r="P94" s="1"/>
  <c r="O51" i="15"/>
  <c r="P51" s="1"/>
  <c r="M83" i="9"/>
  <c r="P83" s="1"/>
  <c r="M82" i="10"/>
  <c r="P82" s="1"/>
  <c r="M27" i="15"/>
  <c r="P27" s="1"/>
  <c r="M59"/>
  <c r="P59" s="1"/>
  <c r="M82"/>
  <c r="P82" s="1"/>
  <c r="M26" i="14"/>
  <c r="P26" s="1"/>
  <c r="M58"/>
  <c r="P58" s="1"/>
  <c r="M85"/>
  <c r="P85" s="1"/>
  <c r="O85" i="22"/>
  <c r="P85" s="1"/>
  <c r="O67"/>
  <c r="P67" s="1"/>
  <c r="O35" i="16"/>
  <c r="P35" s="1"/>
  <c r="O72"/>
  <c r="P72" s="1"/>
  <c r="O95" i="14"/>
  <c r="P95" s="1"/>
  <c r="O35" i="12"/>
  <c r="P35" s="1"/>
  <c r="O65"/>
  <c r="P65" s="1"/>
  <c r="O55" i="22"/>
  <c r="P55" s="1"/>
  <c r="M24" i="17"/>
  <c r="P24" s="1"/>
  <c r="O14" i="10"/>
  <c r="P14" s="1"/>
  <c r="O65" i="15"/>
  <c r="P65" s="1"/>
  <c r="O84" i="22"/>
  <c r="P84" s="1"/>
  <c r="O57" i="9"/>
  <c r="P57" s="1"/>
  <c r="O54" i="18"/>
  <c r="P54" s="1"/>
  <c r="O48" i="17"/>
  <c r="P48" s="1"/>
  <c r="M91" i="12"/>
  <c r="P91" s="1"/>
  <c r="O55" i="9"/>
  <c r="P55" s="1"/>
  <c r="O59" i="17"/>
  <c r="P59" s="1"/>
  <c r="O42" i="22"/>
  <c r="P42" s="1"/>
  <c r="O48" i="16"/>
  <c r="P48" s="1"/>
  <c r="O26" i="15"/>
  <c r="P26" s="1"/>
  <c r="O88" i="14"/>
  <c r="P88" s="1"/>
  <c r="M51" i="17"/>
  <c r="P51" s="1"/>
  <c r="O81" i="15"/>
  <c r="P81" s="1"/>
  <c r="M63" i="14"/>
  <c r="P63" s="1"/>
  <c r="O101" i="12"/>
  <c r="P101" s="1"/>
  <c r="O66" i="16"/>
  <c r="P66" s="1"/>
  <c r="O67" i="18"/>
  <c r="P67" s="1"/>
  <c r="M31" i="9"/>
  <c r="P31" s="1"/>
  <c r="O81" i="14"/>
  <c r="P81" s="1"/>
  <c r="M80" i="15"/>
  <c r="P80" s="1"/>
  <c r="M33" i="23"/>
  <c r="P33" s="1"/>
  <c r="M54" i="14"/>
  <c r="P54" s="1"/>
  <c r="O26" i="16"/>
  <c r="P26" s="1"/>
  <c r="O67"/>
  <c r="P67" s="1"/>
  <c r="O42" i="24"/>
  <c r="P42" s="1"/>
  <c r="O58" i="12"/>
  <c r="P58" s="1"/>
  <c r="O90"/>
  <c r="P90" s="1"/>
  <c r="O27" i="22"/>
  <c r="P27" s="1"/>
  <c r="M74" i="10"/>
  <c r="P74" s="1"/>
  <c r="O82" i="21"/>
  <c r="P82" s="1"/>
  <c r="O30" i="14"/>
  <c r="P30" s="1"/>
  <c r="M42" i="17"/>
  <c r="P42" s="1"/>
  <c r="O46" i="16"/>
  <c r="P46" s="1"/>
  <c r="O32" i="17"/>
  <c r="P32" s="1"/>
  <c r="O30" i="23"/>
  <c r="P30" s="1"/>
  <c r="O78"/>
  <c r="P78" s="1"/>
  <c r="M73" i="22"/>
  <c r="P73" s="1"/>
  <c r="M64"/>
  <c r="P64" s="1"/>
  <c r="O64" i="24"/>
  <c r="P64" s="1"/>
  <c r="O43" i="12"/>
  <c r="P43" s="1"/>
  <c r="O64" i="16"/>
  <c r="P64" s="1"/>
  <c r="O80" i="12"/>
  <c r="P80" s="1"/>
  <c r="O66" i="17"/>
  <c r="P66" s="1"/>
  <c r="O22" i="15"/>
  <c r="P22" s="1"/>
  <c r="O73" i="23"/>
  <c r="P73" s="1"/>
  <c r="O16" i="12"/>
  <c r="P16" s="1"/>
  <c r="M38" i="10"/>
  <c r="P38" s="1"/>
  <c r="O66" i="12"/>
  <c r="P66" s="1"/>
  <c r="M38" i="9"/>
  <c r="P38" s="1"/>
  <c r="O38" i="16"/>
  <c r="P38" s="1"/>
  <c r="O74"/>
  <c r="P74" s="1"/>
  <c r="O72" i="15"/>
  <c r="P72" s="1"/>
  <c r="O18" i="21"/>
  <c r="P18" s="1"/>
  <c r="O27" i="24"/>
  <c r="P27" s="1"/>
  <c r="M55" i="15"/>
  <c r="P55" s="1"/>
  <c r="M78"/>
  <c r="P78" s="1"/>
  <c r="M79" i="23"/>
  <c r="P79" s="1"/>
  <c r="M19" i="14"/>
  <c r="P19" s="1"/>
  <c r="O74" i="22"/>
  <c r="P74" s="1"/>
  <c r="O63"/>
  <c r="P63" s="1"/>
  <c r="O63" i="16"/>
  <c r="P63" s="1"/>
  <c r="O101"/>
  <c r="P101" s="1"/>
  <c r="M90" i="24"/>
  <c r="P90" s="1"/>
  <c r="O83" i="12"/>
  <c r="P83" s="1"/>
  <c r="M19" i="17"/>
  <c r="P19" s="1"/>
  <c r="O90"/>
  <c r="P90" s="1"/>
  <c r="O73" i="10"/>
  <c r="P73" s="1"/>
  <c r="O64" i="14"/>
  <c r="P64" s="1"/>
  <c r="O56" i="22"/>
  <c r="P56" s="1"/>
  <c r="O16" i="9"/>
  <c r="P16" s="1"/>
  <c r="O31" i="18"/>
  <c r="P31" s="1"/>
  <c r="O101" i="21"/>
  <c r="P101" s="1"/>
  <c r="O27" i="23"/>
  <c r="P27" s="1"/>
  <c r="O89"/>
  <c r="P89" s="1"/>
  <c r="O34" i="12"/>
  <c r="P34" s="1"/>
  <c r="O23" i="9"/>
  <c r="P23" s="1"/>
  <c r="O50" i="17"/>
  <c r="P50" s="1"/>
  <c r="O101" i="15"/>
  <c r="P101" s="1"/>
  <c r="M54" i="10"/>
  <c r="P54" s="1"/>
  <c r="O32" i="18"/>
  <c r="P32" s="1"/>
  <c r="O43" i="23"/>
  <c r="P43" s="1"/>
  <c r="O47" i="16"/>
  <c r="P47" s="1"/>
  <c r="O41" i="14"/>
  <c r="P41" s="1"/>
  <c r="O73"/>
  <c r="P73" s="1"/>
  <c r="O94" i="16"/>
  <c r="P94" s="1"/>
  <c r="O71" i="10"/>
  <c r="P71" s="1"/>
  <c r="O16" i="24"/>
  <c r="P16" s="1"/>
  <c r="O16" i="23"/>
  <c r="P16" s="1"/>
  <c r="O34" i="9"/>
  <c r="P34" s="1"/>
  <c r="O25" i="23"/>
  <c r="P25" s="1"/>
  <c r="M33" i="9"/>
  <c r="P33" s="1"/>
  <c r="M30" i="15"/>
  <c r="P30" s="1"/>
  <c r="M49" i="23"/>
  <c r="P49" s="1"/>
  <c r="M38" i="14"/>
  <c r="P38" s="1"/>
  <c r="O81" i="22"/>
  <c r="P81" s="1"/>
  <c r="O50"/>
  <c r="P50" s="1"/>
  <c r="M67" i="17"/>
  <c r="P67" s="1"/>
  <c r="O48" i="9"/>
  <c r="P48" s="1"/>
  <c r="O42" i="21"/>
  <c r="P42" s="1"/>
  <c r="O80" i="17"/>
  <c r="P80" s="1"/>
  <c r="O71" i="23"/>
  <c r="P71" s="1"/>
  <c r="O80" i="24"/>
  <c r="P80" s="1"/>
  <c r="O88" i="18"/>
  <c r="P88" s="1"/>
  <c r="M84" i="10"/>
  <c r="P84" s="1"/>
  <c r="M73" i="15"/>
  <c r="P73" s="1"/>
  <c r="M15" i="14"/>
  <c r="P15" s="1"/>
  <c r="M56"/>
  <c r="P56" s="1"/>
  <c r="O19" i="16"/>
  <c r="P19" s="1"/>
  <c r="O42"/>
  <c r="P42" s="1"/>
  <c r="O70"/>
  <c r="P70" s="1"/>
  <c r="O54" i="24"/>
  <c r="P54" s="1"/>
  <c r="O19" i="21"/>
  <c r="P19" s="1"/>
  <c r="O101" i="14"/>
  <c r="P101" s="1"/>
  <c r="O54" i="12"/>
  <c r="P54" s="1"/>
  <c r="O98"/>
  <c r="P98" s="1"/>
  <c r="O75" i="18"/>
  <c r="P75" s="1"/>
  <c r="O62" i="21"/>
  <c r="P62" s="1"/>
  <c r="O101" i="17"/>
  <c r="P101" s="1"/>
  <c r="O57" i="10"/>
  <c r="P57" s="1"/>
  <c r="O34" i="14"/>
  <c r="P34" s="1"/>
  <c r="O66"/>
  <c r="P66" s="1"/>
  <c r="O18" i="22"/>
  <c r="P18" s="1"/>
  <c r="O32" i="9"/>
  <c r="P32" s="1"/>
  <c r="O82" i="16"/>
  <c r="P82" s="1"/>
  <c r="O47" i="18"/>
  <c r="P47" s="1"/>
  <c r="O66" i="10"/>
  <c r="P66" s="1"/>
  <c r="O34" i="23"/>
  <c r="P34" s="1"/>
  <c r="O66"/>
  <c r="P66" s="1"/>
  <c r="O65" i="18"/>
  <c r="P65" s="1"/>
  <c r="O73" i="24"/>
  <c r="P73" s="1"/>
  <c r="O62" i="17"/>
  <c r="P62" s="1"/>
  <c r="O30" i="12"/>
  <c r="P30" s="1"/>
  <c r="O75" i="10"/>
  <c r="P75" s="1"/>
  <c r="O63" i="15"/>
  <c r="P63" s="1"/>
  <c r="O32" i="16"/>
  <c r="P32" s="1"/>
  <c r="O15" i="15"/>
  <c r="P15" s="1"/>
  <c r="M22" i="9"/>
  <c r="P22" s="1"/>
  <c r="M85"/>
  <c r="P85" s="1"/>
  <c r="O26" i="10"/>
  <c r="P26" s="1"/>
  <c r="O49" i="22"/>
  <c r="P49" s="1"/>
  <c r="M51"/>
  <c r="P51" s="1"/>
  <c r="M43" i="15"/>
  <c r="P43" s="1"/>
  <c r="M84"/>
  <c r="P84" s="1"/>
  <c r="M26" i="23"/>
  <c r="P26" s="1"/>
  <c r="M49" i="14"/>
  <c r="P49" s="1"/>
  <c r="O72" i="22"/>
  <c r="P72" s="1"/>
  <c r="O72" i="24"/>
  <c r="P72" s="1"/>
  <c r="M101"/>
  <c r="P101" s="1"/>
  <c r="O67" i="12"/>
  <c r="P67" s="1"/>
  <c r="O88"/>
  <c r="P88" s="1"/>
  <c r="O59" i="18"/>
  <c r="P59" s="1"/>
  <c r="O48" i="21"/>
  <c r="P48" s="1"/>
  <c r="O80"/>
  <c r="P80" s="1"/>
  <c r="M40" i="17"/>
  <c r="P40" s="1"/>
  <c r="O88"/>
  <c r="P88" s="1"/>
  <c r="O56" i="15"/>
  <c r="P56" s="1"/>
  <c r="M82" i="12"/>
  <c r="P82" s="1"/>
  <c r="M22" i="17"/>
  <c r="P22" s="1"/>
  <c r="O80" i="9"/>
  <c r="P80" s="1"/>
  <c r="O95" i="18"/>
  <c r="P95" s="1"/>
  <c r="O16" i="17"/>
  <c r="P16" s="1"/>
  <c r="O39" i="10"/>
  <c r="P39" s="1"/>
  <c r="O23" i="23"/>
  <c r="P23" s="1"/>
  <c r="O91"/>
  <c r="P91" s="1"/>
  <c r="O48" i="24"/>
  <c r="P48" s="1"/>
  <c r="O34" i="21"/>
  <c r="P34" s="1"/>
  <c r="O59" i="12"/>
  <c r="P59" s="1"/>
  <c r="O18" i="9"/>
  <c r="P18" s="1"/>
  <c r="O34" i="17"/>
  <c r="P34" s="1"/>
  <c r="O46" i="10"/>
  <c r="P46" s="1"/>
  <c r="O38" i="15"/>
  <c r="P38" s="1"/>
  <c r="O91" i="22"/>
  <c r="P91" s="1"/>
  <c r="O48" i="23"/>
  <c r="P48" s="1"/>
  <c r="O26" i="22"/>
  <c r="P26" s="1"/>
  <c r="O31" i="16"/>
  <c r="P31" s="1"/>
  <c r="O56"/>
  <c r="P56" s="1"/>
  <c r="O83"/>
  <c r="P83" s="1"/>
  <c r="O70" i="24"/>
  <c r="P70" s="1"/>
  <c r="M17" i="21"/>
  <c r="P17" s="1"/>
  <c r="O35"/>
  <c r="P35" s="1"/>
  <c r="O22" i="12"/>
  <c r="P22" s="1"/>
  <c r="O85"/>
  <c r="P85" s="1"/>
  <c r="O16" i="22"/>
  <c r="P16" s="1"/>
  <c r="O57" i="18"/>
  <c r="P57" s="1"/>
  <c r="O85" i="17"/>
  <c r="P85" s="1"/>
  <c r="O25" i="10"/>
  <c r="P25" s="1"/>
  <c r="O84" i="14"/>
  <c r="P84" s="1"/>
  <c r="O38" i="22"/>
  <c r="P38" s="1"/>
  <c r="O49" i="17"/>
  <c r="P49" s="1"/>
  <c r="M74"/>
  <c r="P74" s="1"/>
  <c r="O79" i="18"/>
  <c r="P79" s="1"/>
  <c r="M34" i="22"/>
  <c r="P34" s="1"/>
  <c r="O71" i="9"/>
  <c r="P71" s="1"/>
  <c r="O41" i="24"/>
  <c r="P41" s="1"/>
  <c r="O30" i="21"/>
  <c r="P30" s="1"/>
  <c r="O30" i="17"/>
  <c r="P30" s="1"/>
  <c r="O59" i="24"/>
  <c r="P59" s="1"/>
  <c r="O57" i="22"/>
  <c r="P57" s="1"/>
  <c r="O43" i="10"/>
  <c r="P43" s="1"/>
  <c r="O82" i="22"/>
  <c r="P82" s="1"/>
  <c r="O55" i="24"/>
  <c r="P55" s="1"/>
  <c r="O16" i="21"/>
  <c r="P16" s="1"/>
  <c r="O41" i="23"/>
  <c r="P41" s="1"/>
  <c r="M49" i="9"/>
  <c r="P49" s="1"/>
  <c r="O90" i="16"/>
  <c r="P90" s="1"/>
  <c r="O26" i="12"/>
  <c r="P26" s="1"/>
  <c r="O38" i="18"/>
  <c r="P38" s="1"/>
  <c r="O18" i="12"/>
  <c r="P18" s="1"/>
  <c r="O80" i="23"/>
  <c r="P80" s="1"/>
  <c r="O14" i="16"/>
  <c r="P14" s="1"/>
  <c r="M17" i="9"/>
  <c r="P17" s="1"/>
  <c r="M40"/>
  <c r="P40" s="1"/>
  <c r="M39" i="15"/>
  <c r="P39" s="1"/>
  <c r="M22" i="23"/>
  <c r="P22" s="1"/>
  <c r="M47" i="14"/>
  <c r="P47" s="1"/>
  <c r="M67"/>
  <c r="P67" s="1"/>
  <c r="M15" i="9"/>
  <c r="P15" s="1"/>
  <c r="M79"/>
  <c r="P79" s="1"/>
  <c r="M58" i="23"/>
  <c r="P58" s="1"/>
  <c r="M22" i="14"/>
  <c r="P22" s="1"/>
  <c r="M65"/>
  <c r="P65" s="1"/>
  <c r="O35" i="24"/>
  <c r="P35" s="1"/>
  <c r="O40" i="12"/>
  <c r="P40" s="1"/>
  <c r="O63"/>
  <c r="P63" s="1"/>
  <c r="M17" i="10"/>
  <c r="P17" s="1"/>
  <c r="O55" i="18"/>
  <c r="P55" s="1"/>
  <c r="O73" i="21"/>
  <c r="P73" s="1"/>
  <c r="O18" i="10"/>
  <c r="P18" s="1"/>
  <c r="O16" i="14"/>
  <c r="P16" s="1"/>
  <c r="O80"/>
  <c r="P80" s="1"/>
  <c r="O50" i="16"/>
  <c r="P50" s="1"/>
  <c r="O22" i="18"/>
  <c r="P22" s="1"/>
  <c r="O90" i="21"/>
  <c r="P90" s="1"/>
  <c r="O89" i="17"/>
  <c r="P89" s="1"/>
  <c r="O27"/>
  <c r="P27" s="1"/>
  <c r="O46" i="12"/>
  <c r="P46" s="1"/>
  <c r="M89"/>
  <c r="P89" s="1"/>
  <c r="O47" i="22"/>
  <c r="P47" s="1"/>
  <c r="O30" i="10"/>
  <c r="P30" s="1"/>
  <c r="O95" i="15"/>
  <c r="P95" s="1"/>
  <c r="O48" i="12"/>
  <c r="P48" s="1"/>
  <c r="O83" i="24"/>
  <c r="P83" s="1"/>
  <c r="O23" i="18"/>
  <c r="P23" s="1"/>
  <c r="O43"/>
  <c r="P43" s="1"/>
  <c r="O43" i="16"/>
  <c r="P43" s="1"/>
  <c r="O19" i="18"/>
  <c r="P19" s="1"/>
  <c r="O35"/>
  <c r="P35" s="1"/>
  <c r="O51"/>
  <c r="P51" s="1"/>
  <c r="O63"/>
  <c r="P63" s="1"/>
  <c r="O83"/>
  <c r="P83" s="1"/>
  <c r="O38" i="21"/>
  <c r="P38" s="1"/>
  <c r="O58"/>
  <c r="P58" s="1"/>
  <c r="O70"/>
  <c r="P70" s="1"/>
  <c r="O50" i="9"/>
  <c r="P50" s="1"/>
  <c r="O66"/>
  <c r="P66" s="1"/>
  <c r="O17" i="18"/>
  <c r="P17" s="1"/>
  <c r="O33"/>
  <c r="P33" s="1"/>
  <c r="O49"/>
  <c r="P49" s="1"/>
  <c r="O81"/>
  <c r="P81" s="1"/>
  <c r="O84" i="24"/>
  <c r="P84" s="1"/>
  <c r="O85" i="18"/>
  <c r="P85" s="1"/>
  <c r="O14" i="24"/>
  <c r="P14" s="1"/>
  <c r="O30"/>
  <c r="P30" s="1"/>
  <c r="O46"/>
  <c r="P46" s="1"/>
  <c r="O62"/>
  <c r="P62" s="1"/>
  <c r="O78"/>
  <c r="P78" s="1"/>
  <c r="O62" i="9"/>
  <c r="P62" s="1"/>
  <c r="O78"/>
  <c r="P78" s="1"/>
  <c r="O18" i="24"/>
  <c r="P18" s="1"/>
  <c r="O34"/>
  <c r="P34" s="1"/>
  <c r="O50"/>
  <c r="P50" s="1"/>
  <c r="O66"/>
  <c r="P66" s="1"/>
  <c r="O82"/>
  <c r="P82" s="1"/>
  <c r="O94"/>
  <c r="P94" s="1"/>
  <c r="O54" i="21"/>
  <c r="P54" s="1"/>
  <c r="O74"/>
  <c r="P74" s="1"/>
  <c r="O98"/>
  <c r="P98" s="1"/>
  <c r="O40"/>
  <c r="P40" s="1"/>
  <c r="O72"/>
  <c r="P72" s="1"/>
  <c r="O88"/>
  <c r="P88" s="1"/>
  <c r="M74" i="9"/>
  <c r="P74" s="1"/>
  <c r="O19" i="24"/>
  <c r="P19" s="1"/>
  <c r="O31"/>
  <c r="P31" s="1"/>
  <c r="O51"/>
  <c r="P51" s="1"/>
  <c r="O63"/>
  <c r="P63" s="1"/>
  <c r="M81"/>
  <c r="P81" s="1"/>
  <c r="O79"/>
  <c r="P79" s="1"/>
  <c r="O95"/>
  <c r="P95" s="1"/>
  <c r="O16" i="18"/>
  <c r="P16" s="1"/>
  <c r="O27"/>
  <c r="P27" s="1"/>
  <c r="O39"/>
  <c r="P39" s="1"/>
  <c r="O48"/>
  <c r="P48" s="1"/>
  <c r="O64"/>
  <c r="P64" s="1"/>
  <c r="O80"/>
  <c r="P80" s="1"/>
  <c r="O89" i="21"/>
  <c r="P89" s="1"/>
  <c r="M15" i="17"/>
  <c r="P15" s="1"/>
  <c r="M31"/>
  <c r="P31" s="1"/>
  <c r="M47"/>
  <c r="P47" s="1"/>
  <c r="M63"/>
  <c r="P63" s="1"/>
  <c r="M79"/>
  <c r="P79" s="1"/>
  <c r="O33"/>
  <c r="P33" s="1"/>
  <c r="O65"/>
  <c r="P65" s="1"/>
  <c r="O27" i="16"/>
  <c r="P27" s="1"/>
  <c r="O59"/>
  <c r="P59" s="1"/>
  <c r="O58" i="18"/>
  <c r="P58" s="1"/>
  <c r="O101"/>
  <c r="P101" s="1"/>
  <c r="O51" i="21"/>
  <c r="P51" s="1"/>
  <c r="O83"/>
  <c r="P83" s="1"/>
  <c r="O95"/>
  <c r="P95" s="1"/>
  <c r="O39" i="9"/>
  <c r="P39" s="1"/>
  <c r="O23" i="21"/>
  <c r="P23" s="1"/>
  <c r="O74" i="15"/>
  <c r="P74" s="1"/>
  <c r="M24" i="9"/>
  <c r="P24" s="1"/>
  <c r="M47"/>
  <c r="P47" s="1"/>
  <c r="M51"/>
  <c r="P51" s="1"/>
  <c r="M56"/>
  <c r="P56" s="1"/>
  <c r="M63"/>
  <c r="P63" s="1"/>
  <c r="M67"/>
  <c r="P67" s="1"/>
  <c r="M72"/>
  <c r="P72" s="1"/>
  <c r="O83" i="23"/>
  <c r="P83" s="1"/>
  <c r="O88"/>
  <c r="P88" s="1"/>
  <c r="O95"/>
  <c r="P95" s="1"/>
  <c r="M25" i="15"/>
  <c r="P25" s="1"/>
  <c r="M41"/>
  <c r="P41" s="1"/>
  <c r="M15" i="23"/>
  <c r="P15" s="1"/>
  <c r="M19"/>
  <c r="P19" s="1"/>
  <c r="M24"/>
  <c r="P24" s="1"/>
  <c r="M31"/>
  <c r="P31" s="1"/>
  <c r="M35"/>
  <c r="P35" s="1"/>
  <c r="M40"/>
  <c r="P40" s="1"/>
  <c r="M47"/>
  <c r="P47" s="1"/>
  <c r="M51"/>
  <c r="P51" s="1"/>
  <c r="M56"/>
  <c r="P56" s="1"/>
  <c r="M63"/>
  <c r="P63" s="1"/>
  <c r="M67"/>
  <c r="P67" s="1"/>
  <c r="M72"/>
  <c r="P72" s="1"/>
  <c r="O17" i="16"/>
  <c r="P17" s="1"/>
  <c r="O33"/>
  <c r="P33" s="1"/>
  <c r="O49"/>
  <c r="P49" s="1"/>
  <c r="O65"/>
  <c r="P65" s="1"/>
  <c r="O81"/>
  <c r="P81" s="1"/>
  <c r="O85"/>
  <c r="P85" s="1"/>
  <c r="O17" i="24"/>
  <c r="P17" s="1"/>
  <c r="O33"/>
  <c r="P33" s="1"/>
  <c r="O49"/>
  <c r="P49" s="1"/>
  <c r="O65"/>
  <c r="P65" s="1"/>
  <c r="O24" i="10"/>
  <c r="P24" s="1"/>
  <c r="O31"/>
  <c r="P31" s="1"/>
  <c r="O35"/>
  <c r="P35" s="1"/>
  <c r="O40"/>
  <c r="P40" s="1"/>
  <c r="O47"/>
  <c r="P47" s="1"/>
  <c r="O51"/>
  <c r="P51" s="1"/>
  <c r="O56"/>
  <c r="P56" s="1"/>
  <c r="O63"/>
  <c r="P63" s="1"/>
  <c r="O67"/>
  <c r="P67" s="1"/>
  <c r="O72"/>
  <c r="P72" s="1"/>
  <c r="O79"/>
  <c r="P79" s="1"/>
  <c r="O90"/>
  <c r="P90" s="1"/>
  <c r="O39" i="22"/>
  <c r="P39" s="1"/>
  <c r="O25"/>
  <c r="P25" s="1"/>
  <c r="O43"/>
  <c r="P43" s="1"/>
  <c r="M15" i="10"/>
  <c r="P15" s="1"/>
  <c r="M19"/>
  <c r="P19" s="1"/>
  <c r="O14" i="18"/>
  <c r="P14" s="1"/>
  <c r="O18"/>
  <c r="P18" s="1"/>
  <c r="O25"/>
  <c r="P25" s="1"/>
  <c r="O30"/>
  <c r="P30" s="1"/>
  <c r="O34"/>
  <c r="P34" s="1"/>
  <c r="O41"/>
  <c r="P41" s="1"/>
  <c r="O46"/>
  <c r="P46" s="1"/>
  <c r="O50"/>
  <c r="P50" s="1"/>
  <c r="O62"/>
  <c r="P62" s="1"/>
  <c r="O66"/>
  <c r="P66" s="1"/>
  <c r="O78"/>
  <c r="P78" s="1"/>
  <c r="O82"/>
  <c r="P82" s="1"/>
  <c r="O89"/>
  <c r="P89" s="1"/>
  <c r="O94"/>
  <c r="P94" s="1"/>
  <c r="O39" i="21"/>
  <c r="P39" s="1"/>
  <c r="O43"/>
  <c r="P43" s="1"/>
  <c r="O55"/>
  <c r="P55" s="1"/>
  <c r="O59"/>
  <c r="P59" s="1"/>
  <c r="O71"/>
  <c r="P71" s="1"/>
  <c r="O75"/>
  <c r="P75" s="1"/>
  <c r="O91"/>
  <c r="P91" s="1"/>
  <c r="O83" i="17"/>
  <c r="P83" s="1"/>
  <c r="O95"/>
  <c r="P95" s="1"/>
  <c r="O88" i="15"/>
  <c r="P88" s="1"/>
  <c r="O23" i="14"/>
  <c r="P23" s="1"/>
  <c r="O27"/>
  <c r="P27" s="1"/>
  <c r="O39"/>
  <c r="P39" s="1"/>
  <c r="O43"/>
  <c r="P43" s="1"/>
  <c r="O55"/>
  <c r="P55" s="1"/>
  <c r="O59"/>
  <c r="P59" s="1"/>
  <c r="O71"/>
  <c r="P71" s="1"/>
  <c r="O75"/>
  <c r="P75" s="1"/>
  <c r="O89"/>
  <c r="P89" s="1"/>
  <c r="O89" i="22"/>
  <c r="P89" s="1"/>
  <c r="O75"/>
  <c r="P75" s="1"/>
  <c r="O41" i="9"/>
  <c r="P41" s="1"/>
  <c r="O23" i="16"/>
  <c r="P23" s="1"/>
  <c r="O39"/>
  <c r="P39" s="1"/>
  <c r="O55"/>
  <c r="P55" s="1"/>
  <c r="O71"/>
  <c r="P71" s="1"/>
  <c r="O91"/>
  <c r="P91" s="1"/>
  <c r="O70" i="18"/>
  <c r="P70" s="1"/>
  <c r="O90"/>
  <c r="P90" s="1"/>
  <c r="O47" i="21"/>
  <c r="P47" s="1"/>
  <c r="O63"/>
  <c r="P63" s="1"/>
  <c r="O79"/>
  <c r="P79" s="1"/>
  <c r="O25" i="17"/>
  <c r="P25" s="1"/>
  <c r="O41"/>
  <c r="P41" s="1"/>
  <c r="O57"/>
  <c r="P57" s="1"/>
  <c r="O73"/>
  <c r="P73" s="1"/>
  <c r="O56" i="18"/>
  <c r="P56" s="1"/>
  <c r="O72"/>
  <c r="P72" s="1"/>
  <c r="O89" i="24"/>
  <c r="P89" s="1"/>
  <c r="O27" i="21"/>
  <c r="P27" s="1"/>
  <c r="O49"/>
  <c r="P49" s="1"/>
  <c r="O65"/>
  <c r="P65" s="1"/>
  <c r="O81"/>
  <c r="P81" s="1"/>
  <c r="M85" i="10"/>
  <c r="P85" s="1"/>
  <c r="O98"/>
  <c r="P98" s="1"/>
  <c r="M58" i="15"/>
  <c r="P58" s="1"/>
  <c r="O23" i="12"/>
  <c r="P23" s="1"/>
  <c r="O39"/>
  <c r="P39" s="1"/>
  <c r="O55"/>
  <c r="P55" s="1"/>
  <c r="O71"/>
  <c r="P71" s="1"/>
  <c r="O88" i="10"/>
  <c r="P88" s="1"/>
  <c r="O57" i="16"/>
  <c r="P57" s="1"/>
  <c r="O73"/>
  <c r="P73" s="1"/>
  <c r="O85" i="21"/>
  <c r="P85" s="1"/>
  <c r="O23" i="17"/>
  <c r="P23" s="1"/>
  <c r="O39"/>
  <c r="P39" s="1"/>
  <c r="O55"/>
  <c r="P55" s="1"/>
  <c r="O71"/>
  <c r="P71" s="1"/>
  <c r="O91"/>
  <c r="P91" s="1"/>
  <c r="O91" i="14"/>
  <c r="P91" s="1"/>
  <c r="O25" i="16"/>
  <c r="P25" s="1"/>
  <c r="O41"/>
  <c r="P41" s="1"/>
  <c r="O70" i="15"/>
  <c r="P70" s="1"/>
  <c r="O90"/>
  <c r="P90" s="1"/>
  <c r="O98"/>
  <c r="P98" s="1"/>
  <c r="O25" i="21"/>
  <c r="P25" s="1"/>
  <c r="O25" i="12"/>
  <c r="P25" s="1"/>
  <c r="O41"/>
  <c r="P41" s="1"/>
  <c r="M46" i="9"/>
  <c r="O46"/>
  <c r="O27"/>
  <c r="M27"/>
  <c r="O14"/>
  <c r="M14"/>
  <c r="M43"/>
  <c r="O43"/>
  <c r="M30"/>
  <c r="O30"/>
  <c r="M14" i="7"/>
  <c r="O14"/>
  <c r="M18"/>
  <c r="O18"/>
  <c r="M25"/>
  <c r="O25"/>
  <c r="M30"/>
  <c r="O30"/>
  <c r="M34"/>
  <c r="O34"/>
  <c r="M41"/>
  <c r="O41"/>
  <c r="M46"/>
  <c r="O46"/>
  <c r="M50"/>
  <c r="O50"/>
  <c r="M57"/>
  <c r="O57"/>
  <c r="M62"/>
  <c r="O62"/>
  <c r="M66"/>
  <c r="O66"/>
  <c r="M73"/>
  <c r="O73"/>
  <c r="M78"/>
  <c r="O78"/>
  <c r="O82"/>
  <c r="M82"/>
  <c r="O89"/>
  <c r="M89"/>
  <c r="O94"/>
  <c r="M94"/>
  <c r="M95" i="20"/>
  <c r="O95"/>
  <c r="M88"/>
  <c r="O88"/>
  <c r="M83"/>
  <c r="O83"/>
  <c r="M79"/>
  <c r="O79"/>
  <c r="M72"/>
  <c r="O72"/>
  <c r="M67"/>
  <c r="O67"/>
  <c r="M63"/>
  <c r="O63"/>
  <c r="M56"/>
  <c r="O56"/>
  <c r="M51"/>
  <c r="O51"/>
  <c r="M47"/>
  <c r="O47"/>
  <c r="M40"/>
  <c r="O40"/>
  <c r="M35"/>
  <c r="O35"/>
  <c r="M31"/>
  <c r="O31"/>
  <c r="M24"/>
  <c r="O24"/>
  <c r="M19"/>
  <c r="O19"/>
  <c r="M16" i="7"/>
  <c r="O16"/>
  <c r="M23"/>
  <c r="O23"/>
  <c r="M27"/>
  <c r="O27"/>
  <c r="M32"/>
  <c r="O32"/>
  <c r="M39"/>
  <c r="O39"/>
  <c r="M43"/>
  <c r="O43"/>
  <c r="M48"/>
  <c r="O48"/>
  <c r="M55"/>
  <c r="O55"/>
  <c r="M59"/>
  <c r="O59"/>
  <c r="M64"/>
  <c r="O64"/>
  <c r="M71"/>
  <c r="O71"/>
  <c r="M75"/>
  <c r="O75"/>
  <c r="O80"/>
  <c r="M80"/>
  <c r="O84"/>
  <c r="M84"/>
  <c r="O91"/>
  <c r="M91"/>
  <c r="M98" i="20"/>
  <c r="O98"/>
  <c r="M90"/>
  <c r="O90"/>
  <c r="M85"/>
  <c r="O85"/>
  <c r="M81"/>
  <c r="O81"/>
  <c r="M74"/>
  <c r="O74"/>
  <c r="M70"/>
  <c r="O70"/>
  <c r="M65"/>
  <c r="O65"/>
  <c r="M58"/>
  <c r="O58"/>
  <c r="M54"/>
  <c r="O54"/>
  <c r="M49"/>
  <c r="O49"/>
  <c r="M42"/>
  <c r="O42"/>
  <c r="M38"/>
  <c r="O38"/>
  <c r="M33"/>
  <c r="O33"/>
  <c r="M26"/>
  <c r="O26"/>
  <c r="M22"/>
  <c r="O22"/>
  <c r="M17"/>
  <c r="O17"/>
  <c r="M101" i="28"/>
  <c r="O101"/>
  <c r="M95"/>
  <c r="O95"/>
  <c r="M88"/>
  <c r="O88"/>
  <c r="M83"/>
  <c r="O83"/>
  <c r="M79"/>
  <c r="O79"/>
  <c r="M72"/>
  <c r="O72"/>
  <c r="M67"/>
  <c r="O67"/>
  <c r="M63"/>
  <c r="O63"/>
  <c r="M56"/>
  <c r="O56"/>
  <c r="M51"/>
  <c r="O51"/>
  <c r="M47"/>
  <c r="O47"/>
  <c r="M40"/>
  <c r="O40"/>
  <c r="M35"/>
  <c r="O35"/>
  <c r="M31"/>
  <c r="O31"/>
  <c r="M24"/>
  <c r="O24"/>
  <c r="M19"/>
  <c r="O19"/>
  <c r="M15"/>
  <c r="O15"/>
  <c r="M91" i="27"/>
  <c r="O91"/>
  <c r="M84"/>
  <c r="O84"/>
  <c r="M80"/>
  <c r="O80"/>
  <c r="M75"/>
  <c r="O75"/>
  <c r="M71"/>
  <c r="O71"/>
  <c r="M64"/>
  <c r="O64"/>
  <c r="M59"/>
  <c r="O59"/>
  <c r="M55"/>
  <c r="O55"/>
  <c r="M48"/>
  <c r="O48"/>
  <c r="M43"/>
  <c r="O43"/>
  <c r="O74" i="7"/>
  <c r="M74"/>
  <c r="O70"/>
  <c r="M70"/>
  <c r="O65"/>
  <c r="M65"/>
  <c r="O58"/>
  <c r="M58"/>
  <c r="O54"/>
  <c r="M54"/>
  <c r="O49"/>
  <c r="M49"/>
  <c r="O42"/>
  <c r="M42"/>
  <c r="O38"/>
  <c r="M38"/>
  <c r="O33"/>
  <c r="M33"/>
  <c r="O26"/>
  <c r="M26"/>
  <c r="O22"/>
  <c r="M22"/>
  <c r="O17"/>
  <c r="M17"/>
  <c r="O94" i="20"/>
  <c r="M94"/>
  <c r="O89"/>
  <c r="M89"/>
  <c r="O82"/>
  <c r="M82"/>
  <c r="O78"/>
  <c r="M78"/>
  <c r="O73"/>
  <c r="M73"/>
  <c r="O66"/>
  <c r="M66"/>
  <c r="O62"/>
  <c r="M62"/>
  <c r="O57"/>
  <c r="M57"/>
  <c r="O50"/>
  <c r="M50"/>
  <c r="O46"/>
  <c r="M46"/>
  <c r="O41"/>
  <c r="M41"/>
  <c r="O34"/>
  <c r="M34"/>
  <c r="O30"/>
  <c r="M30"/>
  <c r="O25"/>
  <c r="M25"/>
  <c r="O18"/>
  <c r="M18"/>
  <c r="O14"/>
  <c r="M14"/>
  <c r="O91" i="28"/>
  <c r="M91"/>
  <c r="O84"/>
  <c r="M84"/>
  <c r="O80"/>
  <c r="M80"/>
  <c r="O75"/>
  <c r="M75"/>
  <c r="O71"/>
  <c r="M71"/>
  <c r="O64"/>
  <c r="M64"/>
  <c r="O59"/>
  <c r="M59"/>
  <c r="O55"/>
  <c r="M55"/>
  <c r="O48"/>
  <c r="M48"/>
  <c r="O43"/>
  <c r="M43"/>
  <c r="O39"/>
  <c r="M39"/>
  <c r="O32"/>
  <c r="M32"/>
  <c r="O27"/>
  <c r="M27"/>
  <c r="O23"/>
  <c r="M23"/>
  <c r="O16"/>
  <c r="M16"/>
  <c r="O101" i="27"/>
  <c r="M101"/>
  <c r="O95"/>
  <c r="M95"/>
  <c r="O88"/>
  <c r="M88"/>
  <c r="O83"/>
  <c r="M83"/>
  <c r="O79"/>
  <c r="M79"/>
  <c r="O72"/>
  <c r="M72"/>
  <c r="O67"/>
  <c r="M67"/>
  <c r="O63"/>
  <c r="M63"/>
  <c r="O56"/>
  <c r="M56"/>
  <c r="O51"/>
  <c r="M51"/>
  <c r="O47"/>
  <c r="M47"/>
  <c r="M34"/>
  <c r="O34"/>
  <c r="M30"/>
  <c r="O30"/>
  <c r="M25"/>
  <c r="O25"/>
  <c r="M18"/>
  <c r="O18"/>
  <c r="M14"/>
  <c r="O14"/>
  <c r="M98" i="8"/>
  <c r="O98"/>
  <c r="M90"/>
  <c r="O90"/>
  <c r="M85"/>
  <c r="O85"/>
  <c r="M81"/>
  <c r="O81"/>
  <c r="M74"/>
  <c r="O74"/>
  <c r="M70"/>
  <c r="O70"/>
  <c r="M65"/>
  <c r="O65"/>
  <c r="M58"/>
  <c r="O58"/>
  <c r="M54"/>
  <c r="O54"/>
  <c r="M49"/>
  <c r="O49"/>
  <c r="M42"/>
  <c r="O42"/>
  <c r="M38"/>
  <c r="O38"/>
  <c r="M33"/>
  <c r="O33"/>
  <c r="M26"/>
  <c r="O26"/>
  <c r="M22"/>
  <c r="O22"/>
  <c r="M17"/>
  <c r="O17"/>
  <c r="M101" i="25"/>
  <c r="O101"/>
  <c r="M95"/>
  <c r="O95"/>
  <c r="M88"/>
  <c r="O88"/>
  <c r="M83"/>
  <c r="O83"/>
  <c r="M79"/>
  <c r="O79"/>
  <c r="M72"/>
  <c r="O72"/>
  <c r="O42" i="27"/>
  <c r="M42"/>
  <c r="O38"/>
  <c r="M38"/>
  <c r="O33"/>
  <c r="M33"/>
  <c r="O26"/>
  <c r="M26"/>
  <c r="O22"/>
  <c r="M22"/>
  <c r="O17"/>
  <c r="M17"/>
  <c r="O94" i="8"/>
  <c r="M94"/>
  <c r="O89"/>
  <c r="M89"/>
  <c r="O82"/>
  <c r="M82"/>
  <c r="O78"/>
  <c r="M78"/>
  <c r="O73"/>
  <c r="M73"/>
  <c r="O66"/>
  <c r="M66"/>
  <c r="O62"/>
  <c r="M62"/>
  <c r="O57"/>
  <c r="M57"/>
  <c r="O50"/>
  <c r="M50"/>
  <c r="O46"/>
  <c r="M46"/>
  <c r="O41"/>
  <c r="M41"/>
  <c r="O34"/>
  <c r="M34"/>
  <c r="O30"/>
  <c r="M30"/>
  <c r="O25"/>
  <c r="M25"/>
  <c r="O18"/>
  <c r="M18"/>
  <c r="O14"/>
  <c r="M14"/>
  <c r="O91" i="25"/>
  <c r="M91"/>
  <c r="O84"/>
  <c r="M84"/>
  <c r="O80"/>
  <c r="M80"/>
  <c r="O75"/>
  <c r="M75"/>
  <c r="M65"/>
  <c r="O65"/>
  <c r="M58"/>
  <c r="O58"/>
  <c r="M54"/>
  <c r="O54"/>
  <c r="M49"/>
  <c r="O49"/>
  <c r="M42"/>
  <c r="O42"/>
  <c r="M38"/>
  <c r="O38"/>
  <c r="M33"/>
  <c r="O33"/>
  <c r="M26"/>
  <c r="O26"/>
  <c r="M22"/>
  <c r="O22"/>
  <c r="M17"/>
  <c r="O17"/>
  <c r="O71"/>
  <c r="M71"/>
  <c r="O64"/>
  <c r="M64"/>
  <c r="O59"/>
  <c r="M59"/>
  <c r="O55"/>
  <c r="M55"/>
  <c r="O48"/>
  <c r="M48"/>
  <c r="O43"/>
  <c r="M43"/>
  <c r="O39"/>
  <c r="M39"/>
  <c r="O32"/>
  <c r="M32"/>
  <c r="O27"/>
  <c r="M27"/>
  <c r="O23"/>
  <c r="M23"/>
  <c r="O16"/>
  <c r="M16"/>
  <c r="M81" i="7"/>
  <c r="O81"/>
  <c r="M85"/>
  <c r="O85"/>
  <c r="M90"/>
  <c r="O90"/>
  <c r="M98"/>
  <c r="O98"/>
  <c r="M90" i="9"/>
  <c r="O90"/>
  <c r="O94"/>
  <c r="M94"/>
  <c r="O89"/>
  <c r="M89"/>
  <c r="J17" i="30"/>
  <c r="W17" s="1"/>
  <c r="X17"/>
  <c r="J19"/>
  <c r="W19" s="1"/>
  <c r="X19"/>
  <c r="J28"/>
  <c r="W28" s="1"/>
  <c r="X28"/>
  <c r="J26"/>
  <c r="W26" s="1"/>
  <c r="X26"/>
  <c r="D17"/>
  <c r="V17" s="1"/>
  <c r="R17"/>
  <c r="U17"/>
  <c r="U20"/>
  <c r="D20"/>
  <c r="V20" s="1"/>
  <c r="R20"/>
  <c r="U19"/>
  <c r="D19"/>
  <c r="V19" s="1"/>
  <c r="R19"/>
  <c r="U18"/>
  <c r="D18"/>
  <c r="V18" s="1"/>
  <c r="R18"/>
  <c r="D25"/>
  <c r="V25" s="1"/>
  <c r="R25"/>
  <c r="U25"/>
  <c r="U28"/>
  <c r="D28"/>
  <c r="V28" s="1"/>
  <c r="R28"/>
  <c r="U27"/>
  <c r="D27"/>
  <c r="V27" s="1"/>
  <c r="R27"/>
  <c r="U26"/>
  <c r="D26"/>
  <c r="V26" s="1"/>
  <c r="R26"/>
  <c r="M15" i="20"/>
  <c r="O15"/>
  <c r="M98" i="28"/>
  <c r="O98"/>
  <c r="M90"/>
  <c r="O90"/>
  <c r="M85"/>
  <c r="O85"/>
  <c r="M81"/>
  <c r="O81"/>
  <c r="M74"/>
  <c r="O74"/>
  <c r="M70"/>
  <c r="O70"/>
  <c r="M65"/>
  <c r="O65"/>
  <c r="M58"/>
  <c r="O58"/>
  <c r="M54"/>
  <c r="O54"/>
  <c r="M49"/>
  <c r="O49"/>
  <c r="M42"/>
  <c r="O42"/>
  <c r="M38"/>
  <c r="O38"/>
  <c r="M33"/>
  <c r="O33"/>
  <c r="M26"/>
  <c r="O26"/>
  <c r="M22"/>
  <c r="O22"/>
  <c r="M17"/>
  <c r="O17"/>
  <c r="M94" i="27"/>
  <c r="O94"/>
  <c r="M89"/>
  <c r="O89"/>
  <c r="M82"/>
  <c r="O82"/>
  <c r="M78"/>
  <c r="O78"/>
  <c r="M73"/>
  <c r="O73"/>
  <c r="M66"/>
  <c r="O66"/>
  <c r="M62"/>
  <c r="O62"/>
  <c r="M57"/>
  <c r="O57"/>
  <c r="M50"/>
  <c r="O50"/>
  <c r="M46"/>
  <c r="O46"/>
  <c r="M41"/>
  <c r="O41"/>
  <c r="O72" i="7"/>
  <c r="M72"/>
  <c r="O67"/>
  <c r="M67"/>
  <c r="O63"/>
  <c r="M63"/>
  <c r="O56"/>
  <c r="M56"/>
  <c r="O51"/>
  <c r="M51"/>
  <c r="O47"/>
  <c r="M47"/>
  <c r="O40"/>
  <c r="M40"/>
  <c r="O35"/>
  <c r="M35"/>
  <c r="O31"/>
  <c r="M31"/>
  <c r="O24"/>
  <c r="M24"/>
  <c r="O19"/>
  <c r="M19"/>
  <c r="O15"/>
  <c r="M15"/>
  <c r="O91" i="20"/>
  <c r="M91"/>
  <c r="O84"/>
  <c r="M84"/>
  <c r="O80"/>
  <c r="M80"/>
  <c r="O75"/>
  <c r="M75"/>
  <c r="O71"/>
  <c r="M71"/>
  <c r="O64"/>
  <c r="M64"/>
  <c r="O59"/>
  <c r="M59"/>
  <c r="O55"/>
  <c r="M55"/>
  <c r="O48"/>
  <c r="M48"/>
  <c r="O43"/>
  <c r="M43"/>
  <c r="O39"/>
  <c r="M39"/>
  <c r="O32"/>
  <c r="M32"/>
  <c r="O27"/>
  <c r="M27"/>
  <c r="O23"/>
  <c r="M23"/>
  <c r="O16"/>
  <c r="M16"/>
  <c r="O94" i="28"/>
  <c r="M94"/>
  <c r="O89"/>
  <c r="M89"/>
  <c r="O82"/>
  <c r="M82"/>
  <c r="O78"/>
  <c r="M78"/>
  <c r="O73"/>
  <c r="M73"/>
  <c r="O66"/>
  <c r="M66"/>
  <c r="O62"/>
  <c r="M62"/>
  <c r="O57"/>
  <c r="M57"/>
  <c r="O50"/>
  <c r="M50"/>
  <c r="O46"/>
  <c r="M46"/>
  <c r="O41"/>
  <c r="M41"/>
  <c r="O34"/>
  <c r="M34"/>
  <c r="O30"/>
  <c r="M30"/>
  <c r="O25"/>
  <c r="M25"/>
  <c r="O18"/>
  <c r="M18"/>
  <c r="O14"/>
  <c r="M14"/>
  <c r="O98" i="27"/>
  <c r="M98"/>
  <c r="O90"/>
  <c r="M90"/>
  <c r="O85"/>
  <c r="M85"/>
  <c r="O81"/>
  <c r="M81"/>
  <c r="O74"/>
  <c r="M74"/>
  <c r="O70"/>
  <c r="M70"/>
  <c r="O65"/>
  <c r="M65"/>
  <c r="O58"/>
  <c r="M58"/>
  <c r="O54"/>
  <c r="M54"/>
  <c r="O49"/>
  <c r="M49"/>
  <c r="M39"/>
  <c r="O39"/>
  <c r="M32"/>
  <c r="O32"/>
  <c r="M27"/>
  <c r="O27"/>
  <c r="M23"/>
  <c r="O23"/>
  <c r="M16"/>
  <c r="O16"/>
  <c r="M101" i="8"/>
  <c r="O101"/>
  <c r="M95"/>
  <c r="O95"/>
  <c r="M88"/>
  <c r="O88"/>
  <c r="M83"/>
  <c r="O83"/>
  <c r="M79"/>
  <c r="O79"/>
  <c r="M72"/>
  <c r="O72"/>
  <c r="M67"/>
  <c r="O67"/>
  <c r="M63"/>
  <c r="O63"/>
  <c r="M56"/>
  <c r="O56"/>
  <c r="M51"/>
  <c r="O51"/>
  <c r="M47"/>
  <c r="O47"/>
  <c r="M40"/>
  <c r="O40"/>
  <c r="M35"/>
  <c r="O35"/>
  <c r="M31"/>
  <c r="O31"/>
  <c r="M24"/>
  <c r="O24"/>
  <c r="M19"/>
  <c r="O19"/>
  <c r="M15"/>
  <c r="O15"/>
  <c r="M98" i="25"/>
  <c r="O98"/>
  <c r="M90"/>
  <c r="O90"/>
  <c r="M85"/>
  <c r="O85"/>
  <c r="M81"/>
  <c r="O81"/>
  <c r="M74"/>
  <c r="O74"/>
  <c r="M70"/>
  <c r="O70"/>
  <c r="O40" i="27"/>
  <c r="M40"/>
  <c r="O35"/>
  <c r="M35"/>
  <c r="O31"/>
  <c r="M31"/>
  <c r="O24"/>
  <c r="M24"/>
  <c r="O19"/>
  <c r="M19"/>
  <c r="O15"/>
  <c r="M15"/>
  <c r="O91" i="8"/>
  <c r="M91"/>
  <c r="O84"/>
  <c r="M84"/>
  <c r="O80"/>
  <c r="M80"/>
  <c r="O75"/>
  <c r="M75"/>
  <c r="O71"/>
  <c r="M71"/>
  <c r="O64"/>
  <c r="M64"/>
  <c r="O59"/>
  <c r="M59"/>
  <c r="O55"/>
  <c r="M55"/>
  <c r="O48"/>
  <c r="M48"/>
  <c r="O43"/>
  <c r="M43"/>
  <c r="O39"/>
  <c r="M39"/>
  <c r="O32"/>
  <c r="M32"/>
  <c r="O27"/>
  <c r="M27"/>
  <c r="O23"/>
  <c r="M23"/>
  <c r="O16"/>
  <c r="M16"/>
  <c r="O94" i="25"/>
  <c r="M94"/>
  <c r="O89"/>
  <c r="M89"/>
  <c r="O82"/>
  <c r="M82"/>
  <c r="O78"/>
  <c r="M78"/>
  <c r="M67"/>
  <c r="O67"/>
  <c r="M63"/>
  <c r="O63"/>
  <c r="M56"/>
  <c r="O56"/>
  <c r="M51"/>
  <c r="O51"/>
  <c r="M47"/>
  <c r="O47"/>
  <c r="M40"/>
  <c r="O40"/>
  <c r="M35"/>
  <c r="O35"/>
  <c r="M31"/>
  <c r="O31"/>
  <c r="M24"/>
  <c r="O24"/>
  <c r="M19"/>
  <c r="O19"/>
  <c r="M15"/>
  <c r="O15"/>
  <c r="O73"/>
  <c r="M73"/>
  <c r="O66"/>
  <c r="M66"/>
  <c r="O62"/>
  <c r="M62"/>
  <c r="O57"/>
  <c r="M57"/>
  <c r="O50"/>
  <c r="M50"/>
  <c r="O46"/>
  <c r="M46"/>
  <c r="O41"/>
  <c r="M41"/>
  <c r="O34"/>
  <c r="M34"/>
  <c r="O30"/>
  <c r="M30"/>
  <c r="O25"/>
  <c r="M25"/>
  <c r="O18"/>
  <c r="M18"/>
  <c r="O14"/>
  <c r="M14"/>
  <c r="M79" i="7"/>
  <c r="O79"/>
  <c r="M83"/>
  <c r="O83"/>
  <c r="M88"/>
  <c r="O88"/>
  <c r="M95"/>
  <c r="O95"/>
  <c r="M101"/>
  <c r="O101"/>
  <c r="M101" i="20"/>
  <c r="O101"/>
  <c r="M101" i="9"/>
  <c r="O101"/>
  <c r="O91"/>
  <c r="M91"/>
  <c r="J25" i="30"/>
  <c r="W25" s="1"/>
  <c r="X25"/>
  <c r="J20"/>
  <c r="W20" s="1"/>
  <c r="X20"/>
  <c r="J18"/>
  <c r="W18" s="1"/>
  <c r="X18"/>
  <c r="J27"/>
  <c r="W27" s="1"/>
  <c r="X27"/>
  <c r="S2" i="4"/>
  <c r="V2"/>
  <c r="V3" s="1"/>
  <c r="I2"/>
  <c r="I3" s="1"/>
  <c r="L2"/>
  <c r="L3" s="1"/>
  <c r="L4" s="1"/>
  <c r="L5" s="1"/>
  <c r="L6" s="1"/>
  <c r="L7" s="1"/>
  <c r="V4"/>
  <c r="V5" s="1"/>
  <c r="I4"/>
  <c r="I5" s="1"/>
  <c r="I6" s="1"/>
  <c r="I7" s="1"/>
  <c r="I8" s="1"/>
  <c r="I9" s="1"/>
  <c r="Q2"/>
  <c r="Q3" s="1"/>
  <c r="Q4" s="1"/>
  <c r="I10"/>
  <c r="I11" s="1"/>
  <c r="I12" s="1"/>
  <c r="V6"/>
  <c r="V7" s="1"/>
  <c r="Q5"/>
  <c r="Q6" s="1"/>
  <c r="Q7" s="1"/>
  <c r="Q8"/>
  <c r="Q9" s="1"/>
  <c r="L8"/>
  <c r="L9" s="1"/>
  <c r="L10" s="1"/>
  <c r="L11" s="1"/>
  <c r="L12" s="1"/>
  <c r="L13" s="1"/>
  <c r="L14" s="1"/>
  <c r="L15" s="1"/>
  <c r="I13"/>
  <c r="I14" s="1"/>
  <c r="I15" s="1"/>
  <c r="I16" s="1"/>
  <c r="I17" s="1"/>
  <c r="I18" s="1"/>
  <c r="I19" s="1"/>
  <c r="I20" s="1"/>
  <c r="I21"/>
  <c r="I22" s="1"/>
  <c r="I23" s="1"/>
  <c r="I24" s="1"/>
  <c r="I25" s="1"/>
  <c r="I26" s="1"/>
  <c r="I27" s="1"/>
  <c r="I28" s="1"/>
  <c r="I29" s="1"/>
  <c r="I30" s="1"/>
  <c r="I31" s="1"/>
  <c r="I32" s="1"/>
  <c r="I33" s="1"/>
  <c r="I34"/>
  <c r="I35" s="1"/>
  <c r="I36" s="1"/>
  <c r="I37" s="1"/>
  <c r="I38" s="1"/>
  <c r="I39" s="1"/>
  <c r="I40" s="1"/>
  <c r="I41" s="1"/>
  <c r="I42" s="1"/>
  <c r="I43" s="1"/>
  <c r="I44" s="1"/>
  <c r="I45" s="1"/>
  <c r="I46" s="1"/>
  <c r="I47" s="1"/>
  <c r="I48" s="1"/>
  <c r="I49" s="1"/>
  <c r="I50" s="1"/>
  <c r="I51" s="1"/>
  <c r="I52" s="1"/>
  <c r="I53" s="1"/>
  <c r="I54" s="1"/>
  <c r="I55" s="1"/>
  <c r="I56" s="1"/>
  <c r="I57" s="1"/>
  <c r="I58" s="1"/>
  <c r="I59" s="1"/>
  <c r="I60" s="1"/>
  <c r="I61" s="1"/>
  <c r="I62" s="1"/>
  <c r="I63" s="1"/>
  <c r="I64" s="1"/>
  <c r="I65" s="1"/>
  <c r="I66" s="1"/>
  <c r="I67" s="1"/>
  <c r="I68" s="1"/>
  <c r="I69" s="1"/>
  <c r="I70" s="1"/>
  <c r="I71" s="1"/>
  <c r="I72" s="1"/>
  <c r="I73" s="1"/>
  <c r="L16"/>
  <c r="L17" s="1"/>
  <c r="L18" s="1"/>
  <c r="L19" s="1"/>
  <c r="L20" s="1"/>
  <c r="L21" s="1"/>
  <c r="L22" s="1"/>
  <c r="L23" s="1"/>
  <c r="L24" s="1"/>
  <c r="L25"/>
  <c r="L26" s="1"/>
  <c r="L27" s="1"/>
  <c r="L28" s="1"/>
  <c r="L29" s="1"/>
  <c r="L30" s="1"/>
  <c r="L31" s="1"/>
  <c r="L32" s="1"/>
  <c r="L33"/>
  <c r="L34" s="1"/>
  <c r="L35" s="1"/>
  <c r="L36" s="1"/>
  <c r="L37" s="1"/>
  <c r="L38" s="1"/>
  <c r="L39" s="1"/>
  <c r="L40" s="1"/>
  <c r="L41" s="1"/>
  <c r="L42" s="1"/>
  <c r="L43" s="1"/>
  <c r="L44" s="1"/>
  <c r="L45" s="1"/>
  <c r="L46" s="1"/>
  <c r="L47" s="1"/>
  <c r="L48" s="1"/>
  <c r="L49" s="1"/>
  <c r="L50" s="1"/>
  <c r="L51" s="1"/>
  <c r="L52" s="1"/>
  <c r="L53" s="1"/>
  <c r="L54" s="1"/>
  <c r="L55" s="1"/>
  <c r="L56" s="1"/>
  <c r="L57" s="1"/>
  <c r="L58" s="1"/>
  <c r="L59" s="1"/>
  <c r="L60" s="1"/>
  <c r="L61" s="1"/>
  <c r="L62" s="1"/>
  <c r="L63" s="1"/>
  <c r="L64" s="1"/>
  <c r="L65" s="1"/>
  <c r="L66" s="1"/>
  <c r="L67" s="1"/>
  <c r="L68" s="1"/>
  <c r="L69" s="1"/>
  <c r="L70" s="1"/>
  <c r="L71" s="1"/>
  <c r="L72" s="1"/>
  <c r="L73" s="1"/>
  <c r="S3"/>
  <c r="S4" s="1"/>
  <c r="S5" s="1"/>
  <c r="S6" s="1"/>
  <c r="S7" s="1"/>
  <c r="S8" s="1"/>
  <c r="S9" s="1"/>
  <c r="S10" s="1"/>
  <c r="S11" s="1"/>
  <c r="S12" s="1"/>
  <c r="S13" s="1"/>
  <c r="S14" s="1"/>
  <c r="S15" s="1"/>
  <c r="S16" s="1"/>
  <c r="S17" s="1"/>
  <c r="S18" s="1"/>
  <c r="S19" s="1"/>
  <c r="S20" s="1"/>
  <c r="S21" s="1"/>
  <c r="S22" s="1"/>
  <c r="S23" s="1"/>
  <c r="S24" s="1"/>
  <c r="S25" s="1"/>
  <c r="S26" s="1"/>
  <c r="S27" s="1"/>
  <c r="S28" s="1"/>
  <c r="S29" s="1"/>
  <c r="S30" s="1"/>
  <c r="S31" s="1"/>
  <c r="S32" s="1"/>
  <c r="S33" s="1"/>
  <c r="S34" s="1"/>
  <c r="Q10"/>
  <c r="Q11" s="1"/>
  <c r="Q12" s="1"/>
  <c r="Q13" s="1"/>
  <c r="Q14" s="1"/>
  <c r="Q15" s="1"/>
  <c r="Q16" s="1"/>
  <c r="V8"/>
  <c r="V9" s="1"/>
  <c r="V10" s="1"/>
  <c r="V11" s="1"/>
  <c r="V12" s="1"/>
  <c r="V13" s="1"/>
  <c r="V14" s="1"/>
  <c r="V15" s="1"/>
  <c r="V16" s="1"/>
  <c r="V17" s="1"/>
  <c r="V18" s="1"/>
  <c r="V19" s="1"/>
  <c r="V20" s="1"/>
  <c r="V21" s="1"/>
  <c r="V22" s="1"/>
  <c r="V23" s="1"/>
  <c r="V24" s="1"/>
  <c r="V25" s="1"/>
  <c r="V26" s="1"/>
  <c r="V27" s="1"/>
  <c r="V28" s="1"/>
  <c r="V29" s="1"/>
  <c r="V30" s="1"/>
  <c r="V31" s="1"/>
  <c r="V32" s="1"/>
  <c r="V33" s="1"/>
  <c r="V34" s="1"/>
  <c r="V35" s="1"/>
  <c r="V36" s="1"/>
  <c r="V37" s="1"/>
  <c r="V38" s="1"/>
  <c r="V39" s="1"/>
  <c r="V40" s="1"/>
  <c r="V41" s="1"/>
  <c r="V42" s="1"/>
  <c r="V43" s="1"/>
  <c r="V44" s="1"/>
  <c r="V45" s="1"/>
  <c r="V46" s="1"/>
  <c r="V47" s="1"/>
  <c r="V48" s="1"/>
  <c r="V49" s="1"/>
  <c r="V50" s="1"/>
  <c r="V51" s="1"/>
  <c r="V52" s="1"/>
  <c r="V53" s="1"/>
  <c r="V54" s="1"/>
  <c r="V55" s="1"/>
  <c r="V56" s="1"/>
  <c r="V57" s="1"/>
  <c r="V58" s="1"/>
  <c r="V59" s="1"/>
  <c r="V60" s="1"/>
  <c r="V61" s="1"/>
  <c r="V62" s="1"/>
  <c r="V63" s="1"/>
  <c r="V64" s="1"/>
  <c r="V65" s="1"/>
  <c r="V66" s="1"/>
  <c r="V67" s="1"/>
  <c r="V68" s="1"/>
  <c r="V69" s="1"/>
  <c r="V70" s="1"/>
  <c r="V71" s="1"/>
  <c r="V72" s="1"/>
  <c r="V73" s="1"/>
  <c r="S35"/>
  <c r="S36" s="1"/>
  <c r="S37" s="1"/>
  <c r="S38" s="1"/>
  <c r="S39" s="1"/>
  <c r="S40" s="1"/>
  <c r="S41" s="1"/>
  <c r="S42" s="1"/>
  <c r="S43" s="1"/>
  <c r="S44" s="1"/>
  <c r="S45" s="1"/>
  <c r="S46" s="1"/>
  <c r="S47" s="1"/>
  <c r="S48" s="1"/>
  <c r="S49" s="1"/>
  <c r="S50" s="1"/>
  <c r="S51" s="1"/>
  <c r="S52" s="1"/>
  <c r="S53" s="1"/>
  <c r="S54" s="1"/>
  <c r="S55" s="1"/>
  <c r="S56" s="1"/>
  <c r="S57" s="1"/>
  <c r="S58" s="1"/>
  <c r="S59" s="1"/>
  <c r="S60" s="1"/>
  <c r="S61" s="1"/>
  <c r="S62" s="1"/>
  <c r="S63" s="1"/>
  <c r="S64" s="1"/>
  <c r="S65" s="1"/>
  <c r="S66" s="1"/>
  <c r="S67" s="1"/>
  <c r="S68" s="1"/>
  <c r="S69" s="1"/>
  <c r="S70" s="1"/>
  <c r="S71" s="1"/>
  <c r="S72" s="1"/>
  <c r="S73" s="1"/>
  <c r="O2"/>
  <c r="O3" s="1"/>
  <c r="O4" s="1"/>
  <c r="O5" s="1"/>
  <c r="O6" s="1"/>
  <c r="O7" s="1"/>
  <c r="O8" s="1"/>
  <c r="O9" s="1"/>
  <c r="O10" s="1"/>
  <c r="O11" s="1"/>
  <c r="O12" s="1"/>
  <c r="O13" s="1"/>
  <c r="O14" s="1"/>
  <c r="O15" s="1"/>
  <c r="O16" s="1"/>
  <c r="O17" s="1"/>
  <c r="O18" s="1"/>
  <c r="O19" s="1"/>
  <c r="O20" s="1"/>
  <c r="O21" s="1"/>
  <c r="O22" s="1"/>
  <c r="O23" s="1"/>
  <c r="O24" s="1"/>
  <c r="O25" s="1"/>
  <c r="O26" s="1"/>
  <c r="O27" s="1"/>
  <c r="O28" s="1"/>
  <c r="O29" s="1"/>
  <c r="O30" s="1"/>
  <c r="O31" s="1"/>
  <c r="O32" s="1"/>
  <c r="O33" s="1"/>
  <c r="O34" s="1"/>
  <c r="O35" s="1"/>
  <c r="O36" s="1"/>
  <c r="O37" s="1"/>
  <c r="O38" s="1"/>
  <c r="O39" s="1"/>
  <c r="O40" s="1"/>
  <c r="O41" s="1"/>
  <c r="O42" s="1"/>
  <c r="O43" s="1"/>
  <c r="O44" s="1"/>
  <c r="O45" s="1"/>
  <c r="O46" s="1"/>
  <c r="O47" s="1"/>
  <c r="O48" s="1"/>
  <c r="O49" s="1"/>
  <c r="O50" s="1"/>
  <c r="O51" s="1"/>
  <c r="O52" s="1"/>
  <c r="O53" s="1"/>
  <c r="O54" s="1"/>
  <c r="O55" s="1"/>
  <c r="O56" s="1"/>
  <c r="O57" s="1"/>
  <c r="O58" s="1"/>
  <c r="O59" s="1"/>
  <c r="O60" s="1"/>
  <c r="O61" s="1"/>
  <c r="O62" s="1"/>
  <c r="O63" s="1"/>
  <c r="O64" s="1"/>
  <c r="O65" s="1"/>
  <c r="O66" s="1"/>
  <c r="O67" s="1"/>
  <c r="O68" s="1"/>
  <c r="O69" s="1"/>
  <c r="O70" s="1"/>
  <c r="O71" s="1"/>
  <c r="O72" s="1"/>
  <c r="O73" s="1"/>
  <c r="Q17"/>
  <c r="Q18" s="1"/>
  <c r="Q19" s="1"/>
  <c r="Q20" s="1"/>
  <c r="Q21" s="1"/>
  <c r="Q22" s="1"/>
  <c r="Q23" s="1"/>
  <c r="Q24" s="1"/>
  <c r="Q25"/>
  <c r="Q26" s="1"/>
  <c r="Q27" s="1"/>
  <c r="Q28" s="1"/>
  <c r="Q29" s="1"/>
  <c r="Q30" s="1"/>
  <c r="Q31" s="1"/>
  <c r="Q32" s="1"/>
  <c r="Q33" s="1"/>
  <c r="Q34" s="1"/>
  <c r="Q35" s="1"/>
  <c r="Q36" s="1"/>
  <c r="Q37" s="1"/>
  <c r="Q38" s="1"/>
  <c r="Q39" s="1"/>
  <c r="Q40" s="1"/>
  <c r="Q41" s="1"/>
  <c r="Q42" s="1"/>
  <c r="Q43" s="1"/>
  <c r="Q44" s="1"/>
  <c r="Q45" s="1"/>
  <c r="Q46" s="1"/>
  <c r="Q47" s="1"/>
  <c r="Q48" s="1"/>
  <c r="Q49" s="1"/>
  <c r="Q50" s="1"/>
  <c r="Q51" s="1"/>
  <c r="Q52" s="1"/>
  <c r="Q53" s="1"/>
  <c r="Q54" s="1"/>
  <c r="Q55" s="1"/>
  <c r="Q56" s="1"/>
  <c r="Q57" s="1"/>
  <c r="Q58" s="1"/>
  <c r="Q59" s="1"/>
  <c r="Q60" s="1"/>
  <c r="Q61" s="1"/>
  <c r="Q62" s="1"/>
  <c r="Q63" s="1"/>
  <c r="Q64" s="1"/>
  <c r="Q65" s="1"/>
  <c r="Q66" s="1"/>
  <c r="Q67" s="1"/>
  <c r="Q68" s="1"/>
  <c r="Q69" s="1"/>
  <c r="Q70" s="1"/>
  <c r="Q71" s="1"/>
  <c r="Q72" s="1"/>
  <c r="Q73" s="1"/>
  <c r="P94" i="11" l="1"/>
  <c r="P101" i="37"/>
  <c r="P101" i="11"/>
  <c r="P99" i="6"/>
  <c r="P101" i="43"/>
  <c r="P102" i="6"/>
  <c r="P101" i="39"/>
  <c r="P101" i="40"/>
  <c r="P98" i="39"/>
  <c r="P91" i="40"/>
  <c r="P98" i="11"/>
  <c r="P90"/>
  <c r="P91"/>
  <c r="P98" i="43"/>
  <c r="P98" i="37"/>
  <c r="P98" i="40"/>
  <c r="P98" i="38"/>
  <c r="P95"/>
  <c r="P95" i="11"/>
  <c r="P95" i="6"/>
  <c r="P94" i="40"/>
  <c r="P95"/>
  <c r="P90" i="43"/>
  <c r="P96" i="6"/>
  <c r="P95" i="37"/>
  <c r="P95" i="43"/>
  <c r="P95" i="39"/>
  <c r="P94" i="38"/>
  <c r="P94" i="39"/>
  <c r="P94" i="37"/>
  <c r="P94" i="43"/>
  <c r="P91"/>
  <c r="P92" i="6"/>
  <c r="P89" i="40"/>
  <c r="P90" i="37"/>
  <c r="P91" i="39"/>
  <c r="P90" i="38"/>
  <c r="P91" i="37"/>
  <c r="P91" i="38"/>
  <c r="P89"/>
  <c r="P90" i="39"/>
  <c r="P91" i="6"/>
  <c r="P90" i="40"/>
  <c r="P89" i="43"/>
  <c r="P89" i="37"/>
  <c r="P89" i="11"/>
  <c r="P89" i="39"/>
  <c r="P88" i="37"/>
  <c r="P90" i="6"/>
  <c r="P89"/>
  <c r="P88" i="11"/>
  <c r="P84"/>
  <c r="P88" i="43"/>
  <c r="P88" i="38"/>
  <c r="P88" i="40"/>
  <c r="P75" i="11"/>
  <c r="P84" i="43"/>
  <c r="P88" i="39"/>
  <c r="P43" i="11"/>
  <c r="P85"/>
  <c r="AH42" i="30"/>
  <c r="P85" i="37"/>
  <c r="P83"/>
  <c r="P84"/>
  <c r="P85" i="43"/>
  <c r="P85" i="39"/>
  <c r="P85" i="38"/>
  <c r="P84" i="39"/>
  <c r="P84" i="38"/>
  <c r="P82"/>
  <c r="P85" i="6"/>
  <c r="P85" i="40"/>
  <c r="P86" i="6"/>
  <c r="P84"/>
  <c r="P84" i="40"/>
  <c r="P83" i="11"/>
  <c r="P82"/>
  <c r="P83" i="39"/>
  <c r="P81"/>
  <c r="P82" i="37"/>
  <c r="P83" i="43"/>
  <c r="P83" i="40"/>
  <c r="P79" i="39"/>
  <c r="P82" i="43"/>
  <c r="P83" i="38"/>
  <c r="P81" i="37"/>
  <c r="P83" i="6"/>
  <c r="P81"/>
  <c r="P81" i="40"/>
  <c r="P82" i="6"/>
  <c r="P80"/>
  <c r="P82" i="40"/>
  <c r="P81" i="11"/>
  <c r="P78"/>
  <c r="P80"/>
  <c r="P82" i="39"/>
  <c r="P81" i="38"/>
  <c r="P81" i="43"/>
  <c r="P80" i="39"/>
  <c r="P78"/>
  <c r="P80" i="43"/>
  <c r="P80" i="38"/>
  <c r="P79" i="37"/>
  <c r="P80"/>
  <c r="P80" i="40"/>
  <c r="P79" i="11"/>
  <c r="P42"/>
  <c r="P74"/>
  <c r="P66"/>
  <c r="P74" i="40"/>
  <c r="P78" i="37"/>
  <c r="P74"/>
  <c r="P79" i="6"/>
  <c r="P79" i="43"/>
  <c r="P79" i="40"/>
  <c r="P79" i="38"/>
  <c r="P74" i="43"/>
  <c r="P78"/>
  <c r="P78" i="40"/>
  <c r="P78" i="38"/>
  <c r="P74"/>
  <c r="P74" i="39"/>
  <c r="P75" i="6"/>
  <c r="P75" i="40"/>
  <c r="P75" i="39"/>
  <c r="P42" i="40"/>
  <c r="P75" i="37"/>
  <c r="P43"/>
  <c r="P76" i="6"/>
  <c r="P75" i="38"/>
  <c r="P67" i="37"/>
  <c r="P34"/>
  <c r="P43" i="6"/>
  <c r="P67"/>
  <c r="P75" i="43"/>
  <c r="P66"/>
  <c r="P66" i="40"/>
  <c r="P66" i="39"/>
  <c r="P67" i="38"/>
  <c r="P66" i="37"/>
  <c r="P67" i="40"/>
  <c r="P67" i="11"/>
  <c r="P66" i="38"/>
  <c r="P43"/>
  <c r="P42" i="39"/>
  <c r="P42" i="38"/>
  <c r="P67" i="39"/>
  <c r="P67" i="43"/>
  <c r="P68" i="6"/>
  <c r="P43" i="43"/>
  <c r="P43" i="40"/>
  <c r="P42" i="37"/>
  <c r="P42" i="43"/>
  <c r="P34"/>
  <c r="P43" i="39"/>
  <c r="P34"/>
  <c r="P35" i="6"/>
  <c r="P34" i="40"/>
  <c r="P44" i="6"/>
  <c r="P34" i="11"/>
  <c r="P34" i="38"/>
  <c r="P35" i="11"/>
  <c r="P58"/>
  <c r="P58" i="37"/>
  <c r="P35"/>
  <c r="P36" i="6"/>
  <c r="P35" i="38"/>
  <c r="P51" i="6"/>
  <c r="P58" i="43"/>
  <c r="P35" i="40"/>
  <c r="P50" i="11"/>
  <c r="P59"/>
  <c r="P35" i="43"/>
  <c r="P58" i="40"/>
  <c r="P50"/>
  <c r="P35" i="39"/>
  <c r="P58" i="38"/>
  <c r="P59"/>
  <c r="P50" i="37"/>
  <c r="P59"/>
  <c r="P52" i="6"/>
  <c r="P59" i="43"/>
  <c r="P58" i="39"/>
  <c r="P59" i="40"/>
  <c r="P59" i="6"/>
  <c r="P50" i="43"/>
  <c r="P59" i="39"/>
  <c r="P51" i="43"/>
  <c r="P66" i="6"/>
  <c r="P51" i="38"/>
  <c r="P50"/>
  <c r="P50" i="39"/>
  <c r="P51"/>
  <c r="P51" i="37"/>
  <c r="P60" i="6"/>
  <c r="P51" i="11"/>
  <c r="P65" i="39"/>
  <c r="P51" i="40"/>
  <c r="P65" i="38"/>
  <c r="P65" i="43"/>
  <c r="P26" i="11"/>
  <c r="AG75" i="30"/>
  <c r="AI44"/>
  <c r="AG41"/>
  <c r="AG68"/>
  <c r="AJ44"/>
  <c r="AH52"/>
  <c r="P26" i="38"/>
  <c r="AH44" i="30"/>
  <c r="AG42"/>
  <c r="P65" i="37"/>
  <c r="P65" i="11"/>
  <c r="P27" i="6"/>
  <c r="P65" i="40"/>
  <c r="P26" i="37"/>
  <c r="P57" i="11"/>
  <c r="P26" i="43"/>
  <c r="P26" i="39"/>
  <c r="P26" i="40"/>
  <c r="P27" i="38"/>
  <c r="P27" i="39"/>
  <c r="P27" i="43"/>
  <c r="P64" i="11"/>
  <c r="P27"/>
  <c r="P28" i="6"/>
  <c r="P27" i="40"/>
  <c r="P27" i="37"/>
  <c r="P73" i="40"/>
  <c r="P73" i="11"/>
  <c r="P73" i="39"/>
  <c r="P73" i="43"/>
  <c r="P73" i="38"/>
  <c r="P74" i="6"/>
  <c r="P73"/>
  <c r="P65"/>
  <c r="P72" i="37"/>
  <c r="P73"/>
  <c r="P72" i="40"/>
  <c r="P72" i="43"/>
  <c r="P72" i="11"/>
  <c r="P64" i="40"/>
  <c r="P56" i="39"/>
  <c r="P72"/>
  <c r="P64" i="38"/>
  <c r="P72"/>
  <c r="P64" i="39"/>
  <c r="P56" i="40"/>
  <c r="P56" i="11"/>
  <c r="P57" i="43"/>
  <c r="P48" i="39"/>
  <c r="P49"/>
  <c r="P40"/>
  <c r="P57" i="38"/>
  <c r="P64" i="37"/>
  <c r="P64" i="43"/>
  <c r="P57" i="37"/>
  <c r="P57" i="39"/>
  <c r="P58" i="6"/>
  <c r="P57" i="40"/>
  <c r="P49" i="38"/>
  <c r="P56" i="37"/>
  <c r="P49" i="40"/>
  <c r="P56" i="43"/>
  <c r="P56" i="38"/>
  <c r="P57" i="6"/>
  <c r="P49" i="11"/>
  <c r="P49" i="37"/>
  <c r="P40" i="40"/>
  <c r="P49" i="6"/>
  <c r="P34"/>
  <c r="P48" i="43"/>
  <c r="P41" i="40"/>
  <c r="P48" i="37"/>
  <c r="P40"/>
  <c r="P41" i="39"/>
  <c r="P48" i="38"/>
  <c r="P50" i="6"/>
  <c r="P49" i="43"/>
  <c r="P40"/>
  <c r="P42" i="6"/>
  <c r="P41" i="43"/>
  <c r="P48" i="40"/>
  <c r="P41" i="11"/>
  <c r="P41" i="37"/>
  <c r="P41" i="38"/>
  <c r="P32" i="43"/>
  <c r="P48" i="11"/>
  <c r="P40" i="38"/>
  <c r="P32" i="37"/>
  <c r="P40" i="11"/>
  <c r="P33" i="43"/>
  <c r="P32" i="11"/>
  <c r="P32" i="39"/>
  <c r="P32" i="38"/>
  <c r="P33"/>
  <c r="P41" i="6"/>
  <c r="P32" i="40"/>
  <c r="P33"/>
  <c r="P33" i="37"/>
  <c r="P33" i="6"/>
  <c r="P33" i="39"/>
  <c r="P33" i="11"/>
  <c r="AJ58" i="30"/>
  <c r="AL33" a="1"/>
  <c r="AJ57"/>
  <c r="AH74"/>
  <c r="AH68"/>
  <c r="AH67"/>
  <c r="AH66"/>
  <c r="AH58"/>
  <c r="AJ76"/>
  <c r="AJ60"/>
  <c r="AI60"/>
  <c r="AI59"/>
  <c r="AH51"/>
  <c r="AH50"/>
  <c r="AJ66"/>
  <c r="AI66"/>
  <c r="AG59"/>
  <c r="AJ50"/>
  <c r="AI50"/>
  <c r="AJ68"/>
  <c r="AI68"/>
  <c r="AG67"/>
  <c r="AI67"/>
  <c r="AG66"/>
  <c r="AG65"/>
  <c r="AI65"/>
  <c r="AG58"/>
  <c r="AG57"/>
  <c r="AH76"/>
  <c r="AH75"/>
  <c r="AJ74"/>
  <c r="AH60"/>
  <c r="AJ52"/>
  <c r="AI52"/>
  <c r="AG51"/>
  <c r="AI51"/>
  <c r="AG50"/>
  <c r="AG49"/>
  <c r="AI49"/>
  <c r="AG43"/>
  <c r="AL40"/>
  <c r="AQ40" s="1"/>
  <c r="AI74"/>
  <c r="AI73"/>
  <c r="AJ41"/>
  <c r="AI43"/>
  <c r="AN40"/>
  <c r="AS40" s="1"/>
  <c r="AI18"/>
  <c r="AJ67"/>
  <c r="AH65"/>
  <c r="AJ65"/>
  <c r="AH57"/>
  <c r="AG76"/>
  <c r="AI75"/>
  <c r="AJ75"/>
  <c r="AG74"/>
  <c r="AH73"/>
  <c r="AG73"/>
  <c r="AJ73"/>
  <c r="AG60"/>
  <c r="AH59"/>
  <c r="AJ59"/>
  <c r="AJ51"/>
  <c r="AH49"/>
  <c r="AJ49"/>
  <c r="AJ43"/>
  <c r="AJ42"/>
  <c r="AH41"/>
  <c r="AI41"/>
  <c r="P17" i="11"/>
  <c r="P15"/>
  <c r="P47"/>
  <c r="P22"/>
  <c r="P14"/>
  <c r="P16"/>
  <c r="AI26" i="30"/>
  <c r="AJ26"/>
  <c r="AI28"/>
  <c r="AJ28"/>
  <c r="AI27"/>
  <c r="AJ27"/>
  <c r="AH26"/>
  <c r="AH28"/>
  <c r="AH27"/>
  <c r="AM24"/>
  <c r="AR24" s="1"/>
  <c r="AN24"/>
  <c r="AS24" s="1"/>
  <c r="AN16"/>
  <c r="AS16" s="1"/>
  <c r="AI17"/>
  <c r="AH18"/>
  <c r="AI19"/>
  <c r="AO24"/>
  <c r="AT24" s="1"/>
  <c r="AM16"/>
  <c r="AR16" s="1"/>
  <c r="AH17"/>
  <c r="AO16"/>
  <c r="AT16" s="1"/>
  <c r="AJ17"/>
  <c r="AJ20"/>
  <c r="AH19"/>
  <c r="P25" i="6"/>
  <c r="P31" i="11"/>
  <c r="P39"/>
  <c r="P55"/>
  <c r="P30"/>
  <c r="P46"/>
  <c r="P23"/>
  <c r="P38"/>
  <c r="P54"/>
  <c r="P70" i="43"/>
  <c r="P19" i="11"/>
  <c r="P24" i="40"/>
  <c r="P25" i="38"/>
  <c r="P25" i="37"/>
  <c r="P24" i="11"/>
  <c r="P18"/>
  <c r="P24" i="37"/>
  <c r="P63" i="43"/>
  <c r="P71" i="6"/>
  <c r="P24" i="43"/>
  <c r="P24" i="39"/>
  <c r="P25"/>
  <c r="P24" i="38"/>
  <c r="P25" i="43"/>
  <c r="P26" i="6"/>
  <c r="P25" i="40"/>
  <c r="P71" i="37"/>
  <c r="P71" i="11"/>
  <c r="P71" i="38"/>
  <c r="P70" i="39"/>
  <c r="P71"/>
  <c r="P70" i="37"/>
  <c r="P72" i="6"/>
  <c r="P71" i="43"/>
  <c r="P71" i="40"/>
  <c r="P70" i="11"/>
  <c r="P62" i="37"/>
  <c r="P55"/>
  <c r="P63" i="39"/>
  <c r="P70" i="38"/>
  <c r="P63" i="40"/>
  <c r="P64" i="6"/>
  <c r="P70" i="40"/>
  <c r="P62" i="43"/>
  <c r="P62" i="40"/>
  <c r="P63" i="11"/>
  <c r="P62" i="39"/>
  <c r="P63" i="38"/>
  <c r="P19"/>
  <c r="P46" i="37"/>
  <c r="P30"/>
  <c r="P15"/>
  <c r="P62" i="38"/>
  <c r="P63" i="37"/>
  <c r="P23"/>
  <c r="P62" i="11"/>
  <c r="P18" i="38"/>
  <c r="P63" i="6"/>
  <c r="P55" i="38"/>
  <c r="P46"/>
  <c r="P38"/>
  <c r="P23"/>
  <c r="P14" i="39"/>
  <c r="P23" i="43"/>
  <c r="P23" i="40"/>
  <c r="P14" i="38"/>
  <c r="P31"/>
  <c r="P47" i="37"/>
  <c r="P31" i="40"/>
  <c r="P31" i="37"/>
  <c r="P15" i="43"/>
  <c r="P39"/>
  <c r="P54" i="38"/>
  <c r="P39"/>
  <c r="P17"/>
  <c r="P39" i="39"/>
  <c r="P40" i="6"/>
  <c r="P31"/>
  <c r="P23"/>
  <c r="P46" i="40"/>
  <c r="P18"/>
  <c r="P14"/>
  <c r="P17" i="6"/>
  <c r="P47"/>
  <c r="P31" i="43"/>
  <c r="P16"/>
  <c r="P54"/>
  <c r="P39" i="40"/>
  <c r="P30"/>
  <c r="P22"/>
  <c r="P23" i="39"/>
  <c r="P18"/>
  <c r="P16"/>
  <c r="P15" i="38"/>
  <c r="P55" i="39"/>
  <c r="P32" i="6"/>
  <c r="P47" i="40"/>
  <c r="P46" i="43"/>
  <c r="P38"/>
  <c r="P48" i="6"/>
  <c r="P20"/>
  <c r="P47" i="43"/>
  <c r="P19"/>
  <c r="P14"/>
  <c r="P55" i="40"/>
  <c r="P15" i="6"/>
  <c r="P56"/>
  <c r="P22" i="43"/>
  <c r="P17"/>
  <c r="P46" i="39"/>
  <c r="P14" i="37"/>
  <c r="P39"/>
  <c r="P18" i="6"/>
  <c r="P55"/>
  <c r="P55" i="43"/>
  <c r="P18"/>
  <c r="P38" i="40"/>
  <c r="P19" i="6"/>
  <c r="P24"/>
  <c r="P16" i="40"/>
  <c r="P30" i="43"/>
  <c r="P54" i="40"/>
  <c r="P47" i="39"/>
  <c r="P30" i="38"/>
  <c r="P22"/>
  <c r="P17" i="37"/>
  <c r="P16" i="6"/>
  <c r="P19" i="40"/>
  <c r="P15"/>
  <c r="P39" i="6"/>
  <c r="P17" i="40"/>
  <c r="P30" i="39"/>
  <c r="P22"/>
  <c r="P17"/>
  <c r="P15"/>
  <c r="P22" i="37"/>
  <c r="P31" i="39"/>
  <c r="P47" i="38"/>
  <c r="P16"/>
  <c r="P54" i="39"/>
  <c r="P38"/>
  <c r="P18" i="37"/>
  <c r="P38"/>
  <c r="P16"/>
  <c r="P19" i="39"/>
  <c r="P19" i="37"/>
  <c r="P54"/>
  <c r="D65" i="30"/>
  <c r="V65" s="1"/>
  <c r="J66"/>
  <c r="W66" s="1"/>
  <c r="U66"/>
  <c r="D67"/>
  <c r="V67" s="1"/>
  <c r="D49"/>
  <c r="V49" s="1"/>
  <c r="R60"/>
  <c r="R59"/>
  <c r="J65"/>
  <c r="W65" s="1"/>
  <c r="J41"/>
  <c r="W41" s="1"/>
  <c r="J58"/>
  <c r="W58" s="1"/>
  <c r="U36"/>
  <c r="D58"/>
  <c r="V58" s="1"/>
  <c r="J74"/>
  <c r="W74" s="1"/>
  <c r="J76"/>
  <c r="W76" s="1"/>
  <c r="R75"/>
  <c r="R73"/>
  <c r="D75"/>
  <c r="V75" s="1"/>
  <c r="D76"/>
  <c r="V76" s="1"/>
  <c r="U60"/>
  <c r="D60"/>
  <c r="V60" s="1"/>
  <c r="U35"/>
  <c r="J57"/>
  <c r="W57" s="1"/>
  <c r="J43"/>
  <c r="W43" s="1"/>
  <c r="D42"/>
  <c r="V42" s="1"/>
  <c r="J59"/>
  <c r="W59" s="1"/>
  <c r="R57"/>
  <c r="D68"/>
  <c r="V68" s="1"/>
  <c r="X76"/>
  <c r="U76"/>
  <c r="D35"/>
  <c r="V35" s="1"/>
  <c r="D34"/>
  <c r="V34" s="1"/>
  <c r="J73"/>
  <c r="W73" s="1"/>
  <c r="U59"/>
  <c r="X58"/>
  <c r="U74"/>
  <c r="U75"/>
  <c r="D59"/>
  <c r="V59" s="1"/>
  <c r="U58"/>
  <c r="U57"/>
  <c r="U73"/>
  <c r="D57"/>
  <c r="V57" s="1"/>
  <c r="J35"/>
  <c r="W35" s="1"/>
  <c r="U33"/>
  <c r="R36"/>
  <c r="U68"/>
  <c r="R76"/>
  <c r="D73"/>
  <c r="V73" s="1"/>
  <c r="D74"/>
  <c r="V74" s="1"/>
  <c r="R74"/>
  <c r="R68"/>
  <c r="D66"/>
  <c r="V66" s="1"/>
  <c r="R66"/>
  <c r="J68"/>
  <c r="W68" s="1"/>
  <c r="R58"/>
  <c r="X65"/>
  <c r="R67"/>
  <c r="X59"/>
  <c r="J60"/>
  <c r="W60" s="1"/>
  <c r="J75"/>
  <c r="W75" s="1"/>
  <c r="U67"/>
  <c r="R65"/>
  <c r="J67"/>
  <c r="W67" s="1"/>
  <c r="U65"/>
  <c r="J49"/>
  <c r="W49" s="1"/>
  <c r="U49"/>
  <c r="D51"/>
  <c r="V51" s="1"/>
  <c r="J50"/>
  <c r="W50" s="1"/>
  <c r="R49"/>
  <c r="U51"/>
  <c r="J52"/>
  <c r="W52" s="1"/>
  <c r="D52"/>
  <c r="V52" s="1"/>
  <c r="U42"/>
  <c r="U43"/>
  <c r="D44"/>
  <c r="V44" s="1"/>
  <c r="U41"/>
  <c r="R42"/>
  <c r="J42"/>
  <c r="W42" s="1"/>
  <c r="X41"/>
  <c r="D43"/>
  <c r="V43" s="1"/>
  <c r="R43"/>
  <c r="D41"/>
  <c r="V41" s="1"/>
  <c r="U44"/>
  <c r="R44"/>
  <c r="J44"/>
  <c r="W44" s="1"/>
  <c r="R41"/>
  <c r="R33"/>
  <c r="R34"/>
  <c r="D36"/>
  <c r="V36" s="1"/>
  <c r="J36"/>
  <c r="W36" s="1"/>
  <c r="D33"/>
  <c r="V33" s="1"/>
  <c r="U34"/>
  <c r="R35"/>
  <c r="J34"/>
  <c r="W34" s="1"/>
  <c r="J33"/>
  <c r="W33" s="1"/>
  <c r="U50"/>
  <c r="R52"/>
  <c r="R51"/>
  <c r="U52"/>
  <c r="D50"/>
  <c r="V50" s="1"/>
  <c r="J51"/>
  <c r="W51" s="1"/>
  <c r="R50"/>
  <c r="P101" i="28"/>
  <c r="P101" i="9"/>
  <c r="P101" i="7"/>
  <c r="P98" i="27"/>
  <c r="P98" i="28"/>
  <c r="P101" i="27"/>
  <c r="P95" i="20"/>
  <c r="P101"/>
  <c r="P101" i="8"/>
  <c r="P101" i="25"/>
  <c r="P95" i="7"/>
  <c r="P98" i="25"/>
  <c r="P95"/>
  <c r="P98" i="7"/>
  <c r="P98" i="8"/>
  <c r="P98" i="20"/>
  <c r="P95" i="8"/>
  <c r="P95" i="27"/>
  <c r="P94" i="20"/>
  <c r="P94" i="25"/>
  <c r="P95" i="28"/>
  <c r="P91" i="20"/>
  <c r="P94" i="8"/>
  <c r="P91" i="27"/>
  <c r="P94" i="7"/>
  <c r="P89"/>
  <c r="P94" i="28"/>
  <c r="P94" i="27"/>
  <c r="P94" i="9"/>
  <c r="P91" i="25"/>
  <c r="P91" i="28"/>
  <c r="P89" i="20"/>
  <c r="P91" i="9"/>
  <c r="P91" i="8"/>
  <c r="P90" i="27"/>
  <c r="P91" i="7"/>
  <c r="P90" i="25"/>
  <c r="P90" i="9"/>
  <c r="P85" i="20"/>
  <c r="P90"/>
  <c r="P89" i="25"/>
  <c r="P89" i="27"/>
  <c r="P90" i="28"/>
  <c r="P90" i="7"/>
  <c r="P90" i="8"/>
  <c r="P88" i="28"/>
  <c r="P89"/>
  <c r="P85"/>
  <c r="P88" i="8"/>
  <c r="P89" i="9"/>
  <c r="P89" i="8"/>
  <c r="P88" i="25"/>
  <c r="P85" i="8"/>
  <c r="P88" i="7"/>
  <c r="P85" i="25"/>
  <c r="P88" i="27"/>
  <c r="P84" i="28"/>
  <c r="P84" i="27"/>
  <c r="P88" i="20"/>
  <c r="P82" i="7"/>
  <c r="P85" i="27"/>
  <c r="P85" i="7"/>
  <c r="P84" i="25"/>
  <c r="P83" i="20"/>
  <c r="P83" i="28"/>
  <c r="P84" i="7"/>
  <c r="P80"/>
  <c r="P84" i="20"/>
  <c r="P83" i="27"/>
  <c r="P82" i="20"/>
  <c r="P84" i="8"/>
  <c r="P82" i="28"/>
  <c r="P80" i="20"/>
  <c r="P83" i="25"/>
  <c r="P80" i="28"/>
  <c r="P83" i="7"/>
  <c r="P83" i="8"/>
  <c r="P82" i="25"/>
  <c r="P81"/>
  <c r="P81" i="27"/>
  <c r="P82"/>
  <c r="P82" i="8"/>
  <c r="P81" i="7"/>
  <c r="P80" i="25"/>
  <c r="P81" i="8"/>
  <c r="P79" i="27"/>
  <c r="P80" i="8"/>
  <c r="P81" i="28"/>
  <c r="P81" i="20"/>
  <c r="P79" i="8"/>
  <c r="P78" i="28"/>
  <c r="P80" i="27"/>
  <c r="P79" i="20"/>
  <c r="P79" i="7"/>
  <c r="P79" i="28"/>
  <c r="P67" i="20"/>
  <c r="P79" i="25"/>
  <c r="P78" i="8"/>
  <c r="P78" i="20"/>
  <c r="P67" i="25"/>
  <c r="P78"/>
  <c r="P78" i="27"/>
  <c r="P66" i="8"/>
  <c r="P78" i="7"/>
  <c r="P67" i="8"/>
  <c r="P67" i="28"/>
  <c r="P67" i="7"/>
  <c r="P67" i="27"/>
  <c r="P66" i="28"/>
  <c r="P75"/>
  <c r="P66" i="7"/>
  <c r="P66" i="25"/>
  <c r="P66" i="27"/>
  <c r="P66" i="20"/>
  <c r="P58" i="8"/>
  <c r="P59" i="20"/>
  <c r="P58" i="28"/>
  <c r="P74"/>
  <c r="P59" i="25"/>
  <c r="P58"/>
  <c r="P41" i="8"/>
  <c r="P50"/>
  <c r="P59" i="28"/>
  <c r="P58" i="7"/>
  <c r="P74"/>
  <c r="P51" i="28"/>
  <c r="P74" i="27"/>
  <c r="P59" i="8"/>
  <c r="P58" i="20"/>
  <c r="P58" i="27"/>
  <c r="P59"/>
  <c r="P59" i="7"/>
  <c r="P71" i="27"/>
  <c r="P51"/>
  <c r="P51" i="8"/>
  <c r="P38" i="25"/>
  <c r="P51" i="20"/>
  <c r="P48" i="7"/>
  <c r="P33" i="27"/>
  <c r="P50" i="20"/>
  <c r="P51" i="7"/>
  <c r="P50" i="27"/>
  <c r="P63" i="28"/>
  <c r="P17" i="20"/>
  <c r="P22"/>
  <c r="P38"/>
  <c r="P51" i="25"/>
  <c r="P31" i="28"/>
  <c r="P50"/>
  <c r="P50" i="25"/>
  <c r="P25" i="27"/>
  <c r="P50" i="7"/>
  <c r="P14" i="9"/>
  <c r="P27"/>
  <c r="P31" i="20"/>
  <c r="P40"/>
  <c r="P47"/>
  <c r="P14" i="28"/>
  <c r="P72" i="20"/>
  <c r="P73" i="7"/>
  <c r="P46"/>
  <c r="P41"/>
  <c r="P34"/>
  <c r="P30" i="9"/>
  <c r="P43"/>
  <c r="P46"/>
  <c r="P70" i="27"/>
  <c r="P27" i="25"/>
  <c r="P39"/>
  <c r="P43"/>
  <c r="P48"/>
  <c r="P15" i="20"/>
  <c r="P25" i="7"/>
  <c r="P18" i="8"/>
  <c r="P30"/>
  <c r="P34"/>
  <c r="P62"/>
  <c r="P56" i="7"/>
  <c r="P18"/>
  <c r="P41" i="27"/>
  <c r="P46"/>
  <c r="P49"/>
  <c r="P22" i="28"/>
  <c r="P42"/>
  <c r="P74" i="25"/>
  <c r="P19" i="8"/>
  <c r="P39" i="27"/>
  <c r="P65"/>
  <c r="P74" i="8"/>
  <c r="P23" i="28"/>
  <c r="P74" i="20"/>
  <c r="P19" i="25"/>
  <c r="P40"/>
  <c r="P43" i="28"/>
  <c r="P14" i="20"/>
  <c r="P34"/>
  <c r="P46"/>
  <c r="P22" i="7"/>
  <c r="P42"/>
  <c r="P49"/>
  <c r="P54"/>
  <c r="P71"/>
  <c r="P38" i="8"/>
  <c r="P65"/>
  <c r="P18" i="25"/>
  <c r="P41"/>
  <c r="P73"/>
  <c r="P32" i="8"/>
  <c r="P55"/>
  <c r="P24" i="27"/>
  <c r="P35"/>
  <c r="P40"/>
  <c r="P15" i="8"/>
  <c r="P63"/>
  <c r="P16" i="27"/>
  <c r="P27"/>
  <c r="P27" i="20"/>
  <c r="P48"/>
  <c r="P15" i="7"/>
  <c r="P14" i="27"/>
  <c r="P55" i="7"/>
  <c r="P14"/>
  <c r="P47" i="27"/>
  <c r="P19" i="28"/>
  <c r="P32" i="27"/>
  <c r="P73"/>
  <c r="P17" i="28"/>
  <c r="P17" i="25"/>
  <c r="P26"/>
  <c r="P33"/>
  <c r="P75"/>
  <c r="P73" i="8"/>
  <c r="P22" i="27"/>
  <c r="P26"/>
  <c r="P72" i="25"/>
  <c r="P48" i="27"/>
  <c r="P24" i="28"/>
  <c r="P14" i="25"/>
  <c r="P62"/>
  <c r="P15"/>
  <c r="P63"/>
  <c r="P23" i="8"/>
  <c r="P27"/>
  <c r="P64"/>
  <c r="P75"/>
  <c r="P40"/>
  <c r="P72"/>
  <c r="P34" i="28"/>
  <c r="P46"/>
  <c r="P16" i="20"/>
  <c r="P23"/>
  <c r="P71"/>
  <c r="P75"/>
  <c r="P19" i="7"/>
  <c r="P24"/>
  <c r="P35"/>
  <c r="P54" i="28"/>
  <c r="P71" i="25"/>
  <c r="P26" i="8"/>
  <c r="P18" i="27"/>
  <c r="P32" i="28"/>
  <c r="P39"/>
  <c r="P64"/>
  <c r="P71"/>
  <c r="P70" i="20"/>
  <c r="P27" i="7"/>
  <c r="P16"/>
  <c r="P30" i="25"/>
  <c r="P34"/>
  <c r="P57"/>
  <c r="P31"/>
  <c r="P35"/>
  <c r="P56"/>
  <c r="P43" i="8"/>
  <c r="P48"/>
  <c r="P15" i="27"/>
  <c r="P19"/>
  <c r="P31" i="8"/>
  <c r="P35"/>
  <c r="P56"/>
  <c r="P25" i="28"/>
  <c r="P30"/>
  <c r="P57"/>
  <c r="P62"/>
  <c r="P39" i="20"/>
  <c r="P43"/>
  <c r="P64"/>
  <c r="P40" i="7"/>
  <c r="P47"/>
  <c r="P72"/>
  <c r="P62" i="27"/>
  <c r="P33" i="28"/>
  <c r="P38"/>
  <c r="P65"/>
  <c r="P64" i="25"/>
  <c r="P49"/>
  <c r="P54"/>
  <c r="P14" i="8"/>
  <c r="P17"/>
  <c r="P70"/>
  <c r="P34" i="27"/>
  <c r="P56"/>
  <c r="P63"/>
  <c r="P16" i="28"/>
  <c r="P55"/>
  <c r="P25" i="20"/>
  <c r="P30"/>
  <c r="P57"/>
  <c r="P62"/>
  <c r="P26" i="7"/>
  <c r="P33"/>
  <c r="P65"/>
  <c r="P70"/>
  <c r="P43" i="27"/>
  <c r="P64"/>
  <c r="P75" i="7"/>
  <c r="P16" i="25"/>
  <c r="P23"/>
  <c r="P57" i="8"/>
  <c r="P42" i="27"/>
  <c r="P33" i="8"/>
  <c r="P49"/>
  <c r="P75" i="27"/>
  <c r="P40" i="28"/>
  <c r="P47"/>
  <c r="P72"/>
  <c r="P26" i="20"/>
  <c r="P49"/>
  <c r="P65"/>
  <c r="P39" i="7"/>
  <c r="P32"/>
  <c r="P19" i="20"/>
  <c r="P24"/>
  <c r="P63"/>
  <c r="P57" i="7"/>
  <c r="P70" i="28"/>
  <c r="P22" i="25"/>
  <c r="P42"/>
  <c r="P65"/>
  <c r="P25" i="8"/>
  <c r="P46"/>
  <c r="P17" i="27"/>
  <c r="P38"/>
  <c r="P54" i="8"/>
  <c r="P55" i="27"/>
  <c r="P15" i="28"/>
  <c r="P35"/>
  <c r="P56"/>
  <c r="P33" i="20"/>
  <c r="P54"/>
  <c r="P64" i="7"/>
  <c r="P43"/>
  <c r="P23"/>
  <c r="P35" i="20"/>
  <c r="P56"/>
  <c r="P62" i="7"/>
  <c r="P30"/>
  <c r="P25" i="25"/>
  <c r="P46"/>
  <c r="P24"/>
  <c r="P47"/>
  <c r="P16" i="8"/>
  <c r="P39"/>
  <c r="P71"/>
  <c r="P31" i="27"/>
  <c r="P70" i="25"/>
  <c r="P24" i="8"/>
  <c r="P47"/>
  <c r="P23" i="27"/>
  <c r="P54"/>
  <c r="P18" i="28"/>
  <c r="P41"/>
  <c r="P73"/>
  <c r="P32" i="20"/>
  <c r="P55"/>
  <c r="P31" i="7"/>
  <c r="P63"/>
  <c r="P57" i="27"/>
  <c r="P26" i="28"/>
  <c r="P49"/>
  <c r="P32" i="25"/>
  <c r="P55"/>
  <c r="P22" i="8"/>
  <c r="P42"/>
  <c r="P30" i="27"/>
  <c r="P72"/>
  <c r="P27" i="28"/>
  <c r="P48"/>
  <c r="P18" i="20"/>
  <c r="P41"/>
  <c r="P73"/>
  <c r="P17" i="7"/>
  <c r="P38"/>
  <c r="P42" i="20"/>
  <c r="S26" i="30"/>
  <c r="T26" s="1"/>
  <c r="S27"/>
  <c r="T27" s="1"/>
  <c r="S28"/>
  <c r="T28" s="1"/>
  <c r="S25"/>
  <c r="T25" s="1"/>
  <c r="S18"/>
  <c r="S19"/>
  <c r="S20"/>
  <c r="S17"/>
  <c r="R2" i="4"/>
  <c r="K2"/>
  <c r="K3" s="1"/>
  <c r="K4"/>
  <c r="K5" s="1"/>
  <c r="K6" s="1"/>
  <c r="K7" s="1"/>
  <c r="K8" s="1"/>
  <c r="K9" s="1"/>
  <c r="K10" s="1"/>
  <c r="Z2"/>
  <c r="M2"/>
  <c r="M3" s="1"/>
  <c r="P2"/>
  <c r="P3" s="1"/>
  <c r="M4"/>
  <c r="M5" s="1"/>
  <c r="N2"/>
  <c r="K11"/>
  <c r="K12" s="1"/>
  <c r="K13" s="1"/>
  <c r="K14" s="1"/>
  <c r="K15" s="1"/>
  <c r="K16" s="1"/>
  <c r="K17" s="1"/>
  <c r="K18" s="1"/>
  <c r="K19" s="1"/>
  <c r="M6"/>
  <c r="M7" s="1"/>
  <c r="M8" s="1"/>
  <c r="M9" s="1"/>
  <c r="M10" s="1"/>
  <c r="M11" s="1"/>
  <c r="W2"/>
  <c r="W3" s="1"/>
  <c r="W4" s="1"/>
  <c r="W5" s="1"/>
  <c r="Y2"/>
  <c r="Y3" s="1"/>
  <c r="Y4" s="1"/>
  <c r="Y5"/>
  <c r="Y6" s="1"/>
  <c r="Y7" s="1"/>
  <c r="Y8" s="1"/>
  <c r="Z3"/>
  <c r="Z4" s="1"/>
  <c r="Z5" s="1"/>
  <c r="Z6" s="1"/>
  <c r="K20"/>
  <c r="K21" s="1"/>
  <c r="W6"/>
  <c r="W7" s="1"/>
  <c r="W8" s="1"/>
  <c r="W9" s="1"/>
  <c r="U2"/>
  <c r="U3"/>
  <c r="U4" s="1"/>
  <c r="U5" s="1"/>
  <c r="U6" s="1"/>
  <c r="K22"/>
  <c r="K23" s="1"/>
  <c r="Z7"/>
  <c r="Z8" s="1"/>
  <c r="M12"/>
  <c r="M13" s="1"/>
  <c r="M14" s="1"/>
  <c r="M15" s="1"/>
  <c r="M16" s="1"/>
  <c r="M17" s="1"/>
  <c r="M18" s="1"/>
  <c r="M19" s="1"/>
  <c r="M20" s="1"/>
  <c r="M21" s="1"/>
  <c r="M22" s="1"/>
  <c r="M23" s="1"/>
  <c r="M24" s="1"/>
  <c r="M25" s="1"/>
  <c r="M26" s="1"/>
  <c r="M27" s="1"/>
  <c r="M28" s="1"/>
  <c r="M29" s="1"/>
  <c r="M30" s="1"/>
  <c r="M31" s="1"/>
  <c r="M32" s="1"/>
  <c r="M33" s="1"/>
  <c r="H2"/>
  <c r="H3" s="1"/>
  <c r="H4" s="1"/>
  <c r="H5" s="1"/>
  <c r="H6" s="1"/>
  <c r="H7"/>
  <c r="H8" s="1"/>
  <c r="P4"/>
  <c r="P5" s="1"/>
  <c r="P6" s="1"/>
  <c r="P7" s="1"/>
  <c r="P8" s="1"/>
  <c r="P9" s="1"/>
  <c r="P10" s="1"/>
  <c r="P11" s="1"/>
  <c r="P12" s="1"/>
  <c r="P13" s="1"/>
  <c r="P14" s="1"/>
  <c r="P15" s="1"/>
  <c r="P16" s="1"/>
  <c r="P17" s="1"/>
  <c r="P18" s="1"/>
  <c r="P19" s="1"/>
  <c r="P20" s="1"/>
  <c r="P21" s="1"/>
  <c r="P22" s="1"/>
  <c r="P23" s="1"/>
  <c r="P24" s="1"/>
  <c r="P25" s="1"/>
  <c r="P26" s="1"/>
  <c r="P27" s="1"/>
  <c r="P28" s="1"/>
  <c r="P29" s="1"/>
  <c r="Y9"/>
  <c r="U7"/>
  <c r="U8" s="1"/>
  <c r="Y10"/>
  <c r="Y11" s="1"/>
  <c r="Y12" s="1"/>
  <c r="Y13" s="1"/>
  <c r="Y14" s="1"/>
  <c r="Y15" s="1"/>
  <c r="Y16" s="1"/>
  <c r="N3"/>
  <c r="N4" s="1"/>
  <c r="N5" s="1"/>
  <c r="H9"/>
  <c r="H10" s="1"/>
  <c r="H11" s="1"/>
  <c r="H12" s="1"/>
  <c r="H13" s="1"/>
  <c r="H14" s="1"/>
  <c r="H15" s="1"/>
  <c r="H16" s="1"/>
  <c r="H17" s="1"/>
  <c r="H18" s="1"/>
  <c r="H19" s="1"/>
  <c r="H20" s="1"/>
  <c r="R3"/>
  <c r="R4" s="1"/>
  <c r="R5" s="1"/>
  <c r="R6" s="1"/>
  <c r="R7" s="1"/>
  <c r="R8" s="1"/>
  <c r="R9" s="1"/>
  <c r="R10" s="1"/>
  <c r="R11" s="1"/>
  <c r="R12" s="1"/>
  <c r="H21"/>
  <c r="H22" s="1"/>
  <c r="W10"/>
  <c r="W11" s="1"/>
  <c r="W12" s="1"/>
  <c r="W13" s="1"/>
  <c r="W14" s="1"/>
  <c r="W15" s="1"/>
  <c r="W16" s="1"/>
  <c r="W17" s="1"/>
  <c r="W18" s="1"/>
  <c r="W19" s="1"/>
  <c r="W20" s="1"/>
  <c r="W21" s="1"/>
  <c r="W22" s="1"/>
  <c r="W23" s="1"/>
  <c r="W24" s="1"/>
  <c r="W25" s="1"/>
  <c r="W26" s="1"/>
  <c r="W27" s="1"/>
  <c r="W28" s="1"/>
  <c r="W29" s="1"/>
  <c r="W30" s="1"/>
  <c r="W31" s="1"/>
  <c r="W32" s="1"/>
  <c r="W33" s="1"/>
  <c r="W34" s="1"/>
  <c r="W35" s="1"/>
  <c r="W36" s="1"/>
  <c r="W37" s="1"/>
  <c r="W38" s="1"/>
  <c r="W39" s="1"/>
  <c r="W40" s="1"/>
  <c r="W41" s="1"/>
  <c r="W42" s="1"/>
  <c r="W43" s="1"/>
  <c r="W44" s="1"/>
  <c r="W45" s="1"/>
  <c r="W46" s="1"/>
  <c r="W47" s="1"/>
  <c r="W48" s="1"/>
  <c r="W49" s="1"/>
  <c r="W50" s="1"/>
  <c r="W51" s="1"/>
  <c r="W52" s="1"/>
  <c r="W53" s="1"/>
  <c r="W54" s="1"/>
  <c r="W55" s="1"/>
  <c r="W56" s="1"/>
  <c r="W57" s="1"/>
  <c r="W58" s="1"/>
  <c r="W59" s="1"/>
  <c r="W60" s="1"/>
  <c r="W61" s="1"/>
  <c r="W62" s="1"/>
  <c r="W63" s="1"/>
  <c r="W64" s="1"/>
  <c r="W65" s="1"/>
  <c r="W66" s="1"/>
  <c r="W67" s="1"/>
  <c r="W68" s="1"/>
  <c r="W69" s="1"/>
  <c r="W70" s="1"/>
  <c r="W71" s="1"/>
  <c r="W72" s="1"/>
  <c r="W73" s="1"/>
  <c r="T2"/>
  <c r="T3" s="1"/>
  <c r="T4" s="1"/>
  <c r="T5" s="1"/>
  <c r="T6" s="1"/>
  <c r="T7" s="1"/>
  <c r="T8" s="1"/>
  <c r="T9" s="1"/>
  <c r="T10" s="1"/>
  <c r="T11" s="1"/>
  <c r="T12" s="1"/>
  <c r="T13" s="1"/>
  <c r="T14" s="1"/>
  <c r="T15" s="1"/>
  <c r="T16" s="1"/>
  <c r="T17" s="1"/>
  <c r="T18" s="1"/>
  <c r="T19" s="1"/>
  <c r="T20" s="1"/>
  <c r="T21" s="1"/>
  <c r="T22" s="1"/>
  <c r="T23" s="1"/>
  <c r="T24" s="1"/>
  <c r="T25" s="1"/>
  <c r="T26" s="1"/>
  <c r="T27" s="1"/>
  <c r="T28" s="1"/>
  <c r="T29" s="1"/>
  <c r="T30" s="1"/>
  <c r="T31" s="1"/>
  <c r="T32" s="1"/>
  <c r="T33" s="1"/>
  <c r="T34" s="1"/>
  <c r="T35" s="1"/>
  <c r="T36" s="1"/>
  <c r="T37" s="1"/>
  <c r="T38" s="1"/>
  <c r="T39" s="1"/>
  <c r="T40" s="1"/>
  <c r="T41" s="1"/>
  <c r="T42" s="1"/>
  <c r="T43" s="1"/>
  <c r="T44" s="1"/>
  <c r="T45" s="1"/>
  <c r="T46" s="1"/>
  <c r="T47" s="1"/>
  <c r="T48" s="1"/>
  <c r="T49" s="1"/>
  <c r="T50" s="1"/>
  <c r="T51" s="1"/>
  <c r="T52" s="1"/>
  <c r="T53" s="1"/>
  <c r="T54" s="1"/>
  <c r="T55" s="1"/>
  <c r="T56" s="1"/>
  <c r="T57" s="1"/>
  <c r="T58" s="1"/>
  <c r="T59" s="1"/>
  <c r="T60" s="1"/>
  <c r="T61" s="1"/>
  <c r="T62" s="1"/>
  <c r="T63" s="1"/>
  <c r="T64" s="1"/>
  <c r="T65" s="1"/>
  <c r="T66" s="1"/>
  <c r="T67" s="1"/>
  <c r="T68" s="1"/>
  <c r="T69" s="1"/>
  <c r="T70" s="1"/>
  <c r="T71" s="1"/>
  <c r="T72" s="1"/>
  <c r="T73" s="1"/>
  <c r="Z9"/>
  <c r="Z10" s="1"/>
  <c r="Z11" s="1"/>
  <c r="Z12" s="1"/>
  <c r="Z13" s="1"/>
  <c r="Z14" s="1"/>
  <c r="Z15" s="1"/>
  <c r="Z16" s="1"/>
  <c r="Z17" s="1"/>
  <c r="Z18" s="1"/>
  <c r="Z19" s="1"/>
  <c r="Z20" s="1"/>
  <c r="Z21" s="1"/>
  <c r="Z22" s="1"/>
  <c r="Z23" s="1"/>
  <c r="Z24" s="1"/>
  <c r="Z25" s="1"/>
  <c r="Z26" s="1"/>
  <c r="Z27" s="1"/>
  <c r="Z28" s="1"/>
  <c r="Z29" s="1"/>
  <c r="Z30" s="1"/>
  <c r="Z31" s="1"/>
  <c r="Z32" s="1"/>
  <c r="Z33" s="1"/>
  <c r="Z34" s="1"/>
  <c r="Z35" s="1"/>
  <c r="Z36" s="1"/>
  <c r="Z37" s="1"/>
  <c r="Z38" s="1"/>
  <c r="Z39" s="1"/>
  <c r="Z40" s="1"/>
  <c r="Z41" s="1"/>
  <c r="Z42" s="1"/>
  <c r="Z43" s="1"/>
  <c r="Z44" s="1"/>
  <c r="Z45" s="1"/>
  <c r="Z46" s="1"/>
  <c r="Z47" s="1"/>
  <c r="Z48" s="1"/>
  <c r="Z49" s="1"/>
  <c r="Z50" s="1"/>
  <c r="Z51" s="1"/>
  <c r="Z52" s="1"/>
  <c r="Z53" s="1"/>
  <c r="Z54" s="1"/>
  <c r="Z55" s="1"/>
  <c r="Z56" s="1"/>
  <c r="Z57" s="1"/>
  <c r="Z58" s="1"/>
  <c r="Z59" s="1"/>
  <c r="Z60" s="1"/>
  <c r="Z61" s="1"/>
  <c r="Z62" s="1"/>
  <c r="Z63" s="1"/>
  <c r="Z64" s="1"/>
  <c r="Z65" s="1"/>
  <c r="Z66" s="1"/>
  <c r="Z67" s="1"/>
  <c r="Z68" s="1"/>
  <c r="Z69" s="1"/>
  <c r="Z70" s="1"/>
  <c r="Z71" s="1"/>
  <c r="Z72" s="1"/>
  <c r="Z73" s="1"/>
  <c r="N6"/>
  <c r="N7" s="1"/>
  <c r="N8" s="1"/>
  <c r="N9" s="1"/>
  <c r="N10" s="1"/>
  <c r="N11" s="1"/>
  <c r="N12" s="1"/>
  <c r="N13" s="1"/>
  <c r="R13"/>
  <c r="Y17"/>
  <c r="Y18" s="1"/>
  <c r="Y19" s="1"/>
  <c r="Y20" s="1"/>
  <c r="U9"/>
  <c r="U10" s="1"/>
  <c r="U11" s="1"/>
  <c r="U12" s="1"/>
  <c r="U13" s="1"/>
  <c r="U14" s="1"/>
  <c r="U15" s="1"/>
  <c r="U16" s="1"/>
  <c r="U17" s="1"/>
  <c r="U18" s="1"/>
  <c r="U19" s="1"/>
  <c r="U20" s="1"/>
  <c r="U21" s="1"/>
  <c r="U22" s="1"/>
  <c r="U23" s="1"/>
  <c r="H23"/>
  <c r="H24" s="1"/>
  <c r="H25" s="1"/>
  <c r="H26" s="1"/>
  <c r="H27" s="1"/>
  <c r="H28" s="1"/>
  <c r="H29" s="1"/>
  <c r="H30" s="1"/>
  <c r="H31" s="1"/>
  <c r="H32" s="1"/>
  <c r="H33" s="1"/>
  <c r="H34" s="1"/>
  <c r="H35" s="1"/>
  <c r="H36" s="1"/>
  <c r="H37" s="1"/>
  <c r="H38" s="1"/>
  <c r="H39" s="1"/>
  <c r="H40" s="1"/>
  <c r="H41" s="1"/>
  <c r="H42" s="1"/>
  <c r="H43" s="1"/>
  <c r="H44" s="1"/>
  <c r="H45" s="1"/>
  <c r="H46" s="1"/>
  <c r="H47" s="1"/>
  <c r="H48" s="1"/>
  <c r="H49" s="1"/>
  <c r="H50" s="1"/>
  <c r="H51" s="1"/>
  <c r="H52" s="1"/>
  <c r="H53" s="1"/>
  <c r="H54" s="1"/>
  <c r="H55" s="1"/>
  <c r="H56" s="1"/>
  <c r="H57" s="1"/>
  <c r="H58" s="1"/>
  <c r="H59" s="1"/>
  <c r="H60" s="1"/>
  <c r="H61" s="1"/>
  <c r="H62" s="1"/>
  <c r="H63" s="1"/>
  <c r="H64" s="1"/>
  <c r="H65" s="1"/>
  <c r="H66" s="1"/>
  <c r="H67" s="1"/>
  <c r="H68" s="1"/>
  <c r="H69" s="1"/>
  <c r="H70" s="1"/>
  <c r="H71" s="1"/>
  <c r="H72" s="1"/>
  <c r="H73" s="1"/>
  <c r="K24"/>
  <c r="K25" s="1"/>
  <c r="K26" s="1"/>
  <c r="K27" s="1"/>
  <c r="K28" s="1"/>
  <c r="K29" s="1"/>
  <c r="K30" s="1"/>
  <c r="K31" s="1"/>
  <c r="K32" s="1"/>
  <c r="K33" s="1"/>
  <c r="K34" s="1"/>
  <c r="K35" s="1"/>
  <c r="K36" s="1"/>
  <c r="K37" s="1"/>
  <c r="K38" s="1"/>
  <c r="K39" s="1"/>
  <c r="K40" s="1"/>
  <c r="K41" s="1"/>
  <c r="K42" s="1"/>
  <c r="K43" s="1"/>
  <c r="K44" s="1"/>
  <c r="K45" s="1"/>
  <c r="K46" s="1"/>
  <c r="K47" s="1"/>
  <c r="K48" s="1"/>
  <c r="K49" s="1"/>
  <c r="K50" s="1"/>
  <c r="K51" s="1"/>
  <c r="K52" s="1"/>
  <c r="K53" s="1"/>
  <c r="K54" s="1"/>
  <c r="K55" s="1"/>
  <c r="K56" s="1"/>
  <c r="K57" s="1"/>
  <c r="K58" s="1"/>
  <c r="K59" s="1"/>
  <c r="K60" s="1"/>
  <c r="K61" s="1"/>
  <c r="K62" s="1"/>
  <c r="K63" s="1"/>
  <c r="K64" s="1"/>
  <c r="K65" s="1"/>
  <c r="K66" s="1"/>
  <c r="K67" s="1"/>
  <c r="K68" s="1"/>
  <c r="K69" s="1"/>
  <c r="K70" s="1"/>
  <c r="K71" s="1"/>
  <c r="K72" s="1"/>
  <c r="K73" s="1"/>
  <c r="N14"/>
  <c r="N15" s="1"/>
  <c r="N16" s="1"/>
  <c r="N17" s="1"/>
  <c r="N18"/>
  <c r="N19" s="1"/>
  <c r="N20" s="1"/>
  <c r="N21" s="1"/>
  <c r="N22" s="1"/>
  <c r="N23" s="1"/>
  <c r="N24" s="1"/>
  <c r="N25" s="1"/>
  <c r="N26" s="1"/>
  <c r="N27" s="1"/>
  <c r="N28" s="1"/>
  <c r="N29" s="1"/>
  <c r="N30" s="1"/>
  <c r="N31" s="1"/>
  <c r="N32" s="1"/>
  <c r="N33" s="1"/>
  <c r="N34" s="1"/>
  <c r="N35" s="1"/>
  <c r="N36" s="1"/>
  <c r="N37" s="1"/>
  <c r="N38" s="1"/>
  <c r="N39" s="1"/>
  <c r="N40" s="1"/>
  <c r="N41" s="1"/>
  <c r="N42" s="1"/>
  <c r="N43" s="1"/>
  <c r="N44" s="1"/>
  <c r="N45" s="1"/>
  <c r="N46" s="1"/>
  <c r="N47" s="1"/>
  <c r="N48" s="1"/>
  <c r="N49" s="1"/>
  <c r="N50" s="1"/>
  <c r="N51" s="1"/>
  <c r="N52" s="1"/>
  <c r="N53" s="1"/>
  <c r="N54" s="1"/>
  <c r="N55" s="1"/>
  <c r="N56" s="1"/>
  <c r="N57" s="1"/>
  <c r="N58" s="1"/>
  <c r="N59" s="1"/>
  <c r="N60" s="1"/>
  <c r="N61" s="1"/>
  <c r="N62" s="1"/>
  <c r="N63" s="1"/>
  <c r="N64" s="1"/>
  <c r="N65" s="1"/>
  <c r="N66" s="1"/>
  <c r="N67" s="1"/>
  <c r="N68" s="1"/>
  <c r="N69" s="1"/>
  <c r="N70" s="1"/>
  <c r="N71" s="1"/>
  <c r="N72" s="1"/>
  <c r="N73" s="1"/>
  <c r="Y21"/>
  <c r="Y22" s="1"/>
  <c r="Y23" s="1"/>
  <c r="Y24" s="1"/>
  <c r="Y25" s="1"/>
  <c r="M34"/>
  <c r="M35" s="1"/>
  <c r="M36" s="1"/>
  <c r="M37" s="1"/>
  <c r="M38" s="1"/>
  <c r="M39" s="1"/>
  <c r="M40" s="1"/>
  <c r="M41" s="1"/>
  <c r="M42" s="1"/>
  <c r="M43" s="1"/>
  <c r="M44" s="1"/>
  <c r="M45" s="1"/>
  <c r="M46" s="1"/>
  <c r="M47" s="1"/>
  <c r="M48" s="1"/>
  <c r="M49" s="1"/>
  <c r="M50" s="1"/>
  <c r="M51" s="1"/>
  <c r="M52" s="1"/>
  <c r="M53" s="1"/>
  <c r="M54" s="1"/>
  <c r="M55" s="1"/>
  <c r="M56" s="1"/>
  <c r="M57" s="1"/>
  <c r="M58" s="1"/>
  <c r="M59" s="1"/>
  <c r="M60" s="1"/>
  <c r="M61" s="1"/>
  <c r="M62" s="1"/>
  <c r="M63" s="1"/>
  <c r="M64" s="1"/>
  <c r="M65" s="1"/>
  <c r="M66" s="1"/>
  <c r="M67" s="1"/>
  <c r="M68" s="1"/>
  <c r="M69" s="1"/>
  <c r="M70" s="1"/>
  <c r="M71" s="1"/>
  <c r="M72" s="1"/>
  <c r="M73" s="1"/>
  <c r="R14"/>
  <c r="R15" s="1"/>
  <c r="R16" s="1"/>
  <c r="R17" s="1"/>
  <c r="R18" s="1"/>
  <c r="R19" s="1"/>
  <c r="R20" s="1"/>
  <c r="R21" s="1"/>
  <c r="R22" s="1"/>
  <c r="R23" s="1"/>
  <c r="R24" s="1"/>
  <c r="R25" s="1"/>
  <c r="R26" s="1"/>
  <c r="R27" s="1"/>
  <c r="R28" s="1"/>
  <c r="R29" s="1"/>
  <c r="R30" s="1"/>
  <c r="R31" s="1"/>
  <c r="R32" s="1"/>
  <c r="R33" s="1"/>
  <c r="R34" s="1"/>
  <c r="R35" s="1"/>
  <c r="R36" s="1"/>
  <c r="R37" s="1"/>
  <c r="R38" s="1"/>
  <c r="R39" s="1"/>
  <c r="R40" s="1"/>
  <c r="R41" s="1"/>
  <c r="R42" s="1"/>
  <c r="R43" s="1"/>
  <c r="R44" s="1"/>
  <c r="R45" s="1"/>
  <c r="R46" s="1"/>
  <c r="R47" s="1"/>
  <c r="R48" s="1"/>
  <c r="R49" s="1"/>
  <c r="R50" s="1"/>
  <c r="R51" s="1"/>
  <c r="R52" s="1"/>
  <c r="R53" s="1"/>
  <c r="R54" s="1"/>
  <c r="R55" s="1"/>
  <c r="R56" s="1"/>
  <c r="R57" s="1"/>
  <c r="R58" s="1"/>
  <c r="R59" s="1"/>
  <c r="R60" s="1"/>
  <c r="R61" s="1"/>
  <c r="R62" s="1"/>
  <c r="R63" s="1"/>
  <c r="R64" s="1"/>
  <c r="R65" s="1"/>
  <c r="R66" s="1"/>
  <c r="R67" s="1"/>
  <c r="R68" s="1"/>
  <c r="R69" s="1"/>
  <c r="R70" s="1"/>
  <c r="R71" s="1"/>
  <c r="R72" s="1"/>
  <c r="R73" s="1"/>
  <c r="U24"/>
  <c r="U25" s="1"/>
  <c r="U26" s="1"/>
  <c r="U27" s="1"/>
  <c r="U28" s="1"/>
  <c r="U29" s="1"/>
  <c r="U30" s="1"/>
  <c r="U31" s="1"/>
  <c r="U32" s="1"/>
  <c r="U33" s="1"/>
  <c r="U34" s="1"/>
  <c r="U35" s="1"/>
  <c r="U36" s="1"/>
  <c r="U37" s="1"/>
  <c r="U38" s="1"/>
  <c r="U39" s="1"/>
  <c r="U40" s="1"/>
  <c r="U41" s="1"/>
  <c r="U42" s="1"/>
  <c r="U43" s="1"/>
  <c r="U44" s="1"/>
  <c r="U45" s="1"/>
  <c r="U46" s="1"/>
  <c r="U47" s="1"/>
  <c r="U48" s="1"/>
  <c r="U49" s="1"/>
  <c r="U50" s="1"/>
  <c r="U51" s="1"/>
  <c r="U52" s="1"/>
  <c r="U53" s="1"/>
  <c r="U54" s="1"/>
  <c r="U55" s="1"/>
  <c r="U56" s="1"/>
  <c r="U57" s="1"/>
  <c r="U58" s="1"/>
  <c r="U59" s="1"/>
  <c r="U60" s="1"/>
  <c r="U61" s="1"/>
  <c r="U62" s="1"/>
  <c r="U63" s="1"/>
  <c r="U64" s="1"/>
  <c r="U65" s="1"/>
  <c r="U66" s="1"/>
  <c r="U67" s="1"/>
  <c r="U68" s="1"/>
  <c r="U69" s="1"/>
  <c r="U70" s="1"/>
  <c r="U71" s="1"/>
  <c r="U72" s="1"/>
  <c r="U73" s="1"/>
  <c r="Y26"/>
  <c r="Y27" s="1"/>
  <c r="Y28" s="1"/>
  <c r="Y29" s="1"/>
  <c r="Y30" s="1"/>
  <c r="Y31" s="1"/>
  <c r="Y32" s="1"/>
  <c r="Y33" s="1"/>
  <c r="Y34" s="1"/>
  <c r="Y35" s="1"/>
  <c r="Y36" s="1"/>
  <c r="Y37" s="1"/>
  <c r="Y38" s="1"/>
  <c r="Y39" s="1"/>
  <c r="Y40" s="1"/>
  <c r="Y41" s="1"/>
  <c r="Y42" s="1"/>
  <c r="Y43" s="1"/>
  <c r="Y44" s="1"/>
  <c r="Y45" s="1"/>
  <c r="Y46" s="1"/>
  <c r="Y47" s="1"/>
  <c r="Y48" s="1"/>
  <c r="Y49" s="1"/>
  <c r="Y50" s="1"/>
  <c r="Y51" s="1"/>
  <c r="Y52" s="1"/>
  <c r="Y53" s="1"/>
  <c r="Y54" s="1"/>
  <c r="Y55" s="1"/>
  <c r="Y56" s="1"/>
  <c r="Y57" s="1"/>
  <c r="Y58" s="1"/>
  <c r="Y59" s="1"/>
  <c r="Y60" s="1"/>
  <c r="Y61" s="1"/>
  <c r="Y62" s="1"/>
  <c r="Y63" s="1"/>
  <c r="Y64" s="1"/>
  <c r="Y65" s="1"/>
  <c r="Y66" s="1"/>
  <c r="Y67" s="1"/>
  <c r="Y68" s="1"/>
  <c r="Y69" s="1"/>
  <c r="Y70" s="1"/>
  <c r="Y71" s="1"/>
  <c r="Y72" s="1"/>
  <c r="Y73" s="1"/>
  <c r="P30"/>
  <c r="P31" s="1"/>
  <c r="P32" s="1"/>
  <c r="P33" s="1"/>
  <c r="P34"/>
  <c r="P35" s="1"/>
  <c r="P36" s="1"/>
  <c r="P37" s="1"/>
  <c r="P38" s="1"/>
  <c r="P39" s="1"/>
  <c r="P40" s="1"/>
  <c r="P41" s="1"/>
  <c r="P42" s="1"/>
  <c r="P43" s="1"/>
  <c r="P44" s="1"/>
  <c r="P45" s="1"/>
  <c r="P46" s="1"/>
  <c r="P47" s="1"/>
  <c r="P48" s="1"/>
  <c r="P49" s="1"/>
  <c r="P50" s="1"/>
  <c r="P51" s="1"/>
  <c r="P52" s="1"/>
  <c r="P53" s="1"/>
  <c r="P54" s="1"/>
  <c r="P55" s="1"/>
  <c r="P56" s="1"/>
  <c r="P57" s="1"/>
  <c r="P58" s="1"/>
  <c r="P59" s="1"/>
  <c r="P60" s="1"/>
  <c r="P61" s="1"/>
  <c r="P62" s="1"/>
  <c r="P63" s="1"/>
  <c r="P64" s="1"/>
  <c r="P65" s="1"/>
  <c r="P66" s="1"/>
  <c r="P67" s="1"/>
  <c r="P68" s="1"/>
  <c r="P69" s="1"/>
  <c r="P70" s="1"/>
  <c r="P71" s="1"/>
  <c r="P72" s="1"/>
  <c r="P73" s="1"/>
  <c r="AM34" i="30" l="1"/>
  <c r="AR34" s="1"/>
  <c r="AL34"/>
  <c r="AQ34" s="1"/>
  <c r="AO36"/>
  <c r="AT36" s="1"/>
  <c r="AM35"/>
  <c r="AR35" s="1"/>
  <c r="AL35"/>
  <c r="AQ35" s="1"/>
  <c r="AO35"/>
  <c r="AT35" s="1"/>
  <c r="AN35"/>
  <c r="AS35" s="1"/>
  <c r="AN34"/>
  <c r="AS34" s="1"/>
  <c r="AN36"/>
  <c r="AS36" s="1"/>
  <c r="AM36"/>
  <c r="AR36" s="1"/>
  <c r="AL36"/>
  <c r="AQ36" s="1"/>
  <c r="AM33"/>
  <c r="AR33" s="1"/>
  <c r="AL33"/>
  <c r="AQ33" s="1"/>
  <c r="AO33"/>
  <c r="AT33" s="1"/>
  <c r="AN33"/>
  <c r="AS33" s="1"/>
  <c r="AO34"/>
  <c r="AT34" s="1"/>
  <c r="Y25"/>
  <c r="AV25" s="1"/>
  <c r="Y26"/>
  <c r="AV26" s="1"/>
  <c r="Y27"/>
  <c r="AV27" s="1"/>
  <c r="Y28"/>
  <c r="AV28" s="1"/>
  <c r="AL41" a="1"/>
  <c r="AO44" s="1"/>
  <c r="AT44" s="1"/>
  <c r="AL49" a="1"/>
  <c r="AL51" s="1"/>
  <c r="AQ51" s="1"/>
  <c r="AL65" a="1"/>
  <c r="AN66" s="1"/>
  <c r="AS66" s="1"/>
  <c r="AL73" a="1"/>
  <c r="AL57" a="1"/>
  <c r="AL25" a="1"/>
  <c r="AN28" s="1"/>
  <c r="AS28" s="1"/>
  <c r="AL17" a="1"/>
  <c r="S41"/>
  <c r="T41" s="1"/>
  <c r="S75"/>
  <c r="T75" s="1"/>
  <c r="S76"/>
  <c r="T76" s="1"/>
  <c r="S58"/>
  <c r="T58" s="1"/>
  <c r="S42"/>
  <c r="T42" s="1"/>
  <c r="S59"/>
  <c r="T59" s="1"/>
  <c r="S73"/>
  <c r="T73" s="1"/>
  <c r="S74"/>
  <c r="T74" s="1"/>
  <c r="S68"/>
  <c r="T68" s="1"/>
  <c r="S60"/>
  <c r="T60" s="1"/>
  <c r="S57"/>
  <c r="T57" s="1"/>
  <c r="S65"/>
  <c r="T65" s="1"/>
  <c r="S66"/>
  <c r="T66" s="1"/>
  <c r="S67"/>
  <c r="T67" s="1"/>
  <c r="S44"/>
  <c r="T44" s="1"/>
  <c r="S43"/>
  <c r="T43" s="1"/>
  <c r="S36"/>
  <c r="T36" s="1"/>
  <c r="S33"/>
  <c r="T33" s="1"/>
  <c r="S34"/>
  <c r="T34" s="1"/>
  <c r="S35"/>
  <c r="T35" s="1"/>
  <c r="S50"/>
  <c r="T50" s="1"/>
  <c r="S51"/>
  <c r="T51" s="1"/>
  <c r="S52"/>
  <c r="T52" s="1"/>
  <c r="S49"/>
  <c r="T49" s="1"/>
  <c r="Y18"/>
  <c r="Y20"/>
  <c r="P1" i="6"/>
  <c r="Y17" i="30"/>
  <c r="Y19"/>
  <c r="AO52" l="1"/>
  <c r="AT52" s="1"/>
  <c r="AM50"/>
  <c r="AR50" s="1"/>
  <c r="AN52"/>
  <c r="AS52" s="1"/>
  <c r="AN50"/>
  <c r="AS50" s="1"/>
  <c r="AO50"/>
  <c r="AT50" s="1"/>
  <c r="AM52"/>
  <c r="AR52" s="1"/>
  <c r="AL52"/>
  <c r="AQ52" s="1"/>
  <c r="AL50"/>
  <c r="AQ50" s="1"/>
  <c r="AO66"/>
  <c r="AT66" s="1"/>
  <c r="AN41"/>
  <c r="AS41" s="1"/>
  <c r="Y36"/>
  <c r="AV36" s="1"/>
  <c r="Y58"/>
  <c r="Y34"/>
  <c r="AV34" s="1"/>
  <c r="AL68"/>
  <c r="AQ68" s="1"/>
  <c r="Y73"/>
  <c r="AV73" s="1"/>
  <c r="Y68"/>
  <c r="AV68" s="1"/>
  <c r="Y44"/>
  <c r="AV44" s="1"/>
  <c r="Y50"/>
  <c r="AV50" s="1"/>
  <c r="AV17"/>
  <c r="AV20"/>
  <c r="AV19"/>
  <c r="AV18"/>
  <c r="Y49"/>
  <c r="Y43"/>
  <c r="Y35"/>
  <c r="AV35" s="1"/>
  <c r="Y59"/>
  <c r="AV59" s="1"/>
  <c r="Y74"/>
  <c r="AV74" s="1"/>
  <c r="AM68"/>
  <c r="AR68" s="1"/>
  <c r="AN65"/>
  <c r="AS65" s="1"/>
  <c r="Y60"/>
  <c r="AV60" s="1"/>
  <c r="Y57"/>
  <c r="Y76"/>
  <c r="AV76" s="1"/>
  <c r="Y66"/>
  <c r="AV66" s="1"/>
  <c r="Y67"/>
  <c r="AV67" s="1"/>
  <c r="Y42"/>
  <c r="AV42" s="1"/>
  <c r="Y33"/>
  <c r="AV33" s="1"/>
  <c r="Y52"/>
  <c r="Y75"/>
  <c r="AV75" s="1"/>
  <c r="Y65"/>
  <c r="AV65" s="1"/>
  <c r="Y41"/>
  <c r="AV41" s="1"/>
  <c r="Y51"/>
  <c r="AV51" s="1"/>
  <c r="AN68"/>
  <c r="AS68" s="1"/>
  <c r="AM66"/>
  <c r="AR66" s="1"/>
  <c r="AL65"/>
  <c r="AQ65" s="1"/>
  <c r="AO68"/>
  <c r="AT68" s="1"/>
  <c r="AL41"/>
  <c r="AQ41" s="1"/>
  <c r="AL43"/>
  <c r="AQ43" s="1"/>
  <c r="AO41"/>
  <c r="AT41" s="1"/>
  <c r="AO67"/>
  <c r="AT67" s="1"/>
  <c r="AO65"/>
  <c r="AT65" s="1"/>
  <c r="AN67"/>
  <c r="AS67" s="1"/>
  <c r="AM67"/>
  <c r="AR67" s="1"/>
  <c r="AM65"/>
  <c r="AR65" s="1"/>
  <c r="AL67"/>
  <c r="AQ67" s="1"/>
  <c r="AL66"/>
  <c r="AQ66" s="1"/>
  <c r="AW24" a="1"/>
  <c r="AM43"/>
  <c r="AR43" s="1"/>
  <c r="AM42"/>
  <c r="AR42" s="1"/>
  <c r="AN43"/>
  <c r="AS43" s="1"/>
  <c r="AO43"/>
  <c r="AT43" s="1"/>
  <c r="AL44"/>
  <c r="AQ44" s="1"/>
  <c r="AL42"/>
  <c r="AQ42" s="1"/>
  <c r="AM41"/>
  <c r="AR41" s="1"/>
  <c r="AM44"/>
  <c r="AR44" s="1"/>
  <c r="AN42"/>
  <c r="AS42" s="1"/>
  <c r="AN44"/>
  <c r="AS44" s="1"/>
  <c r="AO42"/>
  <c r="AT42" s="1"/>
  <c r="AO51"/>
  <c r="AT51" s="1"/>
  <c r="AO49"/>
  <c r="AT49" s="1"/>
  <c r="AN51"/>
  <c r="AS51" s="1"/>
  <c r="AM51"/>
  <c r="AR51" s="1"/>
  <c r="AM49"/>
  <c r="AR49" s="1"/>
  <c r="AN49"/>
  <c r="AS49" s="1"/>
  <c r="AL49"/>
  <c r="AQ49" s="1"/>
  <c r="AN76"/>
  <c r="AS76" s="1"/>
  <c r="AM73"/>
  <c r="AR73" s="1"/>
  <c r="AM74"/>
  <c r="AR74" s="1"/>
  <c r="AM75"/>
  <c r="AR75" s="1"/>
  <c r="AM76"/>
  <c r="AR76" s="1"/>
  <c r="AN73"/>
  <c r="AS73" s="1"/>
  <c r="AN74"/>
  <c r="AS74" s="1"/>
  <c r="AN75"/>
  <c r="AS75" s="1"/>
  <c r="AO73"/>
  <c r="AT73" s="1"/>
  <c r="AO74"/>
  <c r="AT74" s="1"/>
  <c r="AO75"/>
  <c r="AT75" s="1"/>
  <c r="AO76"/>
  <c r="AT76" s="1"/>
  <c r="AL73"/>
  <c r="AQ73" s="1"/>
  <c r="AL74"/>
  <c r="AQ74" s="1"/>
  <c r="AL75"/>
  <c r="AQ75" s="1"/>
  <c r="AL76"/>
  <c r="AQ76" s="1"/>
  <c r="AN60"/>
  <c r="AS60" s="1"/>
  <c r="AM57"/>
  <c r="AR57" s="1"/>
  <c r="AM58"/>
  <c r="AR58" s="1"/>
  <c r="AM59"/>
  <c r="AR59" s="1"/>
  <c r="AM60"/>
  <c r="AR60" s="1"/>
  <c r="AN57"/>
  <c r="AS57" s="1"/>
  <c r="AN58"/>
  <c r="AS58" s="1"/>
  <c r="AN59"/>
  <c r="AS59" s="1"/>
  <c r="AO57"/>
  <c r="AT57" s="1"/>
  <c r="AO58"/>
  <c r="AT58" s="1"/>
  <c r="AO59"/>
  <c r="AT59" s="1"/>
  <c r="AO60"/>
  <c r="AT60" s="1"/>
  <c r="AL57"/>
  <c r="AQ57" s="1"/>
  <c r="AL58"/>
  <c r="AQ58" s="1"/>
  <c r="AL59"/>
  <c r="AQ59" s="1"/>
  <c r="AL60"/>
  <c r="AQ60" s="1"/>
  <c r="AN27"/>
  <c r="AS27" s="1"/>
  <c r="AM25"/>
  <c r="AR25" s="1"/>
  <c r="AL25"/>
  <c r="AQ25" s="1"/>
  <c r="AO27"/>
  <c r="AT27" s="1"/>
  <c r="AL27"/>
  <c r="AQ27" s="1"/>
  <c r="AM27"/>
  <c r="AR27" s="1"/>
  <c r="AN25"/>
  <c r="AS25" s="1"/>
  <c r="AO25"/>
  <c r="AT25" s="1"/>
  <c r="AL28"/>
  <c r="AQ28" s="1"/>
  <c r="AL26"/>
  <c r="AQ26" s="1"/>
  <c r="AM28"/>
  <c r="AR28" s="1"/>
  <c r="AM26"/>
  <c r="AR26" s="1"/>
  <c r="AN26"/>
  <c r="AS26" s="1"/>
  <c r="AO28"/>
  <c r="AT28" s="1"/>
  <c r="AO26"/>
  <c r="AT26" s="1"/>
  <c r="AL17"/>
  <c r="AQ17" s="1"/>
  <c r="AO20"/>
  <c r="AT20" s="1"/>
  <c r="AO19"/>
  <c r="AT19" s="1"/>
  <c r="AO18"/>
  <c r="AT18" s="1"/>
  <c r="AO17"/>
  <c r="AT17" s="1"/>
  <c r="AN20"/>
  <c r="AS20" s="1"/>
  <c r="AN19"/>
  <c r="AS19" s="1"/>
  <c r="AN18"/>
  <c r="AS18" s="1"/>
  <c r="AN17"/>
  <c r="AS17" s="1"/>
  <c r="AM20"/>
  <c r="AR20" s="1"/>
  <c r="AM19"/>
  <c r="AR19" s="1"/>
  <c r="AM18"/>
  <c r="AR18" s="1"/>
  <c r="AM17"/>
  <c r="AR17" s="1"/>
  <c r="AL20"/>
  <c r="AQ20" s="1"/>
  <c r="AL19"/>
  <c r="AQ19" s="1"/>
  <c r="AL18"/>
  <c r="AQ18" s="1"/>
  <c r="AV58"/>
  <c r="AV57"/>
  <c r="AV43"/>
  <c r="AV49"/>
  <c r="AV52"/>
  <c r="AC25"/>
  <c r="AC26"/>
  <c r="M26" s="1"/>
  <c r="AC28"/>
  <c r="M28" s="1"/>
  <c r="AC27"/>
  <c r="M27" s="1"/>
  <c r="AW16" l="1" a="1"/>
  <c r="AX16" s="1"/>
  <c r="AX60" s="1"/>
  <c r="AW40" a="1"/>
  <c r="AY40" s="1"/>
  <c r="AW56" a="1"/>
  <c r="AW72" a="1"/>
  <c r="AW48" a="1"/>
  <c r="AW64" a="1"/>
  <c r="AY24"/>
  <c r="AX24"/>
  <c r="AW24"/>
  <c r="AZ24"/>
  <c r="AW32" a="1"/>
  <c r="M25"/>
  <c r="Z22" i="2" s="1"/>
  <c r="AD24" i="30"/>
  <c r="AC75"/>
  <c r="M75" s="1"/>
  <c r="AC66"/>
  <c r="M66" s="1"/>
  <c r="AC59"/>
  <c r="M59" s="1"/>
  <c r="AC68"/>
  <c r="M68" s="1"/>
  <c r="AC67"/>
  <c r="M67" s="1"/>
  <c r="AC60"/>
  <c r="M60" s="1"/>
  <c r="AC57"/>
  <c r="AC73"/>
  <c r="AC76"/>
  <c r="M76" s="1"/>
  <c r="AC35"/>
  <c r="M35" s="1"/>
  <c r="AC74"/>
  <c r="M74" s="1"/>
  <c r="AC65"/>
  <c r="AC58"/>
  <c r="M58" s="1"/>
  <c r="AC51"/>
  <c r="M51" s="1"/>
  <c r="AC41"/>
  <c r="AC44"/>
  <c r="M44" s="1"/>
  <c r="AC42"/>
  <c r="M42" s="1"/>
  <c r="AC43"/>
  <c r="M43" s="1"/>
  <c r="AC34"/>
  <c r="M34" s="1"/>
  <c r="AC33"/>
  <c r="AC36"/>
  <c r="M36" s="1"/>
  <c r="AC49"/>
  <c r="AC52"/>
  <c r="M52" s="1"/>
  <c r="AC50"/>
  <c r="M50" s="1"/>
  <c r="S19" i="2" l="1"/>
  <c r="W21"/>
  <c r="S21"/>
  <c r="V20"/>
  <c r="Y21"/>
  <c r="AA19"/>
  <c r="Y22"/>
  <c r="X22"/>
  <c r="Z21"/>
  <c r="V21"/>
  <c r="AW16" i="30"/>
  <c r="AW26" s="1"/>
  <c r="AZ16"/>
  <c r="AZ67" s="1"/>
  <c r="AY16"/>
  <c r="AY35" s="1"/>
  <c r="V22" i="2"/>
  <c r="AA22"/>
  <c r="Y19"/>
  <c r="AW40" i="30"/>
  <c r="AZ40"/>
  <c r="AX40"/>
  <c r="AY32"/>
  <c r="AX32"/>
  <c r="AW32"/>
  <c r="AZ32"/>
  <c r="AY64"/>
  <c r="AZ64"/>
  <c r="AX64"/>
  <c r="AW64"/>
  <c r="AY72"/>
  <c r="AX72"/>
  <c r="AW72"/>
  <c r="AZ72"/>
  <c r="AX65"/>
  <c r="AX44"/>
  <c r="AX51"/>
  <c r="AX58"/>
  <c r="AX59"/>
  <c r="AX57"/>
  <c r="AX26"/>
  <c r="AX20"/>
  <c r="AX67"/>
  <c r="AX41"/>
  <c r="AX19"/>
  <c r="AX27"/>
  <c r="AX28"/>
  <c r="AX18"/>
  <c r="AX25"/>
  <c r="AX17"/>
  <c r="AX33"/>
  <c r="AY48"/>
  <c r="AZ48"/>
  <c r="AX48"/>
  <c r="AW48"/>
  <c r="AY56"/>
  <c r="AX56"/>
  <c r="AW56"/>
  <c r="AZ56"/>
  <c r="AX75"/>
  <c r="AX76"/>
  <c r="AX68"/>
  <c r="AX42"/>
  <c r="AX74"/>
  <c r="AX36"/>
  <c r="AX34"/>
  <c r="AX49"/>
  <c r="AX73"/>
  <c r="AZ59"/>
  <c r="AX66"/>
  <c r="AX43"/>
  <c r="AX35"/>
  <c r="AX50"/>
  <c r="AX52"/>
  <c r="M49"/>
  <c r="S43" i="2" s="1"/>
  <c r="AD48" i="30"/>
  <c r="M33"/>
  <c r="X27" i="2" s="1"/>
  <c r="AD32" i="30"/>
  <c r="M65"/>
  <c r="W59" i="2" s="1"/>
  <c r="AD64" i="30"/>
  <c r="M73"/>
  <c r="S68" i="2" s="1"/>
  <c r="AD72" i="30"/>
  <c r="M41"/>
  <c r="Z38" i="2" s="1"/>
  <c r="AD40" i="30"/>
  <c r="M57"/>
  <c r="Y54" i="2" s="1"/>
  <c r="AD56" i="30"/>
  <c r="X19" i="2"/>
  <c r="W19"/>
  <c r="X21"/>
  <c r="V19"/>
  <c r="Z20"/>
  <c r="U19"/>
  <c r="U21"/>
  <c r="X20"/>
  <c r="U22"/>
  <c r="AA20"/>
  <c r="AA21"/>
  <c r="W22"/>
  <c r="W20"/>
  <c r="Y20"/>
  <c r="Z19"/>
  <c r="S22"/>
  <c r="U20"/>
  <c r="S20"/>
  <c r="V27"/>
  <c r="Z62"/>
  <c r="Z28"/>
  <c r="U61"/>
  <c r="U28"/>
  <c r="Z52"/>
  <c r="X28"/>
  <c r="U30"/>
  <c r="V28"/>
  <c r="AA45"/>
  <c r="V35" l="1"/>
  <c r="U29"/>
  <c r="Z27"/>
  <c r="AA30"/>
  <c r="X30"/>
  <c r="W28"/>
  <c r="Y30"/>
  <c r="Y27"/>
  <c r="S30"/>
  <c r="S54"/>
  <c r="Y28"/>
  <c r="Z43"/>
  <c r="W54"/>
  <c r="W46"/>
  <c r="S29"/>
  <c r="V30"/>
  <c r="AA44"/>
  <c r="Z53"/>
  <c r="W27"/>
  <c r="T27" s="1"/>
  <c r="P27" s="1"/>
  <c r="AZ44" i="30"/>
  <c r="X38" i="2"/>
  <c r="Z44"/>
  <c r="Y52"/>
  <c r="V29"/>
  <c r="X29"/>
  <c r="S46"/>
  <c r="W30"/>
  <c r="Z29"/>
  <c r="W61"/>
  <c r="Y29"/>
  <c r="U53"/>
  <c r="S27"/>
  <c r="S28"/>
  <c r="AA28"/>
  <c r="Y45"/>
  <c r="AA29"/>
  <c r="U46"/>
  <c r="U27"/>
  <c r="Z30"/>
  <c r="X46"/>
  <c r="W29"/>
  <c r="T29" s="1"/>
  <c r="P29" s="1"/>
  <c r="AA27"/>
  <c r="AA35"/>
  <c r="S59"/>
  <c r="AA61"/>
  <c r="T22"/>
  <c r="P22" s="1"/>
  <c r="T21"/>
  <c r="P21" s="1"/>
  <c r="AW27" i="30"/>
  <c r="AZ76"/>
  <c r="AZ68"/>
  <c r="AZ43"/>
  <c r="AY26"/>
  <c r="AY49"/>
  <c r="AZ17"/>
  <c r="AY19"/>
  <c r="AZ33"/>
  <c r="AZ73"/>
  <c r="AZ65"/>
  <c r="AZ27"/>
  <c r="AY76"/>
  <c r="AY60"/>
  <c r="AZ36"/>
  <c r="AZ60"/>
  <c r="AZ34"/>
  <c r="AY25"/>
  <c r="AW20"/>
  <c r="AW51"/>
  <c r="AW65"/>
  <c r="AW18"/>
  <c r="AW36"/>
  <c r="AZ18"/>
  <c r="AZ26"/>
  <c r="Y69" i="2"/>
  <c r="W67"/>
  <c r="AA67"/>
  <c r="S67"/>
  <c r="X70"/>
  <c r="X69"/>
  <c r="Z68"/>
  <c r="W68"/>
  <c r="X44"/>
  <c r="V45"/>
  <c r="Y44"/>
  <c r="S45"/>
  <c r="Y43"/>
  <c r="S44"/>
  <c r="X45"/>
  <c r="V46"/>
  <c r="T46" s="1"/>
  <c r="P46" s="1"/>
  <c r="U43"/>
  <c r="U44"/>
  <c r="Z46"/>
  <c r="U36"/>
  <c r="AY58" i="30"/>
  <c r="AY18"/>
  <c r="AY67"/>
  <c r="AY27"/>
  <c r="AW50"/>
  <c r="AW43"/>
  <c r="AW66"/>
  <c r="AW34"/>
  <c r="AW44"/>
  <c r="AW33"/>
  <c r="AW19"/>
  <c r="AW17"/>
  <c r="V67" i="2"/>
  <c r="U69"/>
  <c r="U70"/>
  <c r="V68"/>
  <c r="W70"/>
  <c r="AA68"/>
  <c r="W69"/>
  <c r="Z69"/>
  <c r="Y67"/>
  <c r="AA70"/>
  <c r="Y68"/>
  <c r="X68"/>
  <c r="S70"/>
  <c r="Z70"/>
  <c r="V70"/>
  <c r="U68"/>
  <c r="Z67"/>
  <c r="AA69"/>
  <c r="Y70"/>
  <c r="U67"/>
  <c r="Z60"/>
  <c r="Y62"/>
  <c r="Z61"/>
  <c r="U59"/>
  <c r="S62"/>
  <c r="V60"/>
  <c r="X61"/>
  <c r="AA60"/>
  <c r="X59"/>
  <c r="AA59"/>
  <c r="U51"/>
  <c r="X52"/>
  <c r="Z54"/>
  <c r="AA53"/>
  <c r="W53"/>
  <c r="X53"/>
  <c r="W51"/>
  <c r="S53"/>
  <c r="Y53"/>
  <c r="V53"/>
  <c r="AA52"/>
  <c r="U52"/>
  <c r="S51"/>
  <c r="U54"/>
  <c r="Z51"/>
  <c r="V52"/>
  <c r="W52"/>
  <c r="X54"/>
  <c r="V51"/>
  <c r="AA51"/>
  <c r="Y51"/>
  <c r="AA54"/>
  <c r="V54"/>
  <c r="S52"/>
  <c r="X51"/>
  <c r="W45"/>
  <c r="Y46"/>
  <c r="W43"/>
  <c r="AA43"/>
  <c r="V44"/>
  <c r="Z45"/>
  <c r="W44"/>
  <c r="X43"/>
  <c r="AA46"/>
  <c r="V43"/>
  <c r="U45"/>
  <c r="W38"/>
  <c r="X35"/>
  <c r="U37"/>
  <c r="Z35"/>
  <c r="AY52" i="30"/>
  <c r="AY50"/>
  <c r="AW35"/>
  <c r="AY43"/>
  <c r="AW60"/>
  <c r="BB60" s="1"/>
  <c r="Z60" s="1"/>
  <c r="AA60" s="1"/>
  <c r="AY66"/>
  <c r="AY57"/>
  <c r="AY59"/>
  <c r="AW73"/>
  <c r="AW58"/>
  <c r="AY51"/>
  <c r="AY44"/>
  <c r="AY65"/>
  <c r="AW74"/>
  <c r="AW42"/>
  <c r="AY68"/>
  <c r="AW76"/>
  <c r="AY75"/>
  <c r="AY28"/>
  <c r="AY41"/>
  <c r="AY20"/>
  <c r="AY17"/>
  <c r="AY33"/>
  <c r="AW52"/>
  <c r="AW57"/>
  <c r="AW59"/>
  <c r="AY73"/>
  <c r="AW49"/>
  <c r="AY34"/>
  <c r="AY36"/>
  <c r="AY74"/>
  <c r="AW68"/>
  <c r="AW75"/>
  <c r="AW67"/>
  <c r="AW25"/>
  <c r="AW28"/>
  <c r="AW41"/>
  <c r="AY42"/>
  <c r="AZ41"/>
  <c r="AZ52"/>
  <c r="AZ50"/>
  <c r="AZ35"/>
  <c r="AZ66"/>
  <c r="AZ57"/>
  <c r="AZ58"/>
  <c r="AZ51"/>
  <c r="AZ49"/>
  <c r="AZ74"/>
  <c r="AZ42"/>
  <c r="AZ75"/>
  <c r="AZ28"/>
  <c r="AZ19"/>
  <c r="AZ20"/>
  <c r="AZ25"/>
  <c r="V69" i="2"/>
  <c r="S69"/>
  <c r="X67"/>
  <c r="S37"/>
  <c r="AA38"/>
  <c r="Y35"/>
  <c r="Y37"/>
  <c r="W37"/>
  <c r="W36"/>
  <c r="S38"/>
  <c r="V38"/>
  <c r="T38" s="1"/>
  <c r="P38" s="1"/>
  <c r="Y38"/>
  <c r="AA36"/>
  <c r="X37"/>
  <c r="U38"/>
  <c r="AA37"/>
  <c r="W35"/>
  <c r="S36"/>
  <c r="U35"/>
  <c r="X36"/>
  <c r="Y36"/>
  <c r="V36"/>
  <c r="W62"/>
  <c r="X60"/>
  <c r="V62"/>
  <c r="Y60"/>
  <c r="W60"/>
  <c r="Z59"/>
  <c r="Y61"/>
  <c r="U60"/>
  <c r="S60"/>
  <c r="Y59"/>
  <c r="AA62"/>
  <c r="S61"/>
  <c r="V61"/>
  <c r="T61" s="1"/>
  <c r="P61" s="1"/>
  <c r="U62"/>
  <c r="X62"/>
  <c r="V59"/>
  <c r="Z36"/>
  <c r="S35"/>
  <c r="Z37"/>
  <c r="V37"/>
  <c r="T37" s="1"/>
  <c r="P37" s="1"/>
  <c r="T19"/>
  <c r="P19" s="1"/>
  <c r="T20"/>
  <c r="P20" s="1"/>
  <c r="T28"/>
  <c r="P28" s="1"/>
  <c r="T54"/>
  <c r="P54" s="1"/>
  <c r="T30" l="1"/>
  <c r="P30" s="1"/>
  <c r="T51"/>
  <c r="T53"/>
  <c r="P53" s="1"/>
  <c r="T52"/>
  <c r="P52" s="1"/>
  <c r="T43"/>
  <c r="P43" s="1"/>
  <c r="T44"/>
  <c r="P44" s="1"/>
  <c r="T45"/>
  <c r="P45" s="1"/>
  <c r="T35"/>
  <c r="P35" s="1"/>
  <c r="T69"/>
  <c r="P69" s="1"/>
  <c r="T36"/>
  <c r="P36" s="1"/>
  <c r="T60"/>
  <c r="P60" s="1"/>
  <c r="BB67" i="30"/>
  <c r="Z67" s="1"/>
  <c r="AA67" s="1"/>
  <c r="T62" i="2"/>
  <c r="P62" s="1"/>
  <c r="T59"/>
  <c r="P59" s="1"/>
  <c r="R23"/>
  <c r="BB27" i="30"/>
  <c r="Z27" s="1"/>
  <c r="AA27" s="1"/>
  <c r="BB26"/>
  <c r="Z26" s="1"/>
  <c r="AA26" s="1"/>
  <c r="BB17"/>
  <c r="Z17" s="1"/>
  <c r="AA17" s="1"/>
  <c r="BB19"/>
  <c r="Z19" s="1"/>
  <c r="AA19" s="1"/>
  <c r="BB59"/>
  <c r="Z59" s="1"/>
  <c r="AA59" s="1"/>
  <c r="BB65"/>
  <c r="Z65" s="1"/>
  <c r="AA65" s="1"/>
  <c r="BB68"/>
  <c r="Z68" s="1"/>
  <c r="AA68" s="1"/>
  <c r="BB76"/>
  <c r="Z76" s="1"/>
  <c r="AA76" s="1"/>
  <c r="BB44"/>
  <c r="Z44" s="1"/>
  <c r="AA44" s="1"/>
  <c r="BB43"/>
  <c r="Z43" s="1"/>
  <c r="AA43" s="1"/>
  <c r="BB58"/>
  <c r="Z58" s="1"/>
  <c r="AA58" s="1"/>
  <c r="BB18"/>
  <c r="Z18" s="1"/>
  <c r="AA18" s="1"/>
  <c r="BB28"/>
  <c r="Z28" s="1"/>
  <c r="AA28" s="1"/>
  <c r="BB36"/>
  <c r="Z36" s="1"/>
  <c r="AA36" s="1"/>
  <c r="T70" i="2"/>
  <c r="P70" s="1"/>
  <c r="BB75" i="30"/>
  <c r="Z75" s="1"/>
  <c r="AA75" s="1"/>
  <c r="T67" i="2"/>
  <c r="P67" s="1"/>
  <c r="BB50" i="30"/>
  <c r="Z50" s="1"/>
  <c r="AA50" s="1"/>
  <c r="BB34"/>
  <c r="Z34" s="1"/>
  <c r="AA34" s="1"/>
  <c r="BB33"/>
  <c r="Z33" s="1"/>
  <c r="AA33" s="1"/>
  <c r="BB35"/>
  <c r="Z35" s="1"/>
  <c r="AA35" s="1"/>
  <c r="T68" i="2"/>
  <c r="P68" s="1"/>
  <c r="BB51" i="30"/>
  <c r="Z51" s="1"/>
  <c r="AA51" s="1"/>
  <c r="BB57"/>
  <c r="Z57" s="1"/>
  <c r="AA57" s="1"/>
  <c r="BB66"/>
  <c r="Z66" s="1"/>
  <c r="AA66" s="1"/>
  <c r="BB49"/>
  <c r="Z49" s="1"/>
  <c r="AA49" s="1"/>
  <c r="BB42"/>
  <c r="Z42" s="1"/>
  <c r="AA42" s="1"/>
  <c r="BB74"/>
  <c r="Z74" s="1"/>
  <c r="AA74" s="1"/>
  <c r="BB41"/>
  <c r="Z41" s="1"/>
  <c r="AA41" s="1"/>
  <c r="BB20"/>
  <c r="Z20" s="1"/>
  <c r="AA20" s="1"/>
  <c r="BB73"/>
  <c r="Z73" s="1"/>
  <c r="AA73" s="1"/>
  <c r="BB52"/>
  <c r="Z52" s="1"/>
  <c r="AA52" s="1"/>
  <c r="BB25"/>
  <c r="Z25" s="1"/>
  <c r="AA25" s="1"/>
  <c r="R47" i="2"/>
  <c r="R39"/>
  <c r="R63"/>
  <c r="R31" l="1"/>
  <c r="R71"/>
  <c r="P51"/>
  <c r="R55"/>
  <c r="AC17" i="30"/>
  <c r="M17" s="1"/>
  <c r="V11" i="2" s="1"/>
  <c r="AC20" i="30"/>
  <c r="M20" s="1"/>
  <c r="AC18"/>
  <c r="M18" s="1"/>
  <c r="S13" i="2" s="1"/>
  <c r="AC19" i="30"/>
  <c r="M19" s="1"/>
  <c r="AA11" i="2"/>
  <c r="AJ82"/>
  <c r="AI82"/>
  <c r="F87"/>
  <c r="J89"/>
  <c r="V14" l="1"/>
  <c r="Z13"/>
  <c r="Y12"/>
  <c r="W12"/>
  <c r="W14"/>
  <c r="T14" s="1"/>
  <c r="P14" s="1"/>
  <c r="Z11"/>
  <c r="Y14"/>
  <c r="X14"/>
  <c r="U11"/>
  <c r="Y11"/>
  <c r="X11"/>
  <c r="AA12"/>
  <c r="AA14"/>
  <c r="S11"/>
  <c r="W11"/>
  <c r="S14"/>
  <c r="U14"/>
  <c r="Z12"/>
  <c r="Z14"/>
  <c r="W13"/>
  <c r="V12"/>
  <c r="AD16" i="30"/>
  <c r="S12" i="2"/>
  <c r="Y13"/>
  <c r="U13"/>
  <c r="X13"/>
  <c r="V13"/>
  <c r="AA13"/>
  <c r="U12"/>
  <c r="X12"/>
  <c r="AE94"/>
  <c r="AD87"/>
  <c r="AE89"/>
  <c r="F95"/>
  <c r="AI95" s="1"/>
  <c r="AI88"/>
  <c r="AJ88"/>
  <c r="AE95"/>
  <c r="J99" l="1"/>
  <c r="AE98" s="1"/>
  <c r="T12"/>
  <c r="P12" s="1"/>
  <c r="T11"/>
  <c r="P11" s="1"/>
  <c r="T13"/>
  <c r="P13" s="1"/>
  <c r="J103"/>
  <c r="AE101" s="1"/>
  <c r="B73" i="4"/>
  <c r="AC73" s="1"/>
  <c r="B96" i="3"/>
  <c r="B72" i="4"/>
  <c r="AC72" s="1"/>
  <c r="B95" i="3"/>
  <c r="AK94" i="2"/>
  <c r="F103"/>
  <c r="AD104"/>
  <c r="AJ103"/>
  <c r="AD94"/>
  <c r="F99"/>
  <c r="AD95"/>
  <c r="AK95"/>
  <c r="AM95" s="1"/>
  <c r="Y90" i="3"/>
  <c r="D85"/>
  <c r="F95"/>
  <c r="V63"/>
  <c r="O80"/>
  <c r="J66"/>
  <c r="M79"/>
  <c r="M64"/>
  <c r="O5"/>
  <c r="H38"/>
  <c r="H68"/>
  <c r="O96"/>
  <c r="G41"/>
  <c r="T73"/>
  <c r="W22"/>
  <c r="T63"/>
  <c r="D3"/>
  <c r="N72"/>
  <c r="G6"/>
  <c r="Q10"/>
  <c r="U88"/>
  <c r="J14"/>
  <c r="Z7"/>
  <c r="P95"/>
  <c r="Z72"/>
  <c r="T46"/>
  <c r="I34"/>
  <c r="Y67"/>
  <c r="F48"/>
  <c r="M75"/>
  <c r="X28"/>
  <c r="N87"/>
  <c r="U69"/>
  <c r="H72"/>
  <c r="S71"/>
  <c r="F61"/>
  <c r="Q63"/>
  <c r="Q86"/>
  <c r="G38"/>
  <c r="O27"/>
  <c r="P10"/>
  <c r="E91"/>
  <c r="H9"/>
  <c r="X34"/>
  <c r="U47"/>
  <c r="Y84"/>
  <c r="S87"/>
  <c r="Q64"/>
  <c r="Z16"/>
  <c r="Q51"/>
  <c r="V71"/>
  <c r="I91"/>
  <c r="T38"/>
  <c r="G20"/>
  <c r="O24"/>
  <c r="S86"/>
  <c r="P23"/>
  <c r="O40"/>
  <c r="D95"/>
  <c r="Y24"/>
  <c r="E58"/>
  <c r="C45"/>
  <c r="E16"/>
  <c r="W78"/>
  <c r="J2" i="4"/>
  <c r="J26" i="3"/>
  <c r="D63"/>
  <c r="X51"/>
  <c r="Y69"/>
  <c r="P67"/>
  <c r="I58"/>
  <c r="M3"/>
  <c r="Z15"/>
  <c r="C90"/>
  <c r="I39"/>
  <c r="D86"/>
  <c r="M43"/>
  <c r="C87"/>
  <c r="W31"/>
  <c r="S73"/>
  <c r="H28"/>
  <c r="Z42"/>
  <c r="N71"/>
  <c r="O85"/>
  <c r="W44"/>
  <c r="Q5"/>
  <c r="Q28"/>
  <c r="C39"/>
  <c r="S28"/>
  <c r="D90"/>
  <c r="E80"/>
  <c r="N43"/>
  <c r="S79"/>
  <c r="I72"/>
  <c r="X42"/>
  <c r="V10"/>
  <c r="V38"/>
  <c r="X47"/>
  <c r="H65"/>
  <c r="Q6"/>
  <c r="J84"/>
  <c r="P58"/>
  <c r="E43"/>
  <c r="X96"/>
  <c r="Q43"/>
  <c r="L84"/>
  <c r="I66"/>
  <c r="F79"/>
  <c r="Y57"/>
  <c r="T64"/>
  <c r="L34"/>
  <c r="Z56"/>
  <c r="P49"/>
  <c r="L76"/>
  <c r="M77"/>
  <c r="U89"/>
  <c r="T50"/>
  <c r="L31"/>
  <c r="Z17"/>
  <c r="D7"/>
  <c r="L35"/>
  <c r="Z71"/>
  <c r="Q31"/>
  <c r="Q61"/>
  <c r="M25"/>
  <c r="I4"/>
  <c r="D87"/>
  <c r="J64"/>
  <c r="Q66"/>
  <c r="I23"/>
  <c r="I49"/>
  <c r="X11"/>
  <c r="W43"/>
  <c r="F41"/>
  <c r="J51"/>
  <c r="L70"/>
  <c r="O81"/>
  <c r="I43"/>
  <c r="U85"/>
  <c r="M42"/>
  <c r="W45"/>
  <c r="W12"/>
  <c r="O90"/>
  <c r="M59"/>
  <c r="L16"/>
  <c r="U36"/>
  <c r="E21"/>
  <c r="S80"/>
  <c r="E34"/>
  <c r="G79"/>
  <c r="M89"/>
  <c r="C24"/>
  <c r="V20"/>
  <c r="N13"/>
  <c r="E27"/>
  <c r="O17"/>
  <c r="N93"/>
  <c r="T5"/>
  <c r="V35"/>
  <c r="T92"/>
  <c r="S61"/>
  <c r="H98"/>
  <c r="D34"/>
  <c r="P7"/>
  <c r="I19"/>
  <c r="G98"/>
  <c r="U54"/>
  <c r="C72"/>
  <c r="P35"/>
  <c r="J12"/>
  <c r="X5"/>
  <c r="N78"/>
  <c r="X32"/>
  <c r="V44"/>
  <c r="C25"/>
  <c r="I29"/>
  <c r="Y36"/>
  <c r="M92"/>
  <c r="Z60"/>
  <c r="J95"/>
  <c r="E39"/>
  <c r="S25"/>
  <c r="X63"/>
  <c r="M86"/>
  <c r="U78"/>
  <c r="Q7"/>
  <c r="Y6"/>
  <c r="Z58"/>
  <c r="Q21"/>
  <c r="I93"/>
  <c r="I41"/>
  <c r="O99"/>
  <c r="J96"/>
  <c r="W74"/>
  <c r="V9"/>
  <c r="Q46"/>
  <c r="W69"/>
  <c r="J81"/>
  <c r="I52"/>
  <c r="G47"/>
  <c r="U25"/>
  <c r="F5"/>
  <c r="Y79"/>
  <c r="X4"/>
  <c r="E37"/>
  <c r="L19"/>
  <c r="T11"/>
  <c r="O22"/>
  <c r="N37"/>
  <c r="O98"/>
  <c r="P24"/>
  <c r="W21"/>
  <c r="G69"/>
  <c r="L78"/>
  <c r="L98"/>
  <c r="Y56"/>
  <c r="E87"/>
  <c r="C13"/>
  <c r="N68"/>
  <c r="X74"/>
  <c r="S15"/>
  <c r="J22"/>
  <c r="F83"/>
  <c r="D48"/>
  <c r="J35"/>
  <c r="V12"/>
  <c r="E72"/>
  <c r="T62"/>
  <c r="X98"/>
  <c r="E44"/>
  <c r="W30"/>
  <c r="N86"/>
  <c r="P19"/>
  <c r="M53"/>
  <c r="V52"/>
  <c r="W96"/>
  <c r="G42"/>
  <c r="O10"/>
  <c r="F65"/>
  <c r="X16"/>
  <c r="S75"/>
  <c r="J76"/>
  <c r="Y40"/>
  <c r="I87"/>
  <c r="C33"/>
  <c r="J91"/>
  <c r="P92"/>
  <c r="J34"/>
  <c r="J41"/>
  <c r="X69"/>
  <c r="T36"/>
  <c r="P85"/>
  <c r="Z93"/>
  <c r="D78"/>
  <c r="G51"/>
  <c r="V65"/>
  <c r="X9"/>
  <c r="M19"/>
  <c r="P63"/>
  <c r="V32"/>
  <c r="U23"/>
  <c r="S60"/>
  <c r="T55"/>
  <c r="Q44"/>
  <c r="Q50"/>
  <c r="S53"/>
  <c r="F44"/>
  <c r="H48"/>
  <c r="U76"/>
  <c r="Y85"/>
  <c r="L85"/>
  <c r="Z45"/>
  <c r="M31"/>
  <c r="W6"/>
  <c r="T68"/>
  <c r="N33"/>
  <c r="C61"/>
  <c r="V28"/>
  <c r="D67"/>
  <c r="T15"/>
  <c r="I24"/>
  <c r="Q47"/>
  <c r="P5"/>
  <c r="F25"/>
  <c r="O89"/>
  <c r="U35"/>
  <c r="I15"/>
  <c r="N88"/>
  <c r="S47"/>
  <c r="L15"/>
  <c r="G73"/>
  <c r="S45"/>
  <c r="V75"/>
  <c r="G80"/>
  <c r="S38"/>
  <c r="C91"/>
  <c r="S31"/>
  <c r="I42"/>
  <c r="C36"/>
  <c r="O91"/>
  <c r="C71"/>
  <c r="M22"/>
  <c r="T79"/>
  <c r="M26"/>
  <c r="O49"/>
  <c r="X92"/>
  <c r="Y86"/>
  <c r="H26"/>
  <c r="L3"/>
  <c r="G10"/>
  <c r="S24"/>
  <c r="L18"/>
  <c r="X56"/>
  <c r="I27"/>
  <c r="M72"/>
  <c r="M93"/>
  <c r="D22"/>
  <c r="X13"/>
  <c r="H29"/>
  <c r="N51"/>
  <c r="S4"/>
  <c r="O23"/>
  <c r="G26"/>
  <c r="E50"/>
  <c r="Z39"/>
  <c r="D60"/>
  <c r="D91"/>
  <c r="D20"/>
  <c r="C53"/>
  <c r="N90"/>
  <c r="Y12"/>
  <c r="I32"/>
  <c r="Q45"/>
  <c r="P83"/>
  <c r="G19"/>
  <c r="X76"/>
  <c r="Q90"/>
  <c r="Z53"/>
  <c r="Q9"/>
  <c r="W34"/>
  <c r="S54"/>
  <c r="M63"/>
  <c r="E23"/>
  <c r="D31"/>
  <c r="Y47"/>
  <c r="P48"/>
  <c r="F68"/>
  <c r="J2"/>
  <c r="U48"/>
  <c r="T82"/>
  <c r="T9"/>
  <c r="J73"/>
  <c r="S37"/>
  <c r="T51"/>
  <c r="Q53"/>
  <c r="N47"/>
  <c r="M45"/>
  <c r="C95"/>
  <c r="H71"/>
  <c r="N41"/>
  <c r="Y61"/>
  <c r="D59"/>
  <c r="X39"/>
  <c r="V93"/>
  <c r="J15"/>
  <c r="U81"/>
  <c r="E84"/>
  <c r="Y75"/>
  <c r="V80"/>
  <c r="G30"/>
  <c r="W35"/>
  <c r="Z29"/>
  <c r="Q34"/>
  <c r="O78"/>
  <c r="M32"/>
  <c r="E98"/>
  <c r="Z12"/>
  <c r="M6"/>
  <c r="W91"/>
  <c r="D33"/>
  <c r="I80"/>
  <c r="U13"/>
  <c r="V36"/>
  <c r="N46"/>
  <c r="W73"/>
  <c r="V33"/>
  <c r="I21"/>
  <c r="N40"/>
  <c r="E42"/>
  <c r="G27"/>
  <c r="H43"/>
  <c r="M29"/>
  <c r="O31"/>
  <c r="D24"/>
  <c r="W23"/>
  <c r="F39"/>
  <c r="L67"/>
  <c r="D92"/>
  <c r="F2" i="4"/>
  <c r="C21" i="3"/>
  <c r="F18"/>
  <c r="L10"/>
  <c r="I67"/>
  <c r="H86"/>
  <c r="Y39"/>
  <c r="N32"/>
  <c r="Z54"/>
  <c r="Y25"/>
  <c r="U12"/>
  <c r="L88"/>
  <c r="D2"/>
  <c r="P53"/>
  <c r="H25"/>
  <c r="H78"/>
  <c r="L63"/>
  <c r="N8"/>
  <c r="D23"/>
  <c r="N9"/>
  <c r="W16"/>
  <c r="C70"/>
  <c r="U6"/>
  <c r="D62"/>
  <c r="C4"/>
  <c r="C34"/>
  <c r="L13"/>
  <c r="V64"/>
  <c r="Q85"/>
  <c r="Y19"/>
  <c r="Z74"/>
  <c r="U33"/>
  <c r="W5"/>
  <c r="S33"/>
  <c r="P14"/>
  <c r="O44"/>
  <c r="E96"/>
  <c r="F85"/>
  <c r="P29"/>
  <c r="M91"/>
  <c r="X40"/>
  <c r="X86"/>
  <c r="U61"/>
  <c r="Q25"/>
  <c r="H92"/>
  <c r="L25"/>
  <c r="N20"/>
  <c r="D8"/>
  <c r="C79"/>
  <c r="V72"/>
  <c r="D52"/>
  <c r="F13"/>
  <c r="V57"/>
  <c r="W10"/>
  <c r="Z26"/>
  <c r="Y71"/>
  <c r="I25"/>
  <c r="Z57"/>
  <c r="Z78"/>
  <c r="Y49"/>
  <c r="J80"/>
  <c r="Z79"/>
  <c r="T87"/>
  <c r="Y16"/>
  <c r="N70"/>
  <c r="C27"/>
  <c r="Y54"/>
  <c r="M50"/>
  <c r="E49"/>
  <c r="Z46"/>
  <c r="X60"/>
  <c r="E9"/>
  <c r="D21"/>
  <c r="Y66"/>
  <c r="W50"/>
  <c r="G8"/>
  <c r="C56"/>
  <c r="D74"/>
  <c r="T67"/>
  <c r="N77"/>
  <c r="H46"/>
  <c r="L81"/>
  <c r="V54"/>
  <c r="D45"/>
  <c r="E33"/>
  <c r="L87"/>
  <c r="E17"/>
  <c r="M27"/>
  <c r="S81"/>
  <c r="C47"/>
  <c r="T75"/>
  <c r="T26"/>
  <c r="U31"/>
  <c r="F90"/>
  <c r="Q24"/>
  <c r="U5"/>
  <c r="Y3"/>
  <c r="I64"/>
  <c r="S8"/>
  <c r="U60"/>
  <c r="Y38"/>
  <c r="Y91"/>
  <c r="C23"/>
  <c r="Y17"/>
  <c r="W40"/>
  <c r="Y81"/>
  <c r="S52"/>
  <c r="U73"/>
  <c r="X7"/>
  <c r="J98"/>
  <c r="F76"/>
  <c r="M37"/>
  <c r="X83"/>
  <c r="H81"/>
  <c r="S5"/>
  <c r="H89"/>
  <c r="H90"/>
  <c r="C55"/>
  <c r="M38"/>
  <c r="C65"/>
  <c r="I83"/>
  <c r="E24"/>
  <c r="Z14"/>
  <c r="C52"/>
  <c r="M41"/>
  <c r="V82"/>
  <c r="O28"/>
  <c r="T12"/>
  <c r="H7"/>
  <c r="T29"/>
  <c r="P39"/>
  <c r="L45"/>
  <c r="T42"/>
  <c r="G77"/>
  <c r="H58"/>
  <c r="H35"/>
  <c r="N10"/>
  <c r="Q33"/>
  <c r="L77"/>
  <c r="L64"/>
  <c r="I47"/>
  <c r="N48"/>
  <c r="U38"/>
  <c r="J62"/>
  <c r="G64"/>
  <c r="X75"/>
  <c r="C74"/>
  <c r="T48"/>
  <c r="T7"/>
  <c r="O25"/>
  <c r="Q84"/>
  <c r="E2"/>
  <c r="F93"/>
  <c r="F92"/>
  <c r="X67"/>
  <c r="O12"/>
  <c r="Y55"/>
  <c r="E68"/>
  <c r="W19"/>
  <c r="D9"/>
  <c r="F30"/>
  <c r="E3"/>
  <c r="Z55"/>
  <c r="D56"/>
  <c r="L69"/>
  <c r="V39"/>
  <c r="D47"/>
  <c r="M12"/>
  <c r="T16"/>
  <c r="X22"/>
  <c r="E15"/>
  <c r="T22"/>
  <c r="Y82"/>
  <c r="S48"/>
  <c r="Z6"/>
  <c r="H16"/>
  <c r="W52"/>
  <c r="V53"/>
  <c r="E69"/>
  <c r="M62"/>
  <c r="O16"/>
  <c r="Z44"/>
  <c r="E11"/>
  <c r="I40"/>
  <c r="I55"/>
  <c r="J65"/>
  <c r="C68"/>
  <c r="L14"/>
  <c r="J24"/>
  <c r="O54"/>
  <c r="S99"/>
  <c r="I50"/>
  <c r="N76"/>
  <c r="L30"/>
  <c r="H44"/>
  <c r="X80"/>
  <c r="F87"/>
  <c r="O57"/>
  <c r="C54"/>
  <c r="S20"/>
  <c r="G31"/>
  <c r="Y72"/>
  <c r="V81"/>
  <c r="T39"/>
  <c r="Q19"/>
  <c r="V24"/>
  <c r="J55"/>
  <c r="W70"/>
  <c r="Z50"/>
  <c r="W61"/>
  <c r="V77"/>
  <c r="F62"/>
  <c r="S55"/>
  <c r="F7"/>
  <c r="D39"/>
  <c r="S29"/>
  <c r="G58"/>
  <c r="D68"/>
  <c r="E13"/>
  <c r="U21"/>
  <c r="P15"/>
  <c r="G14"/>
  <c r="U56"/>
  <c r="M66"/>
  <c r="Z77"/>
  <c r="W15"/>
  <c r="J3" i="4"/>
  <c r="G52" i="3"/>
  <c r="T77"/>
  <c r="G12"/>
  <c r="F71"/>
  <c r="T27"/>
  <c r="X73"/>
  <c r="Q72"/>
  <c r="U51"/>
  <c r="Y13"/>
  <c r="U28"/>
  <c r="P6"/>
  <c r="V78"/>
  <c r="E31"/>
  <c r="L36"/>
  <c r="W29"/>
  <c r="S40"/>
  <c r="P57"/>
  <c r="L40"/>
  <c r="N67"/>
  <c r="T81"/>
  <c r="G82"/>
  <c r="O95"/>
  <c r="D51"/>
  <c r="X19"/>
  <c r="N65"/>
  <c r="M9"/>
  <c r="T32"/>
  <c r="T53"/>
  <c r="G2" i="4"/>
  <c r="H52" i="3"/>
  <c r="F70"/>
  <c r="M39"/>
  <c r="V61"/>
  <c r="P20"/>
  <c r="J71"/>
  <c r="W64"/>
  <c r="V91"/>
  <c r="F73"/>
  <c r="G21"/>
  <c r="M44"/>
  <c r="G40"/>
  <c r="P36"/>
  <c r="S95"/>
  <c r="J42"/>
  <c r="P22"/>
  <c r="M69"/>
  <c r="S93"/>
  <c r="F42"/>
  <c r="U98"/>
  <c r="L8"/>
  <c r="L23"/>
  <c r="H39"/>
  <c r="P68"/>
  <c r="M84"/>
  <c r="D96"/>
  <c r="V4"/>
  <c r="I86"/>
  <c r="C40"/>
  <c r="D6"/>
  <c r="X18"/>
  <c r="S51"/>
  <c r="J7"/>
  <c r="C81"/>
  <c r="V37"/>
  <c r="C57"/>
  <c r="D38"/>
  <c r="L72"/>
  <c r="S32"/>
  <c r="P65"/>
  <c r="Q54"/>
  <c r="N28"/>
  <c r="V16"/>
  <c r="T52"/>
  <c r="N66"/>
  <c r="L5"/>
  <c r="O7"/>
  <c r="M71"/>
  <c r="L74"/>
  <c r="I36"/>
  <c r="W14"/>
  <c r="S30"/>
  <c r="W11"/>
  <c r="P18"/>
  <c r="F51"/>
  <c r="H11"/>
  <c r="S23"/>
  <c r="I16"/>
  <c r="U72"/>
  <c r="Z66"/>
  <c r="M14"/>
  <c r="O4"/>
  <c r="E7"/>
  <c r="E62"/>
  <c r="Q99"/>
  <c r="X3"/>
  <c r="S70"/>
  <c r="Q18"/>
  <c r="G99"/>
  <c r="Z36"/>
  <c r="L33"/>
  <c r="V26"/>
  <c r="W37"/>
  <c r="O39"/>
  <c r="V17"/>
  <c r="J72"/>
  <c r="L62"/>
  <c r="U39"/>
  <c r="C16"/>
  <c r="X23"/>
  <c r="V21"/>
  <c r="G11"/>
  <c r="V68"/>
  <c r="S63"/>
  <c r="F54"/>
  <c r="E89"/>
  <c r="U32"/>
  <c r="H27"/>
  <c r="S64"/>
  <c r="Z30"/>
  <c r="F81"/>
  <c r="S21"/>
  <c r="O14"/>
  <c r="X65"/>
  <c r="L71"/>
  <c r="E35"/>
  <c r="E63"/>
  <c r="E93"/>
  <c r="J92"/>
  <c r="M96"/>
  <c r="G44"/>
  <c r="O67"/>
  <c r="P82"/>
  <c r="O48"/>
  <c r="Q15"/>
  <c r="Y50"/>
  <c r="D70"/>
  <c r="J67"/>
  <c r="T76"/>
  <c r="C46"/>
  <c r="I31"/>
  <c r="C80"/>
  <c r="C18"/>
  <c r="S98"/>
  <c r="Q49"/>
  <c r="S69"/>
  <c r="T91"/>
  <c r="D12"/>
  <c r="W77"/>
  <c r="C51"/>
  <c r="O62"/>
  <c r="N84"/>
  <c r="V92"/>
  <c r="Q81"/>
  <c r="Y74"/>
  <c r="P87"/>
  <c r="M65"/>
  <c r="Q2"/>
  <c r="M98"/>
  <c r="N19"/>
  <c r="V66"/>
  <c r="X90"/>
  <c r="P9"/>
  <c r="Y58"/>
  <c r="N85"/>
  <c r="C17"/>
  <c r="L90"/>
  <c r="M54"/>
  <c r="D89"/>
  <c r="R100"/>
  <c r="D65"/>
  <c r="F88"/>
  <c r="Q59"/>
  <c r="P77"/>
  <c r="J56"/>
  <c r="L12"/>
  <c r="Z5"/>
  <c r="T54"/>
  <c r="Y20"/>
  <c r="C86"/>
  <c r="G63"/>
  <c r="I79"/>
  <c r="Z52"/>
  <c r="X24"/>
  <c r="C41"/>
  <c r="P61"/>
  <c r="L11"/>
  <c r="J17"/>
  <c r="I69"/>
  <c r="G74"/>
  <c r="Y28"/>
  <c r="E99"/>
  <c r="S42"/>
  <c r="H59"/>
  <c r="X49"/>
  <c r="I61"/>
  <c r="V62"/>
  <c r="O88"/>
  <c r="T23"/>
  <c r="X93"/>
  <c r="G87"/>
  <c r="C99"/>
  <c r="X58"/>
  <c r="O18"/>
  <c r="Z59"/>
  <c r="G67"/>
  <c r="S27"/>
  <c r="U11"/>
  <c r="E14"/>
  <c r="V98"/>
  <c r="V23"/>
  <c r="M58"/>
  <c r="D30"/>
  <c r="O34"/>
  <c r="T37"/>
  <c r="J79"/>
  <c r="X71"/>
  <c r="M47"/>
  <c r="P17"/>
  <c r="H87"/>
  <c r="I46"/>
  <c r="Q17"/>
  <c r="D5"/>
  <c r="V47"/>
  <c r="X77"/>
  <c r="I45"/>
  <c r="C69"/>
  <c r="Z85"/>
  <c r="Y89"/>
  <c r="Z24"/>
  <c r="P4"/>
  <c r="V27"/>
  <c r="E67"/>
  <c r="H54"/>
  <c r="I48"/>
  <c r="G92"/>
  <c r="J30"/>
  <c r="U93"/>
  <c r="P99"/>
  <c r="G55"/>
  <c r="L53"/>
  <c r="T58"/>
  <c r="P54"/>
  <c r="O74"/>
  <c r="J86"/>
  <c r="H63"/>
  <c r="P52"/>
  <c r="W17"/>
  <c r="G5"/>
  <c r="W18"/>
  <c r="H32"/>
  <c r="Q11"/>
  <c r="O66"/>
  <c r="L27"/>
  <c r="E10"/>
  <c r="D73"/>
  <c r="C12"/>
  <c r="G81"/>
  <c r="M15"/>
  <c r="M7"/>
  <c r="H82"/>
  <c r="F67"/>
  <c r="X88"/>
  <c r="V74"/>
  <c r="W56"/>
  <c r="O11"/>
  <c r="T28"/>
  <c r="V31"/>
  <c r="O19"/>
  <c r="D61"/>
  <c r="J25"/>
  <c r="E20"/>
  <c r="N89"/>
  <c r="V55"/>
  <c r="J38"/>
  <c r="S46"/>
  <c r="H10"/>
  <c r="Z86"/>
  <c r="X84"/>
  <c r="S77"/>
  <c r="W86"/>
  <c r="E83"/>
  <c r="V5"/>
  <c r="G76"/>
  <c r="L99"/>
  <c r="X57"/>
  <c r="P38"/>
  <c r="D43"/>
  <c r="G3"/>
  <c r="E30"/>
  <c r="G83"/>
  <c r="P70"/>
  <c r="U70"/>
  <c r="U44"/>
  <c r="O83"/>
  <c r="G61"/>
  <c r="T86"/>
  <c r="Z96"/>
  <c r="M70"/>
  <c r="Q76"/>
  <c r="Y21"/>
  <c r="Q80"/>
  <c r="E70"/>
  <c r="H17"/>
  <c r="O55"/>
  <c r="I35"/>
  <c r="Z80"/>
  <c r="L51"/>
  <c r="O72"/>
  <c r="T17"/>
  <c r="Y29"/>
  <c r="J78"/>
  <c r="E40"/>
  <c r="N39"/>
  <c r="W39"/>
  <c r="O8"/>
  <c r="H80"/>
  <c r="L58"/>
  <c r="T35"/>
  <c r="J58"/>
  <c r="D18"/>
  <c r="W55"/>
  <c r="U40"/>
  <c r="V29"/>
  <c r="F74"/>
  <c r="W57"/>
  <c r="O21"/>
  <c r="E25"/>
  <c r="S89"/>
  <c r="H84"/>
  <c r="H95"/>
  <c r="V96"/>
  <c r="U99"/>
  <c r="D15"/>
  <c r="T78"/>
  <c r="W41"/>
  <c r="J32"/>
  <c r="P31"/>
  <c r="W28"/>
  <c r="D75"/>
  <c r="N50"/>
  <c r="Y92"/>
  <c r="F53"/>
  <c r="P27"/>
  <c r="W49"/>
  <c r="P30"/>
  <c r="U46"/>
  <c r="X81"/>
  <c r="O41"/>
  <c r="F96"/>
  <c r="I14"/>
  <c r="D88"/>
  <c r="Y37"/>
  <c r="Q83"/>
  <c r="J10"/>
  <c r="H23"/>
  <c r="L4"/>
  <c r="P71"/>
  <c r="D77"/>
  <c r="O93"/>
  <c r="C78"/>
  <c r="M90"/>
  <c r="T40"/>
  <c r="T96"/>
  <c r="D36"/>
  <c r="F32"/>
  <c r="M61"/>
  <c r="F35"/>
  <c r="V11"/>
  <c r="T93"/>
  <c r="C14"/>
  <c r="N81"/>
  <c r="P46"/>
  <c r="P79"/>
  <c r="U59"/>
  <c r="T31"/>
  <c r="N29"/>
  <c r="I3"/>
  <c r="U86"/>
  <c r="G62"/>
  <c r="H53"/>
  <c r="J69"/>
  <c r="U92"/>
  <c r="S66"/>
  <c r="X36"/>
  <c r="E47"/>
  <c r="U17"/>
  <c r="W72"/>
  <c r="T71"/>
  <c r="L42"/>
  <c r="G72"/>
  <c r="D71"/>
  <c r="Q58"/>
  <c r="W62"/>
  <c r="J28"/>
  <c r="O13"/>
  <c r="O2"/>
  <c r="I78"/>
  <c r="T20"/>
  <c r="I51"/>
  <c r="M24"/>
  <c r="L37"/>
  <c r="X82"/>
  <c r="Y59"/>
  <c r="E53"/>
  <c r="X15"/>
  <c r="X52"/>
  <c r="W79"/>
  <c r="M68"/>
  <c r="D27"/>
  <c r="J89"/>
  <c r="O33"/>
  <c r="P73"/>
  <c r="Q56"/>
  <c r="Q3"/>
  <c r="L65"/>
  <c r="M36"/>
  <c r="G2"/>
  <c r="I90"/>
  <c r="E2" i="4"/>
  <c r="Y15" i="3"/>
  <c r="Z75"/>
  <c r="F52"/>
  <c r="L44"/>
  <c r="X43"/>
  <c r="T99"/>
  <c r="L66"/>
  <c r="E54"/>
  <c r="U74"/>
  <c r="U30"/>
  <c r="G23"/>
  <c r="T4"/>
  <c r="E8"/>
  <c r="W47"/>
  <c r="I82"/>
  <c r="N52"/>
  <c r="F38"/>
  <c r="D79"/>
  <c r="Z40"/>
  <c r="Z32"/>
  <c r="N38"/>
  <c r="H74"/>
  <c r="I20"/>
  <c r="U58"/>
  <c r="Z34"/>
  <c r="U22"/>
  <c r="X31"/>
  <c r="U15"/>
  <c r="D49"/>
  <c r="T47"/>
  <c r="P45"/>
  <c r="F45"/>
  <c r="Y64"/>
  <c r="J11"/>
  <c r="C44"/>
  <c r="H3"/>
  <c r="P41"/>
  <c r="O64"/>
  <c r="W71"/>
  <c r="P84"/>
  <c r="W83"/>
  <c r="Q27"/>
  <c r="X25"/>
  <c r="Q39"/>
  <c r="L61"/>
  <c r="D98"/>
  <c r="F84"/>
  <c r="U90"/>
  <c r="M28"/>
  <c r="H22"/>
  <c r="D35"/>
  <c r="Z81"/>
  <c r="Q87"/>
  <c r="E45"/>
  <c r="T45"/>
  <c r="M23"/>
  <c r="J33"/>
  <c r="O51"/>
  <c r="F63"/>
  <c r="E52"/>
  <c r="I5"/>
  <c r="S9"/>
  <c r="V22"/>
  <c r="H14"/>
  <c r="W99"/>
  <c r="G3" i="4"/>
  <c r="S92" i="3"/>
  <c r="D84"/>
  <c r="W33"/>
  <c r="G32"/>
  <c r="C58"/>
  <c r="T85"/>
  <c r="X8"/>
  <c r="Y4"/>
  <c r="H31"/>
  <c r="G34"/>
  <c r="Q37"/>
  <c r="P26"/>
  <c r="H61"/>
  <c r="M80"/>
  <c r="L49"/>
  <c r="M78"/>
  <c r="Q38"/>
  <c r="U2"/>
  <c r="H85"/>
  <c r="H8"/>
  <c r="F29"/>
  <c r="X46"/>
  <c r="W51"/>
  <c r="I62"/>
  <c r="X44"/>
  <c r="S13"/>
  <c r="Y5"/>
  <c r="E46"/>
  <c r="Q35"/>
  <c r="C63"/>
  <c r="G90"/>
  <c r="T34"/>
  <c r="L29"/>
  <c r="J88"/>
  <c r="S67"/>
  <c r="X95"/>
  <c r="P11"/>
  <c r="T41"/>
  <c r="U7"/>
  <c r="P72"/>
  <c r="N80"/>
  <c r="O82"/>
  <c r="S78"/>
  <c r="W87"/>
  <c r="Y22"/>
  <c r="G33"/>
  <c r="J21"/>
  <c r="H49"/>
  <c r="V59"/>
  <c r="O71"/>
  <c r="Y30"/>
  <c r="U8"/>
  <c r="F91"/>
  <c r="M85"/>
  <c r="S57"/>
  <c r="F99"/>
  <c r="I63"/>
  <c r="U62"/>
  <c r="I89"/>
  <c r="G89"/>
  <c r="G65"/>
  <c r="J5"/>
  <c r="H79"/>
  <c r="T49"/>
  <c r="Z18"/>
  <c r="X30"/>
  <c r="F72"/>
  <c r="T56"/>
  <c r="W26"/>
  <c r="I96"/>
  <c r="P34"/>
  <c r="F19"/>
  <c r="V88"/>
  <c r="H88"/>
  <c r="G9"/>
  <c r="J6"/>
  <c r="H4"/>
  <c r="C67"/>
  <c r="F34"/>
  <c r="G91"/>
  <c r="N3"/>
  <c r="I8"/>
  <c r="S43"/>
  <c r="I88"/>
  <c r="L83"/>
  <c r="M16"/>
  <c r="U71"/>
  <c r="U84"/>
  <c r="F77"/>
  <c r="J87"/>
  <c r="F17"/>
  <c r="W92"/>
  <c r="Z47"/>
  <c r="P60"/>
  <c r="E82"/>
  <c r="Q91"/>
  <c r="E55"/>
  <c r="Q70"/>
  <c r="W59"/>
  <c r="Z84"/>
  <c r="E32"/>
  <c r="I38"/>
  <c r="H45"/>
  <c r="U16"/>
  <c r="J23"/>
  <c r="V25"/>
  <c r="T10"/>
  <c r="Z9"/>
  <c r="P91"/>
  <c r="J37"/>
  <c r="Q60"/>
  <c r="T74"/>
  <c r="D41"/>
  <c r="T84"/>
  <c r="E38"/>
  <c r="P42"/>
  <c r="U64"/>
  <c r="Y34"/>
  <c r="P74"/>
  <c r="N83"/>
  <c r="V46"/>
  <c r="N16"/>
  <c r="O61"/>
  <c r="N58"/>
  <c r="H51"/>
  <c r="N69"/>
  <c r="G70"/>
  <c r="C64"/>
  <c r="O84"/>
  <c r="M76"/>
  <c r="S2"/>
  <c r="T30"/>
  <c r="U4"/>
  <c r="Y27"/>
  <c r="V86"/>
  <c r="X68"/>
  <c r="P40"/>
  <c r="W66"/>
  <c r="M20"/>
  <c r="T44"/>
  <c r="C93"/>
  <c r="J3"/>
  <c r="L57"/>
  <c r="N25"/>
  <c r="U43"/>
  <c r="Z61"/>
  <c r="N63"/>
  <c r="H15"/>
  <c r="C37"/>
  <c r="U19"/>
  <c r="P59"/>
  <c r="U42"/>
  <c r="S19"/>
  <c r="X85"/>
  <c r="D42"/>
  <c r="P81"/>
  <c r="O6"/>
  <c r="X35"/>
  <c r="O30"/>
  <c r="C66"/>
  <c r="F89"/>
  <c r="E26"/>
  <c r="Y80"/>
  <c r="G53"/>
  <c r="U67"/>
  <c r="O26"/>
  <c r="O35"/>
  <c r="O45"/>
  <c r="M55"/>
  <c r="U27"/>
  <c r="M52"/>
  <c r="L38"/>
  <c r="Y42"/>
  <c r="S59"/>
  <c r="U95"/>
  <c r="C77"/>
  <c r="Z43"/>
  <c r="V56"/>
  <c r="J48"/>
  <c r="H64"/>
  <c r="M74"/>
  <c r="M11"/>
  <c r="E48"/>
  <c r="I12"/>
  <c r="H40"/>
  <c r="I99"/>
  <c r="Q12"/>
  <c r="U53"/>
  <c r="N82"/>
  <c r="E86"/>
  <c r="F12"/>
  <c r="O65"/>
  <c r="Q89"/>
  <c r="W93"/>
  <c r="G68"/>
  <c r="J44"/>
  <c r="F4"/>
  <c r="J53"/>
  <c r="Q23"/>
  <c r="P44"/>
  <c r="C9"/>
  <c r="H62"/>
  <c r="Y23"/>
  <c r="X78"/>
  <c r="P43"/>
  <c r="C89"/>
  <c r="E95"/>
  <c r="O92"/>
  <c r="J61"/>
  <c r="L17"/>
  <c r="T8"/>
  <c r="L21"/>
  <c r="T57"/>
  <c r="Q32"/>
  <c r="N12"/>
  <c r="O56"/>
  <c r="I9"/>
  <c r="H18"/>
  <c r="X12"/>
  <c r="E75"/>
  <c r="O36"/>
  <c r="G66"/>
  <c r="Q13"/>
  <c r="E65"/>
  <c r="U52"/>
  <c r="M21"/>
  <c r="G39"/>
  <c r="O68"/>
  <c r="Z82"/>
  <c r="H37"/>
  <c r="N73"/>
  <c r="J9"/>
  <c r="Q92"/>
  <c r="Z37"/>
  <c r="P88"/>
  <c r="D2" i="4"/>
  <c r="D3" s="1"/>
  <c r="D4" i="3"/>
  <c r="L39"/>
  <c r="O76"/>
  <c r="H33"/>
  <c r="M99"/>
  <c r="G36"/>
  <c r="W75"/>
  <c r="Z91"/>
  <c r="M17"/>
  <c r="Z68"/>
  <c r="S62"/>
  <c r="F28"/>
  <c r="X45"/>
  <c r="Z13"/>
  <c r="I11"/>
  <c r="L59"/>
  <c r="G4" i="4"/>
  <c r="W42" i="3"/>
  <c r="G18"/>
  <c r="U10"/>
  <c r="U80"/>
  <c r="Y44"/>
  <c r="F31"/>
  <c r="X89"/>
  <c r="V50"/>
  <c r="E73"/>
  <c r="L48"/>
  <c r="V7"/>
  <c r="V58"/>
  <c r="S90"/>
  <c r="S56"/>
  <c r="V8"/>
  <c r="G71"/>
  <c r="S85"/>
  <c r="N79"/>
  <c r="Y96"/>
  <c r="S10"/>
  <c r="O59"/>
  <c r="C50"/>
  <c r="I74"/>
  <c r="I75"/>
  <c r="T59"/>
  <c r="D40"/>
  <c r="H21"/>
  <c r="Q8"/>
  <c r="N54"/>
  <c r="T65"/>
  <c r="N42"/>
  <c r="E76"/>
  <c r="C3"/>
  <c r="Y60"/>
  <c r="N6"/>
  <c r="N21"/>
  <c r="G37"/>
  <c r="E18"/>
  <c r="Q26"/>
  <c r="Z38"/>
  <c r="C10"/>
  <c r="Y35"/>
  <c r="V48"/>
  <c r="S58"/>
  <c r="Y7"/>
  <c r="G48"/>
  <c r="S36"/>
  <c r="W38"/>
  <c r="N99"/>
  <c r="T69"/>
  <c r="C83"/>
  <c r="S3"/>
  <c r="Y26"/>
  <c r="N22"/>
  <c r="H30"/>
  <c r="Z51"/>
  <c r="C30"/>
  <c r="Z23"/>
  <c r="I57"/>
  <c r="P80"/>
  <c r="C43"/>
  <c r="M34"/>
  <c r="P3"/>
  <c r="Y76"/>
  <c r="W54"/>
  <c r="M60"/>
  <c r="P50"/>
  <c r="Y18"/>
  <c r="S44"/>
  <c r="U24"/>
  <c r="O20"/>
  <c r="O43"/>
  <c r="N91"/>
  <c r="N59"/>
  <c r="F80"/>
  <c r="W98"/>
  <c r="F64"/>
  <c r="V30"/>
  <c r="Q36"/>
  <c r="T3"/>
  <c r="U63"/>
  <c r="W32"/>
  <c r="X70"/>
  <c r="M4"/>
  <c r="N74"/>
  <c r="L52"/>
  <c r="G25"/>
  <c r="C85"/>
  <c r="H24"/>
  <c r="V13"/>
  <c r="P90"/>
  <c r="C2"/>
  <c r="U26"/>
  <c r="Z49"/>
  <c r="I44"/>
  <c r="S65"/>
  <c r="Q75"/>
  <c r="N23"/>
  <c r="U66"/>
  <c r="Z10"/>
  <c r="G96"/>
  <c r="D17"/>
  <c r="I2"/>
  <c r="G57"/>
  <c r="F22"/>
  <c r="X50"/>
  <c r="Y68"/>
  <c r="U68"/>
  <c r="D80"/>
  <c r="O58"/>
  <c r="U45"/>
  <c r="T13"/>
  <c r="U49"/>
  <c r="U57"/>
  <c r="P32"/>
  <c r="W53"/>
  <c r="Z99"/>
  <c r="Q79"/>
  <c r="S39"/>
  <c r="I53"/>
  <c r="D58"/>
  <c r="N14"/>
  <c r="J57"/>
  <c r="O60"/>
  <c r="D25"/>
  <c r="V51"/>
  <c r="Z33"/>
  <c r="S88"/>
  <c r="X20"/>
  <c r="U3"/>
  <c r="N2"/>
  <c r="N55"/>
  <c r="D29"/>
  <c r="W89"/>
  <c r="Y99"/>
  <c r="Z88"/>
  <c r="J4" i="4"/>
  <c r="W3" i="3"/>
  <c r="M82"/>
  <c r="S26"/>
  <c r="W82"/>
  <c r="P89"/>
  <c r="D32"/>
  <c r="M81"/>
  <c r="E77"/>
  <c r="M56"/>
  <c r="E28"/>
  <c r="T14"/>
  <c r="I56"/>
  <c r="W76"/>
  <c r="F15"/>
  <c r="L47"/>
  <c r="S76"/>
  <c r="Y2"/>
  <c r="J20"/>
  <c r="E29"/>
  <c r="N60"/>
  <c r="F82"/>
  <c r="F24"/>
  <c r="L93"/>
  <c r="Z89"/>
  <c r="Z67"/>
  <c r="E19"/>
  <c r="O52"/>
  <c r="H47"/>
  <c r="Y33"/>
  <c r="F78"/>
  <c r="E74"/>
  <c r="F40"/>
  <c r="J49"/>
  <c r="D72"/>
  <c r="N53"/>
  <c r="I76"/>
  <c r="L43"/>
  <c r="Y8"/>
  <c r="L46"/>
  <c r="Z3"/>
  <c r="J36"/>
  <c r="Y43"/>
  <c r="Q40"/>
  <c r="P28"/>
  <c r="C20"/>
  <c r="Y95"/>
  <c r="F10"/>
  <c r="O70"/>
  <c r="I92"/>
  <c r="Q62"/>
  <c r="W88"/>
  <c r="Q98"/>
  <c r="Y14"/>
  <c r="S96"/>
  <c r="S72"/>
  <c r="T21"/>
  <c r="S7"/>
  <c r="P12"/>
  <c r="Y63"/>
  <c r="L96"/>
  <c r="T33"/>
  <c r="I7"/>
  <c r="W7"/>
  <c r="T60"/>
  <c r="H70"/>
  <c r="N15"/>
  <c r="L60"/>
  <c r="D19"/>
  <c r="Y9"/>
  <c r="W9"/>
  <c r="E60"/>
  <c r="F14"/>
  <c r="E51"/>
  <c r="T83"/>
  <c r="F56"/>
  <c r="W67"/>
  <c r="T89"/>
  <c r="P56"/>
  <c r="F9"/>
  <c r="Q41"/>
  <c r="W81"/>
  <c r="N34"/>
  <c r="G4"/>
  <c r="M35"/>
  <c r="L6"/>
  <c r="X29"/>
  <c r="F3"/>
  <c r="P93"/>
  <c r="E64"/>
  <c r="W68"/>
  <c r="J4"/>
  <c r="D81"/>
  <c r="L50"/>
  <c r="N26"/>
  <c r="E4"/>
  <c r="V69"/>
  <c r="Q78"/>
  <c r="X26"/>
  <c r="S12"/>
  <c r="Q67"/>
  <c r="U29"/>
  <c r="V18"/>
  <c r="F47"/>
  <c r="O42"/>
  <c r="V3"/>
  <c r="G56"/>
  <c r="W8"/>
  <c r="U37"/>
  <c r="E79"/>
  <c r="J47"/>
  <c r="C49"/>
  <c r="W95"/>
  <c r="Q4"/>
  <c r="N45"/>
  <c r="C28"/>
  <c r="V76"/>
  <c r="J18"/>
  <c r="X2"/>
  <c r="O75"/>
  <c r="H50"/>
  <c r="F16"/>
  <c r="E5"/>
  <c r="I17"/>
  <c r="W24"/>
  <c r="T18"/>
  <c r="G93"/>
  <c r="C84"/>
  <c r="J31"/>
  <c r="D55"/>
  <c r="P51"/>
  <c r="N57"/>
  <c r="Q14"/>
  <c r="X17"/>
  <c r="H76"/>
  <c r="Z4"/>
  <c r="C98"/>
  <c r="D83"/>
  <c r="Z28"/>
  <c r="F8"/>
  <c r="T95"/>
  <c r="U96"/>
  <c r="X37"/>
  <c r="G49"/>
  <c r="C35"/>
  <c r="L75"/>
  <c r="Y11"/>
  <c r="U41"/>
  <c r="H69"/>
  <c r="T43"/>
  <c r="C73"/>
  <c r="V84"/>
  <c r="N11"/>
  <c r="G84"/>
  <c r="S34"/>
  <c r="Z41"/>
  <c r="J19"/>
  <c r="O3"/>
  <c r="Z76"/>
  <c r="Z25"/>
  <c r="Y52"/>
  <c r="V2"/>
  <c r="P96"/>
  <c r="J40"/>
  <c r="V87"/>
  <c r="I65"/>
  <c r="F20"/>
  <c r="Z87"/>
  <c r="F2"/>
  <c r="I6"/>
  <c r="M2"/>
  <c r="Y45"/>
  <c r="V90"/>
  <c r="N27"/>
  <c r="H42"/>
  <c r="W60"/>
  <c r="F43"/>
  <c r="D53"/>
  <c r="P62"/>
  <c r="G15"/>
  <c r="N35"/>
  <c r="Y93"/>
  <c r="X72"/>
  <c r="C7"/>
  <c r="V95"/>
  <c r="W48"/>
  <c r="W84"/>
  <c r="H93"/>
  <c r="V49"/>
  <c r="X66"/>
  <c r="W36"/>
  <c r="Q52"/>
  <c r="N4"/>
  <c r="Z70"/>
  <c r="H99"/>
  <c r="Q82"/>
  <c r="G95"/>
  <c r="N98"/>
  <c r="O86"/>
  <c r="H5"/>
  <c r="T66"/>
  <c r="C92"/>
  <c r="I54"/>
  <c r="U82"/>
  <c r="C96"/>
  <c r="S11"/>
  <c r="Z21"/>
  <c r="S22"/>
  <c r="X99"/>
  <c r="Q57"/>
  <c r="Z19"/>
  <c r="I22"/>
  <c r="F11"/>
  <c r="J50"/>
  <c r="C48"/>
  <c r="U34"/>
  <c r="P33"/>
  <c r="O77"/>
  <c r="X62"/>
  <c r="M33"/>
  <c r="E81"/>
  <c r="Z2"/>
  <c r="M57"/>
  <c r="D37"/>
  <c r="D76"/>
  <c r="Q22"/>
  <c r="N24"/>
  <c r="E90"/>
  <c r="C38"/>
  <c r="D28"/>
  <c r="S49"/>
  <c r="P55"/>
  <c r="F49"/>
  <c r="X55"/>
  <c r="H2"/>
  <c r="X2" i="4"/>
  <c r="X3" s="1"/>
  <c r="X4" s="1"/>
  <c r="M48" i="3"/>
  <c r="F36"/>
  <c r="J39"/>
  <c r="P64"/>
  <c r="D13"/>
  <c r="U91"/>
  <c r="H60"/>
  <c r="F23"/>
  <c r="X64"/>
  <c r="E85"/>
  <c r="P2"/>
  <c r="V79"/>
  <c r="Y10"/>
  <c r="C2" i="4"/>
  <c r="V43" i="3"/>
  <c r="T70"/>
  <c r="X48"/>
  <c r="Y83"/>
  <c r="W90"/>
  <c r="Z92"/>
  <c r="J75"/>
  <c r="O29"/>
  <c r="H56"/>
  <c r="I81"/>
  <c r="Z11"/>
  <c r="I59"/>
  <c r="E92"/>
  <c r="M46"/>
  <c r="L2"/>
  <c r="G88"/>
  <c r="C29"/>
  <c r="Q68"/>
  <c r="N31"/>
  <c r="H6"/>
  <c r="L55"/>
  <c r="M18"/>
  <c r="L22"/>
  <c r="Y73"/>
  <c r="Q16"/>
  <c r="N92"/>
  <c r="V60"/>
  <c r="L9"/>
  <c r="Z20"/>
  <c r="G13"/>
  <c r="V85"/>
  <c r="Y53"/>
  <c r="L80"/>
  <c r="Y51"/>
  <c r="Y87"/>
  <c r="I13"/>
  <c r="X21"/>
  <c r="W80"/>
  <c r="Q71"/>
  <c r="L28"/>
  <c r="E88"/>
  <c r="S82"/>
  <c r="D44"/>
  <c r="N36"/>
  <c r="H13"/>
  <c r="E56"/>
  <c r="F37"/>
  <c r="C22"/>
  <c r="S14"/>
  <c r="X27"/>
  <c r="Q30"/>
  <c r="G86"/>
  <c r="E41"/>
  <c r="X6"/>
  <c r="Z83"/>
  <c r="D69"/>
  <c r="W65"/>
  <c r="V41"/>
  <c r="Y98"/>
  <c r="M67"/>
  <c r="T24"/>
  <c r="T90"/>
  <c r="W85"/>
  <c r="V99"/>
  <c r="T61"/>
  <c r="J13"/>
  <c r="T72"/>
  <c r="U65"/>
  <c r="X54"/>
  <c r="N75"/>
  <c r="H57"/>
  <c r="P47"/>
  <c r="P8"/>
  <c r="C59"/>
  <c r="Z35"/>
  <c r="C8"/>
  <c r="U79"/>
  <c r="D14"/>
  <c r="W2"/>
  <c r="O50"/>
  <c r="L92"/>
  <c r="E78"/>
  <c r="P66"/>
  <c r="T19"/>
  <c r="D93"/>
  <c r="U9"/>
  <c r="C82"/>
  <c r="N49"/>
  <c r="H19"/>
  <c r="M83"/>
  <c r="V34"/>
  <c r="H96"/>
  <c r="J54"/>
  <c r="X61"/>
  <c r="Y70"/>
  <c r="F6"/>
  <c r="D11"/>
  <c r="D50"/>
  <c r="X79"/>
  <c r="Z64"/>
  <c r="I77"/>
  <c r="J68"/>
  <c r="E71"/>
  <c r="N30"/>
  <c r="J29"/>
  <c r="Y41"/>
  <c r="Y65"/>
  <c r="Z90"/>
  <c r="Z48"/>
  <c r="F75"/>
  <c r="Y62"/>
  <c r="H55"/>
  <c r="H20"/>
  <c r="M73"/>
  <c r="X41"/>
  <c r="L26"/>
  <c r="F21"/>
  <c r="Y77"/>
  <c r="J45"/>
  <c r="X14"/>
  <c r="D64"/>
  <c r="I71"/>
  <c r="S17"/>
  <c r="I28"/>
  <c r="U77"/>
  <c r="L86"/>
  <c r="J60"/>
  <c r="G46"/>
  <c r="G60"/>
  <c r="E3" i="4"/>
  <c r="Z31" i="3"/>
  <c r="C62"/>
  <c r="P16"/>
  <c r="F58"/>
  <c r="E12"/>
  <c r="S83"/>
  <c r="Q20"/>
  <c r="Q96"/>
  <c r="F69"/>
  <c r="U50"/>
  <c r="M8"/>
  <c r="U75"/>
  <c r="I84"/>
  <c r="H83"/>
  <c r="D46"/>
  <c r="D57"/>
  <c r="E6"/>
  <c r="C88"/>
  <c r="X59"/>
  <c r="U14"/>
  <c r="Y88"/>
  <c r="H75"/>
  <c r="W20"/>
  <c r="Q48"/>
  <c r="Q77"/>
  <c r="D10"/>
  <c r="O87"/>
  <c r="S16"/>
  <c r="H91"/>
  <c r="M51"/>
  <c r="Z27"/>
  <c r="W58"/>
  <c r="S74"/>
  <c r="I68"/>
  <c r="C32"/>
  <c r="J74"/>
  <c r="G45"/>
  <c r="W63"/>
  <c r="H77"/>
  <c r="G16"/>
  <c r="F57"/>
  <c r="D82"/>
  <c r="L54"/>
  <c r="Y48"/>
  <c r="X87"/>
  <c r="S84"/>
  <c r="T80"/>
  <c r="J99"/>
  <c r="W27"/>
  <c r="J63"/>
  <c r="O73"/>
  <c r="Z65"/>
  <c r="S6"/>
  <c r="Q69"/>
  <c r="I85"/>
  <c r="C75"/>
  <c r="V70"/>
  <c r="G28"/>
  <c r="E36"/>
  <c r="O15"/>
  <c r="P21"/>
  <c r="V89"/>
  <c r="X10"/>
  <c r="G35"/>
  <c r="L41"/>
  <c r="N95"/>
  <c r="M5"/>
  <c r="I60"/>
  <c r="C15"/>
  <c r="I10"/>
  <c r="H67"/>
  <c r="V19"/>
  <c r="Y78"/>
  <c r="F50"/>
  <c r="J90"/>
  <c r="L89"/>
  <c r="J43"/>
  <c r="O46"/>
  <c r="V15"/>
  <c r="E59"/>
  <c r="Q29"/>
  <c r="U20"/>
  <c r="L32"/>
  <c r="C42"/>
  <c r="L20"/>
  <c r="N61"/>
  <c r="L79"/>
  <c r="Q74"/>
  <c r="X91"/>
  <c r="I73"/>
  <c r="I37"/>
  <c r="X53"/>
  <c r="Z8"/>
  <c r="G59"/>
  <c r="Z69"/>
  <c r="T25"/>
  <c r="C26"/>
  <c r="U18"/>
  <c r="F59"/>
  <c r="V83"/>
  <c r="J70"/>
  <c r="N5"/>
  <c r="P86"/>
  <c r="Q73"/>
  <c r="L7"/>
  <c r="N64"/>
  <c r="U55"/>
  <c r="U83"/>
  <c r="V14"/>
  <c r="T6"/>
  <c r="I70"/>
  <c r="Z95"/>
  <c r="N96"/>
  <c r="V45"/>
  <c r="H66"/>
  <c r="M88"/>
  <c r="J59"/>
  <c r="J52"/>
  <c r="G43"/>
  <c r="J82"/>
  <c r="F60"/>
  <c r="S18"/>
  <c r="P37"/>
  <c r="S50"/>
  <c r="J77"/>
  <c r="L68"/>
  <c r="S35"/>
  <c r="S68"/>
  <c r="J83"/>
  <c r="F27"/>
  <c r="H36"/>
  <c r="L56"/>
  <c r="F98"/>
  <c r="D66"/>
  <c r="G75"/>
  <c r="V73"/>
  <c r="Q55"/>
  <c r="Q88"/>
  <c r="H12"/>
  <c r="Z22"/>
  <c r="C5"/>
  <c r="W13"/>
  <c r="E66"/>
  <c r="V6"/>
  <c r="Y31"/>
  <c r="N56"/>
  <c r="I98"/>
  <c r="M87"/>
  <c r="Y32"/>
  <c r="C11"/>
  <c r="F55"/>
  <c r="G78"/>
  <c r="P76"/>
  <c r="T88"/>
  <c r="N18"/>
  <c r="S41"/>
  <c r="M10"/>
  <c r="C76"/>
  <c r="J8"/>
  <c r="L73"/>
  <c r="L24"/>
  <c r="Q93"/>
  <c r="F33"/>
  <c r="D54"/>
  <c r="Z73"/>
  <c r="I33"/>
  <c r="G85"/>
  <c r="E57"/>
  <c r="W46"/>
  <c r="Y46"/>
  <c r="D99"/>
  <c r="M30"/>
  <c r="M49"/>
  <c r="C6"/>
  <c r="X33"/>
  <c r="Z63"/>
  <c r="J16"/>
  <c r="E61"/>
  <c r="N62"/>
  <c r="Q95"/>
  <c r="O37"/>
  <c r="G29"/>
  <c r="P98"/>
  <c r="G17"/>
  <c r="G22"/>
  <c r="J85"/>
  <c r="O47"/>
  <c r="D26"/>
  <c r="T98"/>
  <c r="L91"/>
  <c r="W4"/>
  <c r="T2"/>
  <c r="J93"/>
  <c r="F86"/>
  <c r="L82"/>
  <c r="Q42"/>
  <c r="O32"/>
  <c r="V40"/>
  <c r="H34"/>
  <c r="Z62"/>
  <c r="P78"/>
  <c r="L95"/>
  <c r="V67"/>
  <c r="S91"/>
  <c r="O9"/>
  <c r="C31"/>
  <c r="P13"/>
  <c r="N7"/>
  <c r="O79"/>
  <c r="D16"/>
  <c r="J46"/>
  <c r="O53"/>
  <c r="Q65"/>
  <c r="P75"/>
  <c r="F46"/>
  <c r="P25"/>
  <c r="I30"/>
  <c r="G24"/>
  <c r="I95"/>
  <c r="P69"/>
  <c r="U87"/>
  <c r="Z98"/>
  <c r="O63"/>
  <c r="N17"/>
  <c r="I18"/>
  <c r="V42"/>
  <c r="I26"/>
  <c r="W25"/>
  <c r="M13"/>
  <c r="O69"/>
  <c r="H41"/>
  <c r="J27"/>
  <c r="C60"/>
  <c r="H73"/>
  <c r="F26"/>
  <c r="E22"/>
  <c r="F66"/>
  <c r="C19"/>
  <c r="G54"/>
  <c r="G7"/>
  <c r="O38"/>
  <c r="M95"/>
  <c r="X38"/>
  <c r="M40"/>
  <c r="N44"/>
  <c r="G50"/>
  <c r="AM94" i="2" l="1"/>
  <c r="L10" i="9"/>
  <c r="L10" i="10"/>
  <c r="L10" i="11"/>
  <c r="L9" i="9"/>
  <c r="L9" i="10"/>
  <c r="L9" i="11"/>
  <c r="L10" i="27"/>
  <c r="L9" i="15"/>
  <c r="L10" i="8"/>
  <c r="L10" i="37"/>
  <c r="L9" i="18"/>
  <c r="L10" i="20"/>
  <c r="L10" i="39"/>
  <c r="L10" i="22"/>
  <c r="L9" i="20"/>
  <c r="L9" i="39"/>
  <c r="L9" i="22"/>
  <c r="L9" i="27"/>
  <c r="L10" i="24"/>
  <c r="L9" i="21"/>
  <c r="L10" i="38"/>
  <c r="L9"/>
  <c r="L10" i="18"/>
  <c r="L9" i="23"/>
  <c r="L10" i="28"/>
  <c r="L10" i="43"/>
  <c r="L10" i="12"/>
  <c r="L9" i="28"/>
  <c r="L9" i="43"/>
  <c r="L9" i="12"/>
  <c r="L9" i="17"/>
  <c r="L9" i="24"/>
  <c r="L9" i="8"/>
  <c r="L9" i="37"/>
  <c r="L10" i="25"/>
  <c r="L10" i="40"/>
  <c r="L10" i="16"/>
  <c r="L9" i="25"/>
  <c r="L9" i="40"/>
  <c r="L9" i="16"/>
  <c r="L10" i="17"/>
  <c r="L10" i="14"/>
  <c r="L9"/>
  <c r="L10" i="21"/>
  <c r="L10" i="15"/>
  <c r="L10" i="7"/>
  <c r="L9"/>
  <c r="L10" i="23"/>
  <c r="Q10" i="9"/>
  <c r="Q10" i="10"/>
  <c r="Q10" i="11"/>
  <c r="Q9" i="9"/>
  <c r="Q9" i="10"/>
  <c r="Q9" i="11"/>
  <c r="Q10" i="27"/>
  <c r="Q9" i="17"/>
  <c r="Q9" i="15"/>
  <c r="Q11" s="1"/>
  <c r="Q10" i="38"/>
  <c r="Q9" i="7"/>
  <c r="Q11" s="1"/>
  <c r="Q10" i="23"/>
  <c r="Q10" i="20"/>
  <c r="Q10" i="39"/>
  <c r="Q10" i="22"/>
  <c r="Q9" i="20"/>
  <c r="Q9" i="39"/>
  <c r="Q11" s="1"/>
  <c r="P1" s="1"/>
  <c r="Q9" i="22"/>
  <c r="Q10" i="17"/>
  <c r="Q9" i="14"/>
  <c r="Q10" i="15"/>
  <c r="Q10" i="7"/>
  <c r="Q9" i="37"/>
  <c r="Q10" i="28"/>
  <c r="Q10" i="43"/>
  <c r="Q10" i="12"/>
  <c r="Q9" i="28"/>
  <c r="Q9" i="43"/>
  <c r="Q9" i="12"/>
  <c r="Q10" i="14"/>
  <c r="Q10" i="21"/>
  <c r="Q9"/>
  <c r="Q10" i="8"/>
  <c r="Q9" i="38"/>
  <c r="Q10" i="37"/>
  <c r="Q9" i="18"/>
  <c r="Q10" i="25"/>
  <c r="Q10" i="40"/>
  <c r="Q10" i="16"/>
  <c r="Q9" i="25"/>
  <c r="Q9" i="40"/>
  <c r="Q11" s="1"/>
  <c r="Q9" i="16"/>
  <c r="Q9" i="27"/>
  <c r="Q11" s="1"/>
  <c r="Q10" i="24"/>
  <c r="Q9"/>
  <c r="Q9" i="8"/>
  <c r="Q10" i="18"/>
  <c r="Q9" i="23"/>
  <c r="AF83" i="3"/>
  <c r="AB83"/>
  <c r="AD83"/>
  <c r="AH83"/>
  <c r="AI83"/>
  <c r="AG83"/>
  <c r="AE83"/>
  <c r="AC83"/>
  <c r="AB10"/>
  <c r="AD10"/>
  <c r="AF10"/>
  <c r="AH10"/>
  <c r="AC10"/>
  <c r="AE10"/>
  <c r="AG10"/>
  <c r="AI10"/>
  <c r="AI82"/>
  <c r="AG82"/>
  <c r="AE82"/>
  <c r="AF82"/>
  <c r="AH82"/>
  <c r="AC82"/>
  <c r="AD82"/>
  <c r="AB82"/>
  <c r="AH98"/>
  <c r="AG98"/>
  <c r="AE98"/>
  <c r="AI98"/>
  <c r="AC98"/>
  <c r="AB98"/>
  <c r="AD98"/>
  <c r="AF98"/>
  <c r="AC34"/>
  <c r="AI34"/>
  <c r="AG34"/>
  <c r="AF34"/>
  <c r="AD34"/>
  <c r="AB34"/>
  <c r="AH34"/>
  <c r="AE34"/>
  <c r="AI37"/>
  <c r="AF37"/>
  <c r="AE37"/>
  <c r="AG37"/>
  <c r="AH37"/>
  <c r="AB37"/>
  <c r="AD37"/>
  <c r="AC37"/>
  <c r="AD31"/>
  <c r="AF31"/>
  <c r="AH31"/>
  <c r="AG31"/>
  <c r="AE31"/>
  <c r="AB31"/>
  <c r="AI31"/>
  <c r="AC31"/>
  <c r="AD72"/>
  <c r="AG72"/>
  <c r="AH72"/>
  <c r="AF72"/>
  <c r="AE72"/>
  <c r="AC72"/>
  <c r="AI72"/>
  <c r="AB72"/>
  <c r="AF4"/>
  <c r="AE4"/>
  <c r="AB4"/>
  <c r="AD4"/>
  <c r="AG4"/>
  <c r="AI4"/>
  <c r="AC4"/>
  <c r="AH4"/>
  <c r="AD21"/>
  <c r="AG21"/>
  <c r="AH21"/>
  <c r="AF21"/>
  <c r="AE21"/>
  <c r="AC21"/>
  <c r="AI21"/>
  <c r="AB21"/>
  <c r="AG12"/>
  <c r="AE12"/>
  <c r="AC12"/>
  <c r="AF12"/>
  <c r="AD12"/>
  <c r="AI12"/>
  <c r="AB12"/>
  <c r="AH12"/>
  <c r="AG6"/>
  <c r="AI6"/>
  <c r="AC6"/>
  <c r="AH6"/>
  <c r="AF6"/>
  <c r="AE6"/>
  <c r="AB6"/>
  <c r="AD6"/>
  <c r="AF84"/>
  <c r="AH84"/>
  <c r="AB84"/>
  <c r="AD84"/>
  <c r="AG84"/>
  <c r="AI84"/>
  <c r="AC84"/>
  <c r="AE84"/>
  <c r="AF25"/>
  <c r="AH25"/>
  <c r="AB25"/>
  <c r="AD25"/>
  <c r="AG25"/>
  <c r="AI25"/>
  <c r="AC25"/>
  <c r="AE25"/>
  <c r="AG8"/>
  <c r="AI8"/>
  <c r="AC8"/>
  <c r="AE8"/>
  <c r="AF8"/>
  <c r="AH8"/>
  <c r="AB8"/>
  <c r="AD8"/>
  <c r="AE35"/>
  <c r="AI35"/>
  <c r="AG35"/>
  <c r="AF35"/>
  <c r="AD35"/>
  <c r="AH35"/>
  <c r="AC35"/>
  <c r="AB35"/>
  <c r="AI69"/>
  <c r="AG69"/>
  <c r="AE69"/>
  <c r="AF69"/>
  <c r="AH69"/>
  <c r="AC69"/>
  <c r="AD69"/>
  <c r="AB69"/>
  <c r="AB96"/>
  <c r="AE96"/>
  <c r="AF96"/>
  <c r="AD96"/>
  <c r="AC96"/>
  <c r="AI96"/>
  <c r="AG96"/>
  <c r="AH96"/>
  <c r="AD42"/>
  <c r="AB42"/>
  <c r="AH42"/>
  <c r="AF42"/>
  <c r="AE42"/>
  <c r="AC42"/>
  <c r="AI42"/>
  <c r="AG42"/>
  <c r="AI70"/>
  <c r="AG70"/>
  <c r="AE70"/>
  <c r="AC70"/>
  <c r="AH70"/>
  <c r="AF70"/>
  <c r="AD70"/>
  <c r="AB70"/>
  <c r="AG2"/>
  <c r="AB2"/>
  <c r="AH2"/>
  <c r="AI2"/>
  <c r="AC2"/>
  <c r="AE2"/>
  <c r="AD2"/>
  <c r="AF2"/>
  <c r="AG48"/>
  <c r="AH48"/>
  <c r="AF48"/>
  <c r="AI48"/>
  <c r="AC48"/>
  <c r="AD48"/>
  <c r="AB48"/>
  <c r="AE48"/>
  <c r="AE85"/>
  <c r="AF85"/>
  <c r="AC85"/>
  <c r="AD85"/>
  <c r="AB85"/>
  <c r="AG85"/>
  <c r="AI85"/>
  <c r="AH85"/>
  <c r="AF13"/>
  <c r="AH13"/>
  <c r="AB13"/>
  <c r="AD13"/>
  <c r="AG13"/>
  <c r="AI13"/>
  <c r="AC13"/>
  <c r="AE13"/>
  <c r="AC16"/>
  <c r="AD16"/>
  <c r="AB16"/>
  <c r="AH16"/>
  <c r="AG16"/>
  <c r="AE16"/>
  <c r="AF16"/>
  <c r="AI16"/>
  <c r="AB17"/>
  <c r="AD17"/>
  <c r="AF17"/>
  <c r="AH17"/>
  <c r="AC17"/>
  <c r="AE17"/>
  <c r="AG17"/>
  <c r="AI17"/>
  <c r="AA2" i="4"/>
  <c r="AB2" s="1"/>
  <c r="AH9" i="3"/>
  <c r="AF9"/>
  <c r="AD9"/>
  <c r="AG9"/>
  <c r="AI9"/>
  <c r="AB9"/>
  <c r="AE9"/>
  <c r="AC9"/>
  <c r="AD46"/>
  <c r="AH46"/>
  <c r="AF46"/>
  <c r="AI46"/>
  <c r="AG46"/>
  <c r="AB46"/>
  <c r="AC46"/>
  <c r="AE46"/>
  <c r="AF44"/>
  <c r="AH44"/>
  <c r="AB44"/>
  <c r="AI44"/>
  <c r="AG44"/>
  <c r="AD44"/>
  <c r="AC44"/>
  <c r="AE44"/>
  <c r="AI28"/>
  <c r="AG28"/>
  <c r="AE28"/>
  <c r="AC28"/>
  <c r="AH28"/>
  <c r="AF28"/>
  <c r="AD28"/>
  <c r="AB28"/>
  <c r="AD71"/>
  <c r="AF71"/>
  <c r="AH71"/>
  <c r="AI71"/>
  <c r="AG71"/>
  <c r="AB71"/>
  <c r="AC71"/>
  <c r="AE71"/>
  <c r="AD47"/>
  <c r="AG47"/>
  <c r="AI47"/>
  <c r="AH47"/>
  <c r="AE47"/>
  <c r="AC47"/>
  <c r="AB47"/>
  <c r="AF47"/>
  <c r="I103"/>
  <c r="I106"/>
  <c r="I115"/>
  <c r="I113"/>
  <c r="I108"/>
  <c r="I110"/>
  <c r="I114"/>
  <c r="I107"/>
  <c r="I112"/>
  <c r="I109"/>
  <c r="I116"/>
  <c r="I105"/>
  <c r="I104"/>
  <c r="AF95"/>
  <c r="AH95"/>
  <c r="AE95"/>
  <c r="AI95"/>
  <c r="AG95"/>
  <c r="AD95"/>
  <c r="AC95"/>
  <c r="AB95"/>
  <c r="AB19"/>
  <c r="AI19"/>
  <c r="AD19"/>
  <c r="AH19"/>
  <c r="AC19"/>
  <c r="AE19"/>
  <c r="AG19"/>
  <c r="AF19"/>
  <c r="AC68"/>
  <c r="AD68"/>
  <c r="AG68"/>
  <c r="AE68"/>
  <c r="AB68"/>
  <c r="AH68"/>
  <c r="AF68"/>
  <c r="AI68"/>
  <c r="AE73"/>
  <c r="AF73"/>
  <c r="AI73"/>
  <c r="AG73"/>
  <c r="AD73"/>
  <c r="AB73"/>
  <c r="AH73"/>
  <c r="AC73"/>
  <c r="AE22"/>
  <c r="AF22"/>
  <c r="AI22"/>
  <c r="AC22"/>
  <c r="AB22"/>
  <c r="AH22"/>
  <c r="AD22"/>
  <c r="AG22"/>
  <c r="AE36"/>
  <c r="AF36"/>
  <c r="AC36"/>
  <c r="AB36"/>
  <c r="AD36"/>
  <c r="AG36"/>
  <c r="AH36"/>
  <c r="AI36"/>
  <c r="AC43"/>
  <c r="AI43"/>
  <c r="AH43"/>
  <c r="AD43"/>
  <c r="AF43"/>
  <c r="AE43"/>
  <c r="AG43"/>
  <c r="AB43"/>
  <c r="AG41"/>
  <c r="AH41"/>
  <c r="AC41"/>
  <c r="AI41"/>
  <c r="AF41"/>
  <c r="AD41"/>
  <c r="AB41"/>
  <c r="AE41"/>
  <c r="AH40"/>
  <c r="AF40"/>
  <c r="AD40"/>
  <c r="AG40"/>
  <c r="AI40"/>
  <c r="AB40"/>
  <c r="AE40"/>
  <c r="AC40"/>
  <c r="AF67"/>
  <c r="AB67"/>
  <c r="AH67"/>
  <c r="AD67"/>
  <c r="AE67"/>
  <c r="AC67"/>
  <c r="AI67"/>
  <c r="AG67"/>
  <c r="AH3"/>
  <c r="AE3"/>
  <c r="AB3"/>
  <c r="AC3"/>
  <c r="AF3"/>
  <c r="AI3"/>
  <c r="AG3"/>
  <c r="AD3"/>
  <c r="AB15"/>
  <c r="AI15"/>
  <c r="AF15"/>
  <c r="AH15"/>
  <c r="AC15"/>
  <c r="AE15"/>
  <c r="AG15"/>
  <c r="AD15"/>
  <c r="AG29"/>
  <c r="AB29"/>
  <c r="AF29"/>
  <c r="AE29"/>
  <c r="AC29"/>
  <c r="AH29"/>
  <c r="AD29"/>
  <c r="AI29"/>
  <c r="AE14"/>
  <c r="AF14"/>
  <c r="AI14"/>
  <c r="AC14"/>
  <c r="AD14"/>
  <c r="AG14"/>
  <c r="AH14"/>
  <c r="AB14"/>
  <c r="AF30"/>
  <c r="AI30"/>
  <c r="AB30"/>
  <c r="AC30"/>
  <c r="AG30"/>
  <c r="AE30"/>
  <c r="AH30"/>
  <c r="AD30"/>
  <c r="AF27"/>
  <c r="AE27"/>
  <c r="AB27"/>
  <c r="AD27"/>
  <c r="AG27"/>
  <c r="AI27"/>
  <c r="AC27"/>
  <c r="AH27"/>
  <c r="AE38"/>
  <c r="AF38"/>
  <c r="AH38"/>
  <c r="AG38"/>
  <c r="AD38"/>
  <c r="AC38"/>
  <c r="AB38"/>
  <c r="AI38"/>
  <c r="AH26"/>
  <c r="AG26"/>
  <c r="AF26"/>
  <c r="AD26"/>
  <c r="AE26"/>
  <c r="AC26"/>
  <c r="AI26"/>
  <c r="AB26"/>
  <c r="AC49"/>
  <c r="AD49"/>
  <c r="AG49"/>
  <c r="AE49"/>
  <c r="AB49"/>
  <c r="AF49"/>
  <c r="AH49"/>
  <c r="AI49"/>
  <c r="AI33"/>
  <c r="AB33"/>
  <c r="AD33"/>
  <c r="AE33"/>
  <c r="AH33"/>
  <c r="AF33"/>
  <c r="AG33"/>
  <c r="AC33"/>
  <c r="AD23"/>
  <c r="AG23"/>
  <c r="AI23"/>
  <c r="AH23"/>
  <c r="AE23"/>
  <c r="AC23"/>
  <c r="AB23"/>
  <c r="AF23"/>
  <c r="AB11"/>
  <c r="AC11"/>
  <c r="AH11"/>
  <c r="AI11"/>
  <c r="AE11"/>
  <c r="AD11"/>
  <c r="AF11"/>
  <c r="AG11"/>
  <c r="AB45"/>
  <c r="AH45"/>
  <c r="AG45"/>
  <c r="AE45"/>
  <c r="AC45"/>
  <c r="AF45"/>
  <c r="AD45"/>
  <c r="AI45"/>
  <c r="AE66"/>
  <c r="AF66"/>
  <c r="AI66"/>
  <c r="AG66"/>
  <c r="AD66"/>
  <c r="AB66"/>
  <c r="AH66"/>
  <c r="AC66"/>
  <c r="AC99"/>
  <c r="AD99"/>
  <c r="AG99"/>
  <c r="AI99"/>
  <c r="AB99"/>
  <c r="AH99"/>
  <c r="AF99"/>
  <c r="AE99"/>
  <c r="AF32"/>
  <c r="AH32"/>
  <c r="AC32"/>
  <c r="AG32"/>
  <c r="AE32"/>
  <c r="AI32"/>
  <c r="AB32"/>
  <c r="AD32"/>
  <c r="AH20"/>
  <c r="AG20"/>
  <c r="AB20"/>
  <c r="AF20"/>
  <c r="AC20"/>
  <c r="AI20"/>
  <c r="AD20"/>
  <c r="AE20"/>
  <c r="AC5"/>
  <c r="AD5"/>
  <c r="AG5"/>
  <c r="AF5"/>
  <c r="AB5"/>
  <c r="AH5"/>
  <c r="AI5"/>
  <c r="AE5"/>
  <c r="AG24"/>
  <c r="AH24"/>
  <c r="AB24"/>
  <c r="AF24"/>
  <c r="AD24"/>
  <c r="AE24"/>
  <c r="AI24"/>
  <c r="AC24"/>
  <c r="AF39"/>
  <c r="AH39"/>
  <c r="AE39"/>
  <c r="AI39"/>
  <c r="AG39"/>
  <c r="AD39"/>
  <c r="AC39"/>
  <c r="AB39"/>
  <c r="AH18"/>
  <c r="AB18"/>
  <c r="AD18"/>
  <c r="AE18"/>
  <c r="AI18"/>
  <c r="AF18"/>
  <c r="AG18"/>
  <c r="AC18"/>
  <c r="AI7"/>
  <c r="AG7"/>
  <c r="AE7"/>
  <c r="AH7"/>
  <c r="AB7"/>
  <c r="AC7"/>
  <c r="AF7"/>
  <c r="AD7"/>
  <c r="R15" i="2"/>
  <c r="F77"/>
  <c r="J87" s="1"/>
  <c r="F81"/>
  <c r="J88" s="1"/>
  <c r="F78"/>
  <c r="F89" s="1"/>
  <c r="F82"/>
  <c r="F90" s="1"/>
  <c r="J79"/>
  <c r="AJ79" s="1"/>
  <c r="J76"/>
  <c r="AJ76" s="1"/>
  <c r="J77"/>
  <c r="J78"/>
  <c r="J83"/>
  <c r="J80"/>
  <c r="J81"/>
  <c r="J82"/>
  <c r="F76"/>
  <c r="AI76" s="1"/>
  <c r="F79"/>
  <c r="AI79" s="1"/>
  <c r="F83"/>
  <c r="J90" s="1"/>
  <c r="F80"/>
  <c r="F88" s="1"/>
  <c r="AI103"/>
  <c r="B99" i="3"/>
  <c r="B76" i="4"/>
  <c r="AC76" s="1"/>
  <c r="AD98" i="2"/>
  <c r="B75" i="4"/>
  <c r="AC75" s="1"/>
  <c r="B98" i="3"/>
  <c r="AD101" i="2"/>
  <c r="AK103"/>
  <c r="AK99"/>
  <c r="AM99" s="1"/>
  <c r="K74" i="4"/>
  <c r="K75" s="1"/>
  <c r="K76" s="1"/>
  <c r="I74"/>
  <c r="I75" s="1"/>
  <c r="I76" s="1"/>
  <c r="T74"/>
  <c r="T75" s="1"/>
  <c r="T76" s="1"/>
  <c r="U74"/>
  <c r="U75" s="1"/>
  <c r="U76" s="1"/>
  <c r="J5"/>
  <c r="X5"/>
  <c r="C3"/>
  <c r="D4"/>
  <c r="F3"/>
  <c r="G5"/>
  <c r="E4"/>
  <c r="F4"/>
  <c r="P1" i="27" l="1"/>
  <c r="P1" i="7"/>
  <c r="Q11" i="38"/>
  <c r="P1" i="15"/>
  <c r="P1" i="40"/>
  <c r="Q11" i="18"/>
  <c r="Q11" i="14"/>
  <c r="P1" s="1"/>
  <c r="Q11" i="16"/>
  <c r="P1" s="1"/>
  <c r="Q11" i="22"/>
  <c r="P1" s="1"/>
  <c r="Q11" i="28"/>
  <c r="Q11" i="23"/>
  <c r="P1" s="1"/>
  <c r="Q11" i="25"/>
  <c r="Q11" i="21"/>
  <c r="Q11" i="20"/>
  <c r="P1" s="1"/>
  <c r="Q11" i="17"/>
  <c r="Q11" i="43"/>
  <c r="Q11" i="9"/>
  <c r="Q11" i="24"/>
  <c r="Q11" i="12"/>
  <c r="P1" s="1"/>
  <c r="Q11" i="10"/>
  <c r="Q11" i="8"/>
  <c r="Q11" i="11"/>
  <c r="Q11" i="37"/>
  <c r="AR2" i="4"/>
  <c r="AW2"/>
  <c r="AX2"/>
  <c r="AZ2"/>
  <c r="AH2"/>
  <c r="AT2"/>
  <c r="AU2"/>
  <c r="AY2"/>
  <c r="B85" i="3"/>
  <c r="AD90" i="2"/>
  <c r="B70" i="4"/>
  <c r="AC70" s="1"/>
  <c r="AE88" i="2"/>
  <c r="AK88"/>
  <c r="AM88" s="1"/>
  <c r="AD88"/>
  <c r="B68" i="4"/>
  <c r="AC68" s="1"/>
  <c r="B83" i="3"/>
  <c r="AE90" i="2"/>
  <c r="AK90"/>
  <c r="AM90" s="1"/>
  <c r="AD89"/>
  <c r="B69" i="4"/>
  <c r="AC69" s="1"/>
  <c r="AK89" i="2"/>
  <c r="AM89" s="1"/>
  <c r="B84" i="3"/>
  <c r="AE87" i="2"/>
  <c r="B82" i="3"/>
  <c r="AK87" i="2"/>
  <c r="B67" i="4"/>
  <c r="AC67" s="1"/>
  <c r="AV2"/>
  <c r="AS2"/>
  <c r="AO2"/>
  <c r="I118" i="3"/>
  <c r="AQ2" i="4"/>
  <c r="BA2"/>
  <c r="AP2"/>
  <c r="AK64" i="2"/>
  <c r="AD83"/>
  <c r="B73" i="3"/>
  <c r="B65" i="4"/>
  <c r="AC65" s="1"/>
  <c r="B66" i="3"/>
  <c r="AK57" i="2"/>
  <c r="AD76"/>
  <c r="B58" i="4"/>
  <c r="AC58" s="1"/>
  <c r="AK70" i="2"/>
  <c r="AE81"/>
  <c r="AK81"/>
  <c r="AM81" s="1"/>
  <c r="AK72"/>
  <c r="AE83"/>
  <c r="AK83"/>
  <c r="AM83" s="1"/>
  <c r="AK66"/>
  <c r="AK77"/>
  <c r="AM77" s="1"/>
  <c r="AE77"/>
  <c r="AK68"/>
  <c r="AK79"/>
  <c r="AM79" s="1"/>
  <c r="AE79"/>
  <c r="B60" i="4"/>
  <c r="AC60" s="1"/>
  <c r="AK59" i="2"/>
  <c r="B68" i="3"/>
  <c r="AD78" i="2"/>
  <c r="B67" i="3"/>
  <c r="AD77" i="2"/>
  <c r="AK58"/>
  <c r="B59" i="4"/>
  <c r="AC59" s="1"/>
  <c r="B62"/>
  <c r="AC62" s="1"/>
  <c r="B70" i="3"/>
  <c r="AD80" i="2"/>
  <c r="AK61"/>
  <c r="B61" i="4"/>
  <c r="AC61" s="1"/>
  <c r="AD79" i="2"/>
  <c r="B69" i="3"/>
  <c r="AK60" i="2"/>
  <c r="AK71"/>
  <c r="AE82"/>
  <c r="AK82"/>
  <c r="AM82" s="1"/>
  <c r="AK69"/>
  <c r="AE80"/>
  <c r="AK80"/>
  <c r="AM80" s="1"/>
  <c r="AK67"/>
  <c r="AK78"/>
  <c r="AM78" s="1"/>
  <c r="AE78"/>
  <c r="AK65"/>
  <c r="AK76"/>
  <c r="AE76"/>
  <c r="B72" i="3"/>
  <c r="AK63" i="2"/>
  <c r="AD82"/>
  <c r="B64" i="4"/>
  <c r="AC64" s="1"/>
  <c r="B63"/>
  <c r="AC63" s="1"/>
  <c r="AK62" i="2"/>
  <c r="AD81"/>
  <c r="B71" i="3"/>
  <c r="AM103" i="2"/>
  <c r="F104"/>
  <c r="AL2" i="4"/>
  <c r="AK2"/>
  <c r="AF2"/>
  <c r="AM2"/>
  <c r="AI2"/>
  <c r="AD2"/>
  <c r="AJ2"/>
  <c r="AG2"/>
  <c r="AN2"/>
  <c r="AE2"/>
  <c r="M74"/>
  <c r="M75" s="1"/>
  <c r="M76" s="1"/>
  <c r="W74"/>
  <c r="W75" s="1"/>
  <c r="W76" s="1"/>
  <c r="O74"/>
  <c r="O75" s="1"/>
  <c r="O76" s="1"/>
  <c r="H74"/>
  <c r="H75" s="1"/>
  <c r="H76" s="1"/>
  <c r="P74"/>
  <c r="P75" s="1"/>
  <c r="P76" s="1"/>
  <c r="L74"/>
  <c r="L75" s="1"/>
  <c r="L76" s="1"/>
  <c r="Q74"/>
  <c r="Q75" s="1"/>
  <c r="Q76" s="1"/>
  <c r="N74"/>
  <c r="N75" s="1"/>
  <c r="N76" s="1"/>
  <c r="V74"/>
  <c r="V75" s="1"/>
  <c r="V76" s="1"/>
  <c r="Z74"/>
  <c r="Z75" s="1"/>
  <c r="Z76" s="1"/>
  <c r="Y74"/>
  <c r="Y75" s="1"/>
  <c r="Y76" s="1"/>
  <c r="S74"/>
  <c r="S75" s="1"/>
  <c r="S76" s="1"/>
  <c r="R74"/>
  <c r="R75" s="1"/>
  <c r="R76" s="1"/>
  <c r="U100" i="3"/>
  <c r="D5" i="4"/>
  <c r="D6" s="1"/>
  <c r="Q100" i="3"/>
  <c r="Y100"/>
  <c r="G6" i="4"/>
  <c r="G7" s="1"/>
  <c r="G8"/>
  <c r="F100" i="3"/>
  <c r="E100"/>
  <c r="E5" i="4"/>
  <c r="N100" i="3"/>
  <c r="G100"/>
  <c r="C100"/>
  <c r="S100"/>
  <c r="L100"/>
  <c r="Z100"/>
  <c r="D7" i="4"/>
  <c r="T100" i="3"/>
  <c r="W100"/>
  <c r="X100"/>
  <c r="J100"/>
  <c r="D100"/>
  <c r="V100"/>
  <c r="O100"/>
  <c r="H100"/>
  <c r="J6" i="4"/>
  <c r="F5"/>
  <c r="M100" i="3"/>
  <c r="X6" i="4"/>
  <c r="F6"/>
  <c r="C4"/>
  <c r="P100" i="3"/>
  <c r="I100"/>
  <c r="P1" i="38" l="1"/>
  <c r="P1" i="10"/>
  <c r="P1" i="25"/>
  <c r="P1" i="8"/>
  <c r="P1" i="21"/>
  <c r="P1" i="11"/>
  <c r="P1" i="18"/>
  <c r="P1" i="24"/>
  <c r="P1" i="28"/>
  <c r="P1" i="37"/>
  <c r="P1" i="17"/>
  <c r="P1" i="9"/>
  <c r="P1" i="43"/>
  <c r="F12" i="9"/>
  <c r="F12" i="10"/>
  <c r="F12" i="11"/>
  <c r="F12" i="8"/>
  <c r="F12" i="18"/>
  <c r="F12" i="40"/>
  <c r="F12" i="20"/>
  <c r="F12" i="39"/>
  <c r="F12" i="22"/>
  <c r="F12" i="15"/>
  <c r="F12" i="7"/>
  <c r="F12" i="25"/>
  <c r="F12" i="28"/>
  <c r="F12" i="43"/>
  <c r="F12" i="12"/>
  <c r="F12" i="21"/>
  <c r="F12" i="37"/>
  <c r="F12" i="16"/>
  <c r="F12" i="27"/>
  <c r="F12" i="17"/>
  <c r="F12" i="14"/>
  <c r="F12" i="24"/>
  <c r="F12" i="38"/>
  <c r="F12" i="23"/>
  <c r="L5" i="8"/>
  <c r="L6" i="28"/>
  <c r="L4" i="9"/>
  <c r="L5" i="38"/>
  <c r="L6" i="43"/>
  <c r="L4" i="10"/>
  <c r="L5" i="7"/>
  <c r="L6" i="12"/>
  <c r="L4" i="11"/>
  <c r="L3" i="9"/>
  <c r="L3" i="10"/>
  <c r="L3" i="11"/>
  <c r="L4" i="20"/>
  <c r="L5" i="23"/>
  <c r="L3" i="17"/>
  <c r="L5" i="20"/>
  <c r="L4" i="15"/>
  <c r="L3"/>
  <c r="L5" i="24"/>
  <c r="L4" i="16"/>
  <c r="L3" i="7"/>
  <c r="L5" i="40"/>
  <c r="L6" i="15"/>
  <c r="L3" i="23"/>
  <c r="L6" i="8"/>
  <c r="L4" i="27"/>
  <c r="L5" i="9"/>
  <c r="L6" i="38"/>
  <c r="L4" i="17"/>
  <c r="L5" i="10"/>
  <c r="L6" i="7"/>
  <c r="L4" i="14"/>
  <c r="L5" i="11"/>
  <c r="L3" i="20"/>
  <c r="L3" i="39"/>
  <c r="L3" i="22"/>
  <c r="L5" i="18"/>
  <c r="L6" i="14"/>
  <c r="L3"/>
  <c r="L4" i="24"/>
  <c r="L4" i="21"/>
  <c r="L5" i="22"/>
  <c r="L4" i="40"/>
  <c r="L5" i="15"/>
  <c r="L3" i="38"/>
  <c r="L6" i="24"/>
  <c r="L5" i="16"/>
  <c r="L3" i="37"/>
  <c r="L4"/>
  <c r="L5" i="27"/>
  <c r="L6" i="9"/>
  <c r="L4" i="18"/>
  <c r="L5" i="17"/>
  <c r="L6" i="10"/>
  <c r="L4" i="23"/>
  <c r="L5" i="14"/>
  <c r="L6" i="11"/>
  <c r="L3" i="28"/>
  <c r="L3" i="43"/>
  <c r="L3" i="12"/>
  <c r="L5" i="37"/>
  <c r="L6" i="17"/>
  <c r="L4" i="22"/>
  <c r="L6" i="37"/>
  <c r="L5" i="39"/>
  <c r="L3" i="21"/>
  <c r="L4" i="25"/>
  <c r="L6" i="39"/>
  <c r="L3" i="8"/>
  <c r="L5" i="25"/>
  <c r="L4" i="43"/>
  <c r="L3" i="18"/>
  <c r="L6" i="25"/>
  <c r="L4" i="8"/>
  <c r="L5" i="28"/>
  <c r="L6" i="40"/>
  <c r="L4" i="38"/>
  <c r="L5" i="43"/>
  <c r="L6" i="16"/>
  <c r="L4" i="7"/>
  <c r="L5" i="12"/>
  <c r="L3" i="25"/>
  <c r="L3" i="40"/>
  <c r="L3" i="16"/>
  <c r="L6" i="27"/>
  <c r="L4" i="39"/>
  <c r="L3" i="27"/>
  <c r="L6" i="18"/>
  <c r="L6" i="23"/>
  <c r="L3" i="24"/>
  <c r="L6" i="20"/>
  <c r="L5" i="21"/>
  <c r="L6" i="22"/>
  <c r="L4" i="28"/>
  <c r="L6" i="21"/>
  <c r="L4" i="12"/>
  <c r="AM87" i="2"/>
  <c r="L11" i="24"/>
  <c r="L11" i="10"/>
  <c r="L11" i="9"/>
  <c r="H8" i="11"/>
  <c r="H10"/>
  <c r="H6"/>
  <c r="H4"/>
  <c r="H3" i="40"/>
  <c r="H5"/>
  <c r="H7"/>
  <c r="H8"/>
  <c r="H8" i="43"/>
  <c r="H3"/>
  <c r="H5"/>
  <c r="H7"/>
  <c r="H5" i="37"/>
  <c r="H6" i="38"/>
  <c r="H9" i="39"/>
  <c r="H10" i="37"/>
  <c r="H9" i="38"/>
  <c r="H5" i="39"/>
  <c r="H3" i="37"/>
  <c r="H4" i="38"/>
  <c r="H7" i="39"/>
  <c r="H8" i="37"/>
  <c r="H7" i="38"/>
  <c r="H10" i="39"/>
  <c r="H6" i="22"/>
  <c r="H3"/>
  <c r="H4" i="28"/>
  <c r="H3" i="25"/>
  <c r="H4" i="14"/>
  <c r="H3" i="18"/>
  <c r="H4" i="15"/>
  <c r="H3" i="27"/>
  <c r="H4" i="20"/>
  <c r="H3" i="12"/>
  <c r="H4" i="16"/>
  <c r="H3" i="10"/>
  <c r="H4" i="24"/>
  <c r="H3" i="17"/>
  <c r="H4" i="9"/>
  <c r="H3" i="23"/>
  <c r="H4" i="8"/>
  <c r="H4" i="21"/>
  <c r="H5" i="28"/>
  <c r="H6" i="25"/>
  <c r="H5" i="14"/>
  <c r="H6" i="18"/>
  <c r="H5" i="15"/>
  <c r="H6" i="27"/>
  <c r="H5" i="20"/>
  <c r="H6" i="12"/>
  <c r="H5" i="16"/>
  <c r="H6" i="10"/>
  <c r="H5" i="24"/>
  <c r="H6" i="17"/>
  <c r="H5" i="9"/>
  <c r="H6" i="23"/>
  <c r="H5" i="8"/>
  <c r="H5" i="21"/>
  <c r="H4" i="22"/>
  <c r="H3" i="28"/>
  <c r="H9" i="22"/>
  <c r="H10" i="28"/>
  <c r="H9" i="25"/>
  <c r="H10" i="14"/>
  <c r="H9" i="18"/>
  <c r="H10" i="15"/>
  <c r="H9" i="27"/>
  <c r="H10" i="20"/>
  <c r="H9" i="12"/>
  <c r="H10" i="16"/>
  <c r="H9" i="10"/>
  <c r="H10" i="24"/>
  <c r="H9" i="17"/>
  <c r="H10" i="9"/>
  <c r="H9" i="23"/>
  <c r="H10" i="8"/>
  <c r="H10" i="21"/>
  <c r="H4" i="25"/>
  <c r="H3" i="14"/>
  <c r="H4" i="18"/>
  <c r="H3" i="15"/>
  <c r="H4" i="27"/>
  <c r="H3" i="20"/>
  <c r="H4" i="12"/>
  <c r="H3" i="16"/>
  <c r="H4" i="10"/>
  <c r="H3" i="24"/>
  <c r="H4" i="17"/>
  <c r="H3" i="9"/>
  <c r="H4" i="23"/>
  <c r="H3" i="8"/>
  <c r="H3" i="21"/>
  <c r="H8" i="7"/>
  <c r="H4"/>
  <c r="H10"/>
  <c r="H6"/>
  <c r="H9" i="11"/>
  <c r="H7"/>
  <c r="H5"/>
  <c r="H3"/>
  <c r="H4" i="40"/>
  <c r="H6"/>
  <c r="H9"/>
  <c r="H10"/>
  <c r="H10" i="43"/>
  <c r="H4"/>
  <c r="H6"/>
  <c r="H9"/>
  <c r="H9" i="37"/>
  <c r="H10" i="38"/>
  <c r="H6" i="37"/>
  <c r="H5" i="38"/>
  <c r="H8" i="39"/>
  <c r="H4"/>
  <c r="H7" i="37"/>
  <c r="H8" i="38"/>
  <c r="H4" i="37"/>
  <c r="H3" i="38"/>
  <c r="H6" i="39"/>
  <c r="H3"/>
  <c r="H10" i="22"/>
  <c r="H7"/>
  <c r="H8" i="28"/>
  <c r="H7" i="25"/>
  <c r="H8" i="14"/>
  <c r="H7" i="18"/>
  <c r="H8" i="15"/>
  <c r="H7" i="27"/>
  <c r="H8" i="20"/>
  <c r="H7" i="12"/>
  <c r="H8" i="16"/>
  <c r="H7" i="10"/>
  <c r="H8" i="24"/>
  <c r="H7" i="17"/>
  <c r="H8" i="9"/>
  <c r="H7" i="23"/>
  <c r="H8" i="8"/>
  <c r="H8" i="21"/>
  <c r="H9" i="28"/>
  <c r="H10" i="25"/>
  <c r="H9" i="14"/>
  <c r="H10" i="18"/>
  <c r="H9" i="15"/>
  <c r="H10" i="27"/>
  <c r="H9" i="20"/>
  <c r="H10" i="12"/>
  <c r="H9" i="16"/>
  <c r="H10" i="10"/>
  <c r="H9" i="24"/>
  <c r="H10" i="17"/>
  <c r="H9" i="9"/>
  <c r="H10" i="23"/>
  <c r="H9" i="8"/>
  <c r="H9" i="21"/>
  <c r="H8" i="22"/>
  <c r="H5"/>
  <c r="H6" i="28"/>
  <c r="H5" i="25"/>
  <c r="H6" i="14"/>
  <c r="H5" i="18"/>
  <c r="H6" i="15"/>
  <c r="H5" i="27"/>
  <c r="H6" i="20"/>
  <c r="H5" i="12"/>
  <c r="H6" i="16"/>
  <c r="H5" i="10"/>
  <c r="H6" i="24"/>
  <c r="H5" i="17"/>
  <c r="H6" i="9"/>
  <c r="H5" i="23"/>
  <c r="H6" i="8"/>
  <c r="H6" i="21"/>
  <c r="H7" i="28"/>
  <c r="H8" i="25"/>
  <c r="H7" i="14"/>
  <c r="H8" i="18"/>
  <c r="H7" i="15"/>
  <c r="H8" i="27"/>
  <c r="H7" i="20"/>
  <c r="H8" i="12"/>
  <c r="H7" i="16"/>
  <c r="H8" i="10"/>
  <c r="H7" i="24"/>
  <c r="H8" i="17"/>
  <c r="H7" i="9"/>
  <c r="H8" i="23"/>
  <c r="H7" i="8"/>
  <c r="H7" i="21"/>
  <c r="H7" i="7"/>
  <c r="H3"/>
  <c r="H9"/>
  <c r="H5"/>
  <c r="AM76" i="2"/>
  <c r="C8" i="11"/>
  <c r="C9"/>
  <c r="C10"/>
  <c r="C7"/>
  <c r="C5"/>
  <c r="C3"/>
  <c r="E6"/>
  <c r="E4"/>
  <c r="E9" i="43"/>
  <c r="E9" i="40"/>
  <c r="E4"/>
  <c r="C8"/>
  <c r="E4" i="43"/>
  <c r="C8"/>
  <c r="C3"/>
  <c r="C5"/>
  <c r="C7"/>
  <c r="E10"/>
  <c r="E5" i="40"/>
  <c r="E3" i="43"/>
  <c r="E7"/>
  <c r="C4" i="40"/>
  <c r="C6"/>
  <c r="E8"/>
  <c r="E10" i="39"/>
  <c r="E10" i="38"/>
  <c r="C8" i="37"/>
  <c r="C9" i="39"/>
  <c r="C8"/>
  <c r="C9" i="38"/>
  <c r="C8"/>
  <c r="C10" i="37"/>
  <c r="C9"/>
  <c r="C3" i="38"/>
  <c r="C5"/>
  <c r="C7"/>
  <c r="C5" i="37"/>
  <c r="E3" i="39"/>
  <c r="E5"/>
  <c r="E7"/>
  <c r="E4" i="37"/>
  <c r="E6"/>
  <c r="C3" i="39"/>
  <c r="C5"/>
  <c r="C7"/>
  <c r="C6" i="37"/>
  <c r="E4" i="38"/>
  <c r="E6"/>
  <c r="E6" i="21"/>
  <c r="E5" i="8"/>
  <c r="C10" i="9"/>
  <c r="E5" i="17"/>
  <c r="E9" i="10"/>
  <c r="C4"/>
  <c r="C7" i="16"/>
  <c r="C3" i="20"/>
  <c r="E9" i="15"/>
  <c r="C3"/>
  <c r="C7" i="25"/>
  <c r="C7" i="7"/>
  <c r="C5" i="9"/>
  <c r="E8" i="12"/>
  <c r="E6" i="18"/>
  <c r="E10" i="7"/>
  <c r="C7" i="17"/>
  <c r="C3" i="14"/>
  <c r="C9" i="20"/>
  <c r="C6" i="15"/>
  <c r="E4" i="9"/>
  <c r="C8" i="16"/>
  <c r="E9" i="21"/>
  <c r="C3"/>
  <c r="C7" i="9"/>
  <c r="E5" i="10"/>
  <c r="C6" i="16"/>
  <c r="C7" i="27"/>
  <c r="C9" i="14"/>
  <c r="C6" i="25"/>
  <c r="E8" i="7"/>
  <c r="C4" i="16"/>
  <c r="C4" i="25"/>
  <c r="C7" i="23"/>
  <c r="E8" i="17"/>
  <c r="E8" i="15"/>
  <c r="E5" i="25"/>
  <c r="C6" i="23"/>
  <c r="E4" i="16"/>
  <c r="C3" i="22"/>
  <c r="E10" i="17"/>
  <c r="E7" i="12"/>
  <c r="E10" i="15"/>
  <c r="C10" i="14"/>
  <c r="E3" i="25"/>
  <c r="C8" i="21"/>
  <c r="E3" i="8"/>
  <c r="E10" i="9"/>
  <c r="C6"/>
  <c r="E3" i="17"/>
  <c r="C8" i="10"/>
  <c r="E10" i="16"/>
  <c r="C5"/>
  <c r="C10" i="20"/>
  <c r="C9" i="27"/>
  <c r="C8" i="15"/>
  <c r="E7" i="18"/>
  <c r="E10" i="25"/>
  <c r="C5"/>
  <c r="E10" i="22"/>
  <c r="C6"/>
  <c r="C9" i="7"/>
  <c r="E3" i="10"/>
  <c r="C10" i="7"/>
  <c r="C7" i="20"/>
  <c r="C7" i="15"/>
  <c r="C3" i="7"/>
  <c r="E4" i="24"/>
  <c r="C6" i="20"/>
  <c r="C5" i="23"/>
  <c r="E7" i="17"/>
  <c r="C5" i="20"/>
  <c r="E5" i="7"/>
  <c r="C9" i="21"/>
  <c r="C5"/>
  <c r="C4" i="23"/>
  <c r="E6" i="17"/>
  <c r="E8" i="24"/>
  <c r="C5" i="10"/>
  <c r="C4" i="20"/>
  <c r="E6" i="15"/>
  <c r="E8" i="18"/>
  <c r="E3" i="22"/>
  <c r="C6" i="7"/>
  <c r="E5" i="28"/>
  <c r="C7" i="22"/>
  <c r="E8" i="8"/>
  <c r="C5" i="22"/>
  <c r="C10" i="10"/>
  <c r="C3" i="16"/>
  <c r="E9" i="25"/>
  <c r="C4" i="22"/>
  <c r="C7" i="21"/>
  <c r="C6" i="17"/>
  <c r="E4" i="18"/>
  <c r="E7" i="8"/>
  <c r="C9" i="10"/>
  <c r="E4" i="27"/>
  <c r="C8" i="22"/>
  <c r="C4" i="24"/>
  <c r="E8" i="9"/>
  <c r="C9" i="24"/>
  <c r="C5" i="18"/>
  <c r="E10" i="28"/>
  <c r="E3" i="23"/>
  <c r="C7" i="8"/>
  <c r="E9"/>
  <c r="E7" i="20"/>
  <c r="E5" i="23"/>
  <c r="E8" i="10"/>
  <c r="C6" i="18"/>
  <c r="E9" i="23"/>
  <c r="E8" i="11"/>
  <c r="E9"/>
  <c r="E10"/>
  <c r="C6"/>
  <c r="C4"/>
  <c r="E7"/>
  <c r="E5"/>
  <c r="E3"/>
  <c r="C9" i="43"/>
  <c r="C9" i="40"/>
  <c r="E6"/>
  <c r="C10"/>
  <c r="E6" i="43"/>
  <c r="C10"/>
  <c r="C4"/>
  <c r="C6"/>
  <c r="E8"/>
  <c r="E3" i="40"/>
  <c r="E7"/>
  <c r="E5" i="43"/>
  <c r="C3" i="40"/>
  <c r="C5"/>
  <c r="C7"/>
  <c r="E10"/>
  <c r="C10" i="39"/>
  <c r="C10" i="38"/>
  <c r="E9" i="39"/>
  <c r="E8"/>
  <c r="E9" i="38"/>
  <c r="E8"/>
  <c r="E10" i="37"/>
  <c r="E9"/>
  <c r="E8"/>
  <c r="C4" i="38"/>
  <c r="C6"/>
  <c r="C3" i="37"/>
  <c r="C7"/>
  <c r="E4" i="39"/>
  <c r="E6"/>
  <c r="E3" i="37"/>
  <c r="E5"/>
  <c r="E7"/>
  <c r="C4" i="39"/>
  <c r="C6"/>
  <c r="C4" i="37"/>
  <c r="E3" i="38"/>
  <c r="E5"/>
  <c r="E7"/>
  <c r="C4" i="21"/>
  <c r="C3" i="23"/>
  <c r="E9" i="17"/>
  <c r="C3"/>
  <c r="E6" i="10"/>
  <c r="E8" i="16"/>
  <c r="E5" i="12"/>
  <c r="E5" i="15"/>
  <c r="C10" i="22"/>
  <c r="E6" i="16"/>
  <c r="E8" i="28"/>
  <c r="E6" i="27"/>
  <c r="E5"/>
  <c r="C6" i="10"/>
  <c r="E5" i="21"/>
  <c r="E4" i="17"/>
  <c r="E4" i="12"/>
  <c r="C6" i="14"/>
  <c r="E7" i="9"/>
  <c r="E7" i="22"/>
  <c r="E5" i="24"/>
  <c r="E3" i="7"/>
  <c r="E4" i="25"/>
  <c r="C5" i="17"/>
  <c r="C5" i="15"/>
  <c r="E4" i="22"/>
  <c r="C10" i="23"/>
  <c r="C8" i="17"/>
  <c r="E4" i="10"/>
  <c r="E3" i="12"/>
  <c r="C6" i="27"/>
  <c r="C5" i="14"/>
  <c r="E3" i="28"/>
  <c r="E9" i="7"/>
  <c r="E6" i="25"/>
  <c r="E9" i="27"/>
  <c r="C9" i="23"/>
  <c r="C4" i="7"/>
  <c r="E10" i="10"/>
  <c r="E10" i="21"/>
  <c r="E6" i="8"/>
  <c r="C4" i="17"/>
  <c r="E6" i="12"/>
  <c r="C4" i="15"/>
  <c r="E6" i="7"/>
  <c r="E7"/>
  <c r="E7" i="27"/>
  <c r="E9" i="16"/>
  <c r="E9" i="22"/>
  <c r="E5" i="9"/>
  <c r="E5" i="22"/>
  <c r="E3" i="16"/>
  <c r="C5" i="7"/>
  <c r="E4" i="14"/>
  <c r="E5"/>
  <c r="C8" i="20"/>
  <c r="E6" i="23"/>
  <c r="C8" i="18"/>
  <c r="C7"/>
  <c r="E9" i="24"/>
  <c r="C9" i="17"/>
  <c r="C3" i="18"/>
  <c r="C7" i="28"/>
  <c r="C3"/>
  <c r="E10" i="8"/>
  <c r="E9" i="12"/>
  <c r="C9" i="8"/>
  <c r="C10" i="17"/>
  <c r="C8" i="28"/>
  <c r="C9" i="12"/>
  <c r="E10" i="23"/>
  <c r="C4" i="18"/>
  <c r="C4" i="12"/>
  <c r="C9" i="25"/>
  <c r="C10" i="12"/>
  <c r="E9" i="20"/>
  <c r="C10" i="18"/>
  <c r="C9" i="15"/>
  <c r="C7" i="12"/>
  <c r="E8" i="21"/>
  <c r="C9" i="28"/>
  <c r="C9" i="18"/>
  <c r="E4" i="23"/>
  <c r="E3" i="14"/>
  <c r="C5" i="28"/>
  <c r="C3" i="12"/>
  <c r="C8"/>
  <c r="C8" i="14"/>
  <c r="E6"/>
  <c r="C5" i="12"/>
  <c r="C10" i="8"/>
  <c r="C10" i="27"/>
  <c r="C7" i="14"/>
  <c r="E3" i="21"/>
  <c r="C5" i="27"/>
  <c r="E9" i="9"/>
  <c r="E6" i="22"/>
  <c r="E4" i="7"/>
  <c r="E7" i="15"/>
  <c r="E4" i="8"/>
  <c r="C3" i="10"/>
  <c r="E4" i="15"/>
  <c r="E4" i="28"/>
  <c r="C4" i="14"/>
  <c r="E6" i="9"/>
  <c r="E5" i="18"/>
  <c r="C3" i="9"/>
  <c r="C6" i="21"/>
  <c r="C8" i="27"/>
  <c r="C8" i="25"/>
  <c r="E4" i="21"/>
  <c r="C9" i="9"/>
  <c r="E7" i="24"/>
  <c r="E7" i="16"/>
  <c r="E10" i="27"/>
  <c r="E3" i="15"/>
  <c r="E7" i="25"/>
  <c r="C9" i="22"/>
  <c r="E6" i="24"/>
  <c r="E5" i="16"/>
  <c r="C3" i="25"/>
  <c r="C7" i="10"/>
  <c r="C8" i="9"/>
  <c r="E3" i="18"/>
  <c r="E7" i="21"/>
  <c r="E3" i="9"/>
  <c r="E7" i="10"/>
  <c r="E3" i="27"/>
  <c r="E6" i="28"/>
  <c r="E8" i="25"/>
  <c r="C8" i="7"/>
  <c r="C4" i="9"/>
  <c r="C4" i="27"/>
  <c r="C10" i="21"/>
  <c r="C3" i="27"/>
  <c r="E3" i="24"/>
  <c r="E7" i="28"/>
  <c r="C8" i="23"/>
  <c r="E7" i="14"/>
  <c r="E9"/>
  <c r="E8" i="20"/>
  <c r="C4" i="28"/>
  <c r="C5" i="8"/>
  <c r="C5" i="24"/>
  <c r="C8"/>
  <c r="E10"/>
  <c r="C10"/>
  <c r="C6"/>
  <c r="E6" i="20"/>
  <c r="E10"/>
  <c r="C4" i="8"/>
  <c r="C6" i="12"/>
  <c r="C6" i="28"/>
  <c r="E3" i="20"/>
  <c r="C10" i="28"/>
  <c r="C6" i="8"/>
  <c r="E9" i="28"/>
  <c r="C3" i="24"/>
  <c r="C9" i="16"/>
  <c r="E10" i="18"/>
  <c r="E7" i="23"/>
  <c r="C3" i="8"/>
  <c r="C8"/>
  <c r="C10" i="16"/>
  <c r="E5" i="20"/>
  <c r="E8" i="14"/>
  <c r="E8" i="23"/>
  <c r="E8" i="27"/>
  <c r="E9" i="18"/>
  <c r="C10" i="15"/>
  <c r="E8" i="22"/>
  <c r="C10" i="25"/>
  <c r="E10" i="14"/>
  <c r="E4" i="20"/>
  <c r="E10" i="12"/>
  <c r="C7" i="24"/>
  <c r="F115" i="3"/>
  <c r="F110"/>
  <c r="F108"/>
  <c r="F103"/>
  <c r="F106"/>
  <c r="F109"/>
  <c r="F113"/>
  <c r="F116"/>
  <c r="F104"/>
  <c r="F105"/>
  <c r="F107"/>
  <c r="F112"/>
  <c r="F114"/>
  <c r="AA3" i="4"/>
  <c r="X7"/>
  <c r="G9"/>
  <c r="E6"/>
  <c r="D8"/>
  <c r="J7"/>
  <c r="J8" s="1"/>
  <c r="J9" s="1"/>
  <c r="F7"/>
  <c r="C5"/>
  <c r="L7" i="38" l="1"/>
  <c r="L11" i="15"/>
  <c r="L11" i="14"/>
  <c r="L11" i="37"/>
  <c r="L11" i="25"/>
  <c r="L7" i="11"/>
  <c r="L11" i="23"/>
  <c r="L11" i="12"/>
  <c r="L11" i="38"/>
  <c r="L11" i="16"/>
  <c r="L7" i="37"/>
  <c r="L11" i="22"/>
  <c r="L11" i="21"/>
  <c r="L7" i="7"/>
  <c r="L11" i="8"/>
  <c r="L7" i="9"/>
  <c r="L11" i="28"/>
  <c r="L7" i="8"/>
  <c r="L11" i="17"/>
  <c r="L11" i="20"/>
  <c r="L7" i="10"/>
  <c r="L7" i="18"/>
  <c r="L7" i="24"/>
  <c r="L7" i="21"/>
  <c r="L7" i="14"/>
  <c r="L11" i="7"/>
  <c r="L11" i="39"/>
  <c r="L7" i="40"/>
  <c r="L7" i="43"/>
  <c r="L7" i="16"/>
  <c r="L11" i="27"/>
  <c r="L7" i="15"/>
  <c r="L7" i="23"/>
  <c r="L7" i="12"/>
  <c r="L7" i="20"/>
  <c r="L7" i="39"/>
  <c r="L11" i="40"/>
  <c r="L11" i="43"/>
  <c r="L11" i="11"/>
  <c r="L7" i="22"/>
  <c r="L7" i="27"/>
  <c r="L7" i="25"/>
  <c r="L7" i="17"/>
  <c r="L11" i="18"/>
  <c r="L7" i="28"/>
  <c r="H11" i="39"/>
  <c r="H11" i="38"/>
  <c r="H11" i="11"/>
  <c r="E11" i="27"/>
  <c r="E11" i="25"/>
  <c r="E11" i="9"/>
  <c r="E11" i="10"/>
  <c r="E11" i="8"/>
  <c r="E11" i="24"/>
  <c r="E11" i="12"/>
  <c r="E11" i="28"/>
  <c r="E11" i="18"/>
  <c r="E11" i="17"/>
  <c r="E11" i="23"/>
  <c r="E11" i="37"/>
  <c r="E11" i="16"/>
  <c r="E11" i="22"/>
  <c r="E11" i="21"/>
  <c r="E11" i="14"/>
  <c r="E11" i="15"/>
  <c r="E11" i="20"/>
  <c r="E11" i="38"/>
  <c r="E11" i="11"/>
  <c r="H11" i="8"/>
  <c r="H11" i="9"/>
  <c r="H11" i="24"/>
  <c r="H11" i="16"/>
  <c r="H11" i="20"/>
  <c r="H11" i="15"/>
  <c r="H11" i="14"/>
  <c r="H11" i="37"/>
  <c r="H11" i="40"/>
  <c r="E11"/>
  <c r="E11" i="7"/>
  <c r="E11" i="39"/>
  <c r="E11" i="43"/>
  <c r="H11" i="7"/>
  <c r="H11" i="21"/>
  <c r="H11" i="28"/>
  <c r="H11" i="23"/>
  <c r="H11" i="17"/>
  <c r="H11" i="10"/>
  <c r="H11" i="12"/>
  <c r="H11" i="27"/>
  <c r="H11" i="18"/>
  <c r="H11" i="25"/>
  <c r="H11" i="22"/>
  <c r="H11" i="43"/>
  <c r="G104" i="3"/>
  <c r="M104" s="1"/>
  <c r="G113"/>
  <c r="M113" s="1"/>
  <c r="G106"/>
  <c r="M106" s="1"/>
  <c r="G108"/>
  <c r="M108" s="1"/>
  <c r="G115"/>
  <c r="M115" s="1"/>
  <c r="G114"/>
  <c r="M114" s="1"/>
  <c r="G107"/>
  <c r="M107" s="1"/>
  <c r="G112"/>
  <c r="M112" s="1"/>
  <c r="G105"/>
  <c r="M105" s="1"/>
  <c r="G116"/>
  <c r="M116" s="1"/>
  <c r="G109"/>
  <c r="M109" s="1"/>
  <c r="G110"/>
  <c r="M110" s="1"/>
  <c r="G103"/>
  <c r="M103" s="1"/>
  <c r="F118"/>
  <c r="AO3" i="4"/>
  <c r="AP3"/>
  <c r="AQ3"/>
  <c r="AX3"/>
  <c r="AS3"/>
  <c r="AY3"/>
  <c r="AZ3"/>
  <c r="AW3"/>
  <c r="AR3"/>
  <c r="AT3"/>
  <c r="AU3"/>
  <c r="BA3"/>
  <c r="AV3"/>
  <c r="AE3"/>
  <c r="AK3"/>
  <c r="AH3"/>
  <c r="AD3"/>
  <c r="AF3"/>
  <c r="AG3"/>
  <c r="AA4"/>
  <c r="AI3"/>
  <c r="AN3"/>
  <c r="AB3"/>
  <c r="AJ3"/>
  <c r="AL3"/>
  <c r="AM3"/>
  <c r="C6"/>
  <c r="C7" s="1"/>
  <c r="C8" s="1"/>
  <c r="J10"/>
  <c r="F8"/>
  <c r="D9"/>
  <c r="E7"/>
  <c r="E8" s="1"/>
  <c r="E9" s="1"/>
  <c r="E10" s="1"/>
  <c r="E11"/>
  <c r="G10"/>
  <c r="G11" s="1"/>
  <c r="G12" s="1"/>
  <c r="X8"/>
  <c r="L7" i="6" l="1"/>
  <c r="L11"/>
  <c r="E11"/>
  <c r="H11"/>
  <c r="M118" i="3"/>
  <c r="G118"/>
  <c r="AQ4" i="4"/>
  <c r="AP4"/>
  <c r="AS4"/>
  <c r="AX4"/>
  <c r="AV4"/>
  <c r="AW4"/>
  <c r="AO4"/>
  <c r="AY4"/>
  <c r="AZ4"/>
  <c r="BA4"/>
  <c r="AU4"/>
  <c r="AR4"/>
  <c r="AT4"/>
  <c r="AJ4"/>
  <c r="AA5"/>
  <c r="AP5" s="1"/>
  <c r="AL4"/>
  <c r="AD4"/>
  <c r="AI4"/>
  <c r="AB4"/>
  <c r="AM4"/>
  <c r="AE4"/>
  <c r="AN4"/>
  <c r="AF4"/>
  <c r="AK4"/>
  <c r="AG4"/>
  <c r="AH4"/>
  <c r="E12"/>
  <c r="X9"/>
  <c r="F9"/>
  <c r="C9"/>
  <c r="G13"/>
  <c r="J11"/>
  <c r="D10"/>
  <c r="AO5" l="1"/>
  <c r="AS5"/>
  <c r="AY5"/>
  <c r="AU5"/>
  <c r="AT5"/>
  <c r="AV5"/>
  <c r="AQ5"/>
  <c r="BA5"/>
  <c r="AR5"/>
  <c r="AZ5"/>
  <c r="AX5"/>
  <c r="AW5"/>
  <c r="AE5"/>
  <c r="AJ5"/>
  <c r="AA6"/>
  <c r="AP6" s="1"/>
  <c r="AD5"/>
  <c r="AL5"/>
  <c r="AF5"/>
  <c r="AI5"/>
  <c r="AM5"/>
  <c r="AN5"/>
  <c r="AK5"/>
  <c r="AH5"/>
  <c r="AB5"/>
  <c r="AG5"/>
  <c r="X10"/>
  <c r="F10"/>
  <c r="C10"/>
  <c r="C11" s="1"/>
  <c r="C12" s="1"/>
  <c r="J12"/>
  <c r="J13" s="1"/>
  <c r="J14" s="1"/>
  <c r="E13"/>
  <c r="D11"/>
  <c r="G14"/>
  <c r="AO6" l="1"/>
  <c r="BA6"/>
  <c r="AS6"/>
  <c r="AU6"/>
  <c r="AY6"/>
  <c r="AQ6"/>
  <c r="AW6"/>
  <c r="AX6"/>
  <c r="AR6"/>
  <c r="AV6"/>
  <c r="AZ6"/>
  <c r="AT6"/>
  <c r="AA7"/>
  <c r="AF6"/>
  <c r="AI6"/>
  <c r="AH6"/>
  <c r="AE6"/>
  <c r="AG6"/>
  <c r="AD6"/>
  <c r="AB6"/>
  <c r="AJ6"/>
  <c r="AN6"/>
  <c r="AM6"/>
  <c r="AK6"/>
  <c r="AL6"/>
  <c r="E14"/>
  <c r="X11"/>
  <c r="X12" s="1"/>
  <c r="X13" s="1"/>
  <c r="F11"/>
  <c r="C13"/>
  <c r="C14" s="1"/>
  <c r="C15" s="1"/>
  <c r="C16" s="1"/>
  <c r="J15"/>
  <c r="G15"/>
  <c r="D12"/>
  <c r="X14"/>
  <c r="AT7" l="1"/>
  <c r="AP7"/>
  <c r="AO7"/>
  <c r="AR7"/>
  <c r="AU7"/>
  <c r="AW7"/>
  <c r="BA7"/>
  <c r="AS7"/>
  <c r="AY7"/>
  <c r="AV7"/>
  <c r="AZ7"/>
  <c r="AQ7"/>
  <c r="AX7"/>
  <c r="AN7"/>
  <c r="AG7"/>
  <c r="AE7"/>
  <c r="AA8"/>
  <c r="AH7"/>
  <c r="AB7"/>
  <c r="AJ7"/>
  <c r="AI7"/>
  <c r="AD7"/>
  <c r="AK7"/>
  <c r="AF7"/>
  <c r="AM7"/>
  <c r="AL7"/>
  <c r="C17"/>
  <c r="X15"/>
  <c r="F12"/>
  <c r="F13" s="1"/>
  <c r="F14" s="1"/>
  <c r="F15" s="1"/>
  <c r="J16"/>
  <c r="E15"/>
  <c r="G16"/>
  <c r="D13"/>
  <c r="AQ8" l="1"/>
  <c r="AP8"/>
  <c r="AT8"/>
  <c r="AX8"/>
  <c r="AZ8"/>
  <c r="AO8"/>
  <c r="AY8"/>
  <c r="AR8"/>
  <c r="AU8"/>
  <c r="AS8"/>
  <c r="BA8"/>
  <c r="AW8"/>
  <c r="AV8"/>
  <c r="AA9"/>
  <c r="AG8"/>
  <c r="AH8"/>
  <c r="AB8"/>
  <c r="AL8"/>
  <c r="AD8"/>
  <c r="AN8"/>
  <c r="AJ8"/>
  <c r="AM8"/>
  <c r="AK8"/>
  <c r="AI8"/>
  <c r="AF8"/>
  <c r="AE8"/>
  <c r="G17"/>
  <c r="D14"/>
  <c r="C18"/>
  <c r="X16"/>
  <c r="J17"/>
  <c r="F16"/>
  <c r="E16"/>
  <c r="AV9" l="1"/>
  <c r="AP9"/>
  <c r="AQ9"/>
  <c r="AO9"/>
  <c r="AW9"/>
  <c r="AU9"/>
  <c r="AY9"/>
  <c r="AR9"/>
  <c r="AT9"/>
  <c r="BA9"/>
  <c r="AS9"/>
  <c r="AX9"/>
  <c r="AZ9"/>
  <c r="AN9"/>
  <c r="AA10"/>
  <c r="AP10" s="1"/>
  <c r="AG9"/>
  <c r="AL9"/>
  <c r="AI9"/>
  <c r="AM9"/>
  <c r="AE9"/>
  <c r="AB9"/>
  <c r="AH9"/>
  <c r="AF9"/>
  <c r="AD9"/>
  <c r="AK9"/>
  <c r="AJ9"/>
  <c r="J18"/>
  <c r="F17"/>
  <c r="G18"/>
  <c r="D15"/>
  <c r="X17"/>
  <c r="E17"/>
  <c r="C19"/>
  <c r="AO10" l="1"/>
  <c r="AS10"/>
  <c r="BA10"/>
  <c r="AT10"/>
  <c r="AW10"/>
  <c r="AU10"/>
  <c r="AY10"/>
  <c r="AR10"/>
  <c r="AQ10"/>
  <c r="AZ10"/>
  <c r="AV10"/>
  <c r="AX10"/>
  <c r="AA11"/>
  <c r="AP11" s="1"/>
  <c r="AF10"/>
  <c r="AH10"/>
  <c r="AK10"/>
  <c r="AL10"/>
  <c r="AD10"/>
  <c r="AI10"/>
  <c r="AB10"/>
  <c r="AM10"/>
  <c r="AJ10"/>
  <c r="AN10"/>
  <c r="AE10"/>
  <c r="AG10"/>
  <c r="E18"/>
  <c r="X18"/>
  <c r="F18"/>
  <c r="D16"/>
  <c r="D17" s="1"/>
  <c r="D18" s="1"/>
  <c r="G19"/>
  <c r="C20"/>
  <c r="J19"/>
  <c r="D19"/>
  <c r="AA13" l="1"/>
  <c r="AQ13" s="1"/>
  <c r="AO11"/>
  <c r="AS11"/>
  <c r="AY11"/>
  <c r="AR11"/>
  <c r="BA11"/>
  <c r="AU11"/>
  <c r="AW11"/>
  <c r="AT11"/>
  <c r="AV11"/>
  <c r="AQ11"/>
  <c r="AZ11"/>
  <c r="AX11"/>
  <c r="AA12"/>
  <c r="AG11"/>
  <c r="AE11"/>
  <c r="AH11"/>
  <c r="AF11"/>
  <c r="AJ11"/>
  <c r="AK11"/>
  <c r="AL11"/>
  <c r="AM11"/>
  <c r="AI11"/>
  <c r="AN11"/>
  <c r="AB11"/>
  <c r="AD11"/>
  <c r="AA14"/>
  <c r="AQ14" s="1"/>
  <c r="C21"/>
  <c r="E19"/>
  <c r="G20"/>
  <c r="J20"/>
  <c r="D20"/>
  <c r="X19"/>
  <c r="F19"/>
  <c r="AF13" l="1"/>
  <c r="AG13"/>
  <c r="AH13"/>
  <c r="AL13"/>
  <c r="AI13"/>
  <c r="AD13"/>
  <c r="AB13"/>
  <c r="AY14"/>
  <c r="AR14"/>
  <c r="AP14"/>
  <c r="AO14"/>
  <c r="AS14"/>
  <c r="AU14"/>
  <c r="BA14"/>
  <c r="AW14"/>
  <c r="AV13"/>
  <c r="AN13"/>
  <c r="AJ13"/>
  <c r="AM13"/>
  <c r="AK13"/>
  <c r="AE13"/>
  <c r="AV14"/>
  <c r="AT14"/>
  <c r="AX14"/>
  <c r="AZ13"/>
  <c r="AZ14"/>
  <c r="AO13"/>
  <c r="AP13"/>
  <c r="AS13"/>
  <c r="AU13"/>
  <c r="AR13"/>
  <c r="BA13"/>
  <c r="AW13"/>
  <c r="AY13"/>
  <c r="AT13"/>
  <c r="AX13"/>
  <c r="AX12"/>
  <c r="AP12"/>
  <c r="AZ12"/>
  <c r="AO12"/>
  <c r="AR12"/>
  <c r="AT12"/>
  <c r="AS12"/>
  <c r="AV12"/>
  <c r="AY12"/>
  <c r="BA12"/>
  <c r="AW12"/>
  <c r="AU12"/>
  <c r="AQ12"/>
  <c r="AH12"/>
  <c r="AF12"/>
  <c r="AB12"/>
  <c r="AL12"/>
  <c r="AK12"/>
  <c r="AE12"/>
  <c r="AJ12"/>
  <c r="AD12"/>
  <c r="AI12"/>
  <c r="AN12"/>
  <c r="AM12"/>
  <c r="AG12"/>
  <c r="AK14"/>
  <c r="AA15"/>
  <c r="AR15" s="1"/>
  <c r="AE14"/>
  <c r="AJ14"/>
  <c r="AG14"/>
  <c r="AL14"/>
  <c r="AM14"/>
  <c r="AD14"/>
  <c r="AN14"/>
  <c r="AB14"/>
  <c r="AF14"/>
  <c r="AH14"/>
  <c r="AI14"/>
  <c r="C22"/>
  <c r="G21"/>
  <c r="J21"/>
  <c r="X20"/>
  <c r="F20"/>
  <c r="D21"/>
  <c r="E20"/>
  <c r="AO15" l="1"/>
  <c r="AP15"/>
  <c r="AW15"/>
  <c r="AY15"/>
  <c r="BA15"/>
  <c r="AV15"/>
  <c r="AQ15"/>
  <c r="AU15"/>
  <c r="AZ15"/>
  <c r="AX15"/>
  <c r="AS15"/>
  <c r="AT15"/>
  <c r="AE15"/>
  <c r="AG15"/>
  <c r="AM15"/>
  <c r="AD15"/>
  <c r="AK15"/>
  <c r="AH15"/>
  <c r="AB15"/>
  <c r="AF15"/>
  <c r="AI15"/>
  <c r="AJ15"/>
  <c r="AA16"/>
  <c r="AN15"/>
  <c r="AL15"/>
  <c r="X21"/>
  <c r="G22"/>
  <c r="D22"/>
  <c r="J22"/>
  <c r="F21"/>
  <c r="E21"/>
  <c r="C23"/>
  <c r="AO16" l="1"/>
  <c r="AP16"/>
  <c r="AW16"/>
  <c r="AY16"/>
  <c r="AZ16"/>
  <c r="AX16"/>
  <c r="AS16"/>
  <c r="AV16"/>
  <c r="BA16"/>
  <c r="AU16"/>
  <c r="AQ16"/>
  <c r="AT16"/>
  <c r="AR16"/>
  <c r="AN16"/>
  <c r="AL16"/>
  <c r="AK16"/>
  <c r="AI16"/>
  <c r="AF16"/>
  <c r="AA17"/>
  <c r="AJ16"/>
  <c r="AD16"/>
  <c r="AM16"/>
  <c r="AG16"/>
  <c r="AE16"/>
  <c r="AH16"/>
  <c r="AB16"/>
  <c r="AA18"/>
  <c r="X22"/>
  <c r="G23"/>
  <c r="D23"/>
  <c r="E22"/>
  <c r="C24"/>
  <c r="J23"/>
  <c r="F22"/>
  <c r="AO18" l="1"/>
  <c r="AP18"/>
  <c r="AZ18"/>
  <c r="AX18"/>
  <c r="AY18"/>
  <c r="AW18"/>
  <c r="AU18"/>
  <c r="BA18"/>
  <c r="AV18"/>
  <c r="AQ18"/>
  <c r="AR18"/>
  <c r="AS18"/>
  <c r="AT18"/>
  <c r="AO17"/>
  <c r="AP17"/>
  <c r="AZ17"/>
  <c r="AY17"/>
  <c r="AW17"/>
  <c r="AX17"/>
  <c r="AQ17"/>
  <c r="AU17"/>
  <c r="AS17"/>
  <c r="BA17"/>
  <c r="AV17"/>
  <c r="AT17"/>
  <c r="AR17"/>
  <c r="AG17"/>
  <c r="AH17"/>
  <c r="AE17"/>
  <c r="AI17"/>
  <c r="AN17"/>
  <c r="AB17"/>
  <c r="AM17"/>
  <c r="AK17"/>
  <c r="AF17"/>
  <c r="AH18"/>
  <c r="AB18"/>
  <c r="AK18"/>
  <c r="AJ17"/>
  <c r="AL17"/>
  <c r="AD17"/>
  <c r="AA19"/>
  <c r="AQ19" s="1"/>
  <c r="AN18"/>
  <c r="AL18"/>
  <c r="AI18"/>
  <c r="AF18"/>
  <c r="AG18"/>
  <c r="AD18"/>
  <c r="AJ18"/>
  <c r="AM18"/>
  <c r="AE18"/>
  <c r="D24"/>
  <c r="J24"/>
  <c r="E23"/>
  <c r="F23"/>
  <c r="C25"/>
  <c r="G24"/>
  <c r="X23"/>
  <c r="AT19" l="1"/>
  <c r="AP19"/>
  <c r="AO19"/>
  <c r="AU19"/>
  <c r="AZ19"/>
  <c r="AY19"/>
  <c r="AV19"/>
  <c r="AW19"/>
  <c r="AR19"/>
  <c r="AX19"/>
  <c r="BA19"/>
  <c r="AS19"/>
  <c r="AI19"/>
  <c r="AN19"/>
  <c r="AD19"/>
  <c r="AA20"/>
  <c r="AM19"/>
  <c r="AF19"/>
  <c r="AL19"/>
  <c r="AE19"/>
  <c r="AJ19"/>
  <c r="AB19"/>
  <c r="AG19"/>
  <c r="AH19"/>
  <c r="AK19"/>
  <c r="E24"/>
  <c r="F24"/>
  <c r="J25"/>
  <c r="X24"/>
  <c r="C26"/>
  <c r="D25"/>
  <c r="G25"/>
  <c r="AO20" l="1"/>
  <c r="AP20"/>
  <c r="AU20"/>
  <c r="AR20"/>
  <c r="AY20"/>
  <c r="AZ20"/>
  <c r="AQ20"/>
  <c r="AV20"/>
  <c r="AX20"/>
  <c r="BA20"/>
  <c r="AW20"/>
  <c r="AS20"/>
  <c r="AT20"/>
  <c r="AF20"/>
  <c r="AA24"/>
  <c r="AR24" s="1"/>
  <c r="AA23"/>
  <c r="AA21"/>
  <c r="AI20"/>
  <c r="AM20"/>
  <c r="AK20"/>
  <c r="AD20"/>
  <c r="AJ20"/>
  <c r="AN20"/>
  <c r="AG20"/>
  <c r="AB20"/>
  <c r="AE20"/>
  <c r="AL20"/>
  <c r="AH20"/>
  <c r="J26"/>
  <c r="E25"/>
  <c r="F25"/>
  <c r="X25"/>
  <c r="G26"/>
  <c r="D26"/>
  <c r="C27"/>
  <c r="AA25" l="1"/>
  <c r="AP25" s="1"/>
  <c r="AP23"/>
  <c r="AO23"/>
  <c r="AU23"/>
  <c r="AS23"/>
  <c r="BA23"/>
  <c r="AV23"/>
  <c r="AR23"/>
  <c r="AW23"/>
  <c r="AX23"/>
  <c r="AQ23"/>
  <c r="AO24"/>
  <c r="AP24"/>
  <c r="AV24"/>
  <c r="AW24"/>
  <c r="AX24"/>
  <c r="AS24"/>
  <c r="AU24"/>
  <c r="AT23"/>
  <c r="AZ23"/>
  <c r="AY23"/>
  <c r="AT24"/>
  <c r="BA24"/>
  <c r="AO21"/>
  <c r="AP21"/>
  <c r="AU21"/>
  <c r="AR21"/>
  <c r="AQ21"/>
  <c r="AY21"/>
  <c r="AZ21"/>
  <c r="BA21"/>
  <c r="AW21"/>
  <c r="AV21"/>
  <c r="AX21"/>
  <c r="AS21"/>
  <c r="AT21"/>
  <c r="AY24"/>
  <c r="AZ24"/>
  <c r="AQ24"/>
  <c r="AL24"/>
  <c r="AL23"/>
  <c r="AA22"/>
  <c r="AE22" s="1"/>
  <c r="AB24"/>
  <c r="AI24"/>
  <c r="AD24"/>
  <c r="AJ24"/>
  <c r="AM24"/>
  <c r="AE24"/>
  <c r="AN24"/>
  <c r="AK24"/>
  <c r="AH24"/>
  <c r="AF24"/>
  <c r="AJ23"/>
  <c r="AI23"/>
  <c r="AE23"/>
  <c r="AD23"/>
  <c r="AM23"/>
  <c r="AN23"/>
  <c r="AK23"/>
  <c r="AH23"/>
  <c r="AF23"/>
  <c r="AK21"/>
  <c r="AJ21"/>
  <c r="AG21"/>
  <c r="AH21"/>
  <c r="AI21"/>
  <c r="AE21"/>
  <c r="AM21"/>
  <c r="AN21"/>
  <c r="AL21"/>
  <c r="AB21"/>
  <c r="AD21"/>
  <c r="AF21"/>
  <c r="F26"/>
  <c r="E26"/>
  <c r="G27"/>
  <c r="C28"/>
  <c r="D27"/>
  <c r="X26"/>
  <c r="J27"/>
  <c r="AD25" l="1"/>
  <c r="AB25"/>
  <c r="BA25"/>
  <c r="AJ25"/>
  <c r="AK25"/>
  <c r="AF25"/>
  <c r="AL25"/>
  <c r="AH25"/>
  <c r="AI25"/>
  <c r="AM25"/>
  <c r="AE25"/>
  <c r="AR25"/>
  <c r="AT25"/>
  <c r="AV25"/>
  <c r="AS25"/>
  <c r="AO25"/>
  <c r="AA26"/>
  <c r="AH26" s="1"/>
  <c r="AU25"/>
  <c r="AX25"/>
  <c r="AW25"/>
  <c r="AK22"/>
  <c r="AB23"/>
  <c r="AI22"/>
  <c r="AL22"/>
  <c r="AF22"/>
  <c r="AJ22"/>
  <c r="AG22"/>
  <c r="AH22"/>
  <c r="AM22"/>
  <c r="AD22"/>
  <c r="AN22"/>
  <c r="AP22"/>
  <c r="AO22"/>
  <c r="AU22"/>
  <c r="BA22"/>
  <c r="AR22"/>
  <c r="AY22"/>
  <c r="AQ22"/>
  <c r="AZ22"/>
  <c r="AX22"/>
  <c r="AW22"/>
  <c r="AV22"/>
  <c r="AT22"/>
  <c r="AS22"/>
  <c r="AZ25"/>
  <c r="AY25"/>
  <c r="AQ25"/>
  <c r="AB22"/>
  <c r="AN25"/>
  <c r="AG23"/>
  <c r="F27"/>
  <c r="J28"/>
  <c r="G28"/>
  <c r="G29" s="1"/>
  <c r="G30" s="1"/>
  <c r="E27"/>
  <c r="C29"/>
  <c r="C30" s="1"/>
  <c r="C31" s="1"/>
  <c r="C32"/>
  <c r="D28"/>
  <c r="X27"/>
  <c r="G31"/>
  <c r="AM26" l="1"/>
  <c r="AE26"/>
  <c r="AX26"/>
  <c r="AB26"/>
  <c r="AR26"/>
  <c r="AW26"/>
  <c r="AF26"/>
  <c r="BA26"/>
  <c r="AV26"/>
  <c r="AP26"/>
  <c r="AL26"/>
  <c r="AI26"/>
  <c r="AT26"/>
  <c r="AD26"/>
  <c r="AK26"/>
  <c r="AS26"/>
  <c r="AU26"/>
  <c r="AJ26"/>
  <c r="AA27"/>
  <c r="AD27" s="1"/>
  <c r="AO26"/>
  <c r="AG26"/>
  <c r="AZ26"/>
  <c r="AQ26"/>
  <c r="AY26"/>
  <c r="AN26"/>
  <c r="AG24"/>
  <c r="D29"/>
  <c r="G32"/>
  <c r="J29"/>
  <c r="E28"/>
  <c r="C33"/>
  <c r="X28"/>
  <c r="F28"/>
  <c r="F29" s="1"/>
  <c r="BA27" l="1"/>
  <c r="AB27"/>
  <c r="AJ27"/>
  <c r="AX27"/>
  <c r="AE27"/>
  <c r="AS27"/>
  <c r="AM27"/>
  <c r="AI27"/>
  <c r="AK27"/>
  <c r="AR27"/>
  <c r="AG27"/>
  <c r="AL27"/>
  <c r="AU27"/>
  <c r="AA28"/>
  <c r="AD28" s="1"/>
  <c r="AT27"/>
  <c r="AV27"/>
  <c r="AO27"/>
  <c r="AF27"/>
  <c r="AH27"/>
  <c r="AY27"/>
  <c r="AW27"/>
  <c r="AP27"/>
  <c r="AZ27"/>
  <c r="AQ27"/>
  <c r="AN27"/>
  <c r="AG25"/>
  <c r="J30"/>
  <c r="G33"/>
  <c r="F30"/>
  <c r="E29"/>
  <c r="D30"/>
  <c r="X29"/>
  <c r="C34"/>
  <c r="AB28" l="1"/>
  <c r="AP28"/>
  <c r="AE28"/>
  <c r="AA29"/>
  <c r="AD29" s="1"/>
  <c r="AM28"/>
  <c r="BA28"/>
  <c r="AH28"/>
  <c r="AI28"/>
  <c r="AV28"/>
  <c r="AS28"/>
  <c r="AU28"/>
  <c r="AN28"/>
  <c r="AG28"/>
  <c r="AR28"/>
  <c r="AK28"/>
  <c r="AL28"/>
  <c r="AW28"/>
  <c r="AX28"/>
  <c r="AO28"/>
  <c r="AF28"/>
  <c r="AJ28"/>
  <c r="AY28"/>
  <c r="AT28"/>
  <c r="AZ28"/>
  <c r="AQ28"/>
  <c r="F31"/>
  <c r="X30"/>
  <c r="J31"/>
  <c r="G34"/>
  <c r="E30"/>
  <c r="E31" s="1"/>
  <c r="E32" s="1"/>
  <c r="E33" s="1"/>
  <c r="E34"/>
  <c r="C35"/>
  <c r="D31"/>
  <c r="AJ29" l="1"/>
  <c r="AT29"/>
  <c r="AP29"/>
  <c r="AL29"/>
  <c r="AZ29"/>
  <c r="AB29"/>
  <c r="AE29"/>
  <c r="AK29"/>
  <c r="AQ29"/>
  <c r="AH29"/>
  <c r="AS29"/>
  <c r="AV29"/>
  <c r="AM29"/>
  <c r="AW29"/>
  <c r="AX29"/>
  <c r="AI29"/>
  <c r="AO29"/>
  <c r="AN29"/>
  <c r="BA29"/>
  <c r="AF29"/>
  <c r="AY29"/>
  <c r="AU29"/>
  <c r="AG29"/>
  <c r="AR29"/>
  <c r="AA30"/>
  <c r="AZ30" s="1"/>
  <c r="G35"/>
  <c r="J32"/>
  <c r="F32"/>
  <c r="D32"/>
  <c r="D33" s="1"/>
  <c r="E35"/>
  <c r="C36"/>
  <c r="X31"/>
  <c r="AA31" l="1"/>
  <c r="AD30"/>
  <c r="AR30"/>
  <c r="AU30"/>
  <c r="AF30"/>
  <c r="AI30"/>
  <c r="AQ30"/>
  <c r="AE30"/>
  <c r="AW30"/>
  <c r="AP30"/>
  <c r="AT30"/>
  <c r="BA30"/>
  <c r="AK30"/>
  <c r="AS30"/>
  <c r="AL30"/>
  <c r="AB30"/>
  <c r="AO30"/>
  <c r="AN30"/>
  <c r="AV30"/>
  <c r="AH30"/>
  <c r="AM30"/>
  <c r="AJ30"/>
  <c r="AG30"/>
  <c r="AY30"/>
  <c r="AX30"/>
  <c r="C37"/>
  <c r="G36"/>
  <c r="X32"/>
  <c r="E36"/>
  <c r="F33"/>
  <c r="F34" s="1"/>
  <c r="J33"/>
  <c r="J34" s="1"/>
  <c r="J35" s="1"/>
  <c r="D34"/>
  <c r="D35" s="1"/>
  <c r="AA32" l="1"/>
  <c r="AZ32" s="1"/>
  <c r="AM31"/>
  <c r="AX31"/>
  <c r="AH31"/>
  <c r="AT31"/>
  <c r="AF31"/>
  <c r="BA31"/>
  <c r="AP31"/>
  <c r="AG31"/>
  <c r="AY31"/>
  <c r="AO31"/>
  <c r="AB31"/>
  <c r="AL31"/>
  <c r="AV31"/>
  <c r="AQ31"/>
  <c r="AI31"/>
  <c r="AR31"/>
  <c r="AS31"/>
  <c r="AN31"/>
  <c r="AK31"/>
  <c r="AJ31"/>
  <c r="AW31"/>
  <c r="AU31"/>
  <c r="AE31"/>
  <c r="AD31"/>
  <c r="AZ31"/>
  <c r="X33"/>
  <c r="C38"/>
  <c r="D36"/>
  <c r="E37"/>
  <c r="F35"/>
  <c r="J36"/>
  <c r="J37" s="1"/>
  <c r="J38" s="1"/>
  <c r="G37"/>
  <c r="AA33" l="1"/>
  <c r="AZ33" s="1"/>
  <c r="AP32"/>
  <c r="AI32"/>
  <c r="AJ32"/>
  <c r="AW32"/>
  <c r="AH32"/>
  <c r="AR32"/>
  <c r="AY32"/>
  <c r="AM32"/>
  <c r="AS32"/>
  <c r="AK32"/>
  <c r="AN32"/>
  <c r="AX32"/>
  <c r="AG32"/>
  <c r="AQ32"/>
  <c r="AV32"/>
  <c r="AB32"/>
  <c r="BA32"/>
  <c r="AU32"/>
  <c r="AL32"/>
  <c r="AO32"/>
  <c r="AT32"/>
  <c r="AF32"/>
  <c r="AD32"/>
  <c r="AE32"/>
  <c r="X34"/>
  <c r="D37"/>
  <c r="D38" s="1"/>
  <c r="F36"/>
  <c r="J39"/>
  <c r="C39"/>
  <c r="F37"/>
  <c r="G38"/>
  <c r="E38"/>
  <c r="AB33" l="1"/>
  <c r="AL33"/>
  <c r="AJ33"/>
  <c r="AM33"/>
  <c r="BA33"/>
  <c r="AK33"/>
  <c r="AO33"/>
  <c r="AT33"/>
  <c r="AY33"/>
  <c r="AV33"/>
  <c r="AI33"/>
  <c r="AU33"/>
  <c r="AH33"/>
  <c r="AQ33"/>
  <c r="AF33"/>
  <c r="AA34"/>
  <c r="BA34" s="1"/>
  <c r="AS33"/>
  <c r="AD33"/>
  <c r="AE33"/>
  <c r="AN33"/>
  <c r="AX33"/>
  <c r="AR33"/>
  <c r="AP33"/>
  <c r="AG33"/>
  <c r="AW33"/>
  <c r="E39"/>
  <c r="C40"/>
  <c r="G39"/>
  <c r="F38"/>
  <c r="X35"/>
  <c r="D39"/>
  <c r="D40" s="1"/>
  <c r="J40"/>
  <c r="AA35" l="1"/>
  <c r="BA35" s="1"/>
  <c r="AE34"/>
  <c r="AD34"/>
  <c r="AH34"/>
  <c r="AJ34"/>
  <c r="AZ34"/>
  <c r="AX34"/>
  <c r="AL34"/>
  <c r="AO34"/>
  <c r="AB34"/>
  <c r="AQ34"/>
  <c r="AT34"/>
  <c r="AK34"/>
  <c r="AS34"/>
  <c r="AY34"/>
  <c r="AW34"/>
  <c r="AF34"/>
  <c r="AP34"/>
  <c r="AM34"/>
  <c r="AI34"/>
  <c r="AG34"/>
  <c r="AR34"/>
  <c r="AV34"/>
  <c r="AU34"/>
  <c r="AN34"/>
  <c r="F39"/>
  <c r="C41"/>
  <c r="G40"/>
  <c r="D41"/>
  <c r="X36"/>
  <c r="E40"/>
  <c r="J41"/>
  <c r="X37"/>
  <c r="AA37" l="1"/>
  <c r="BA37" s="1"/>
  <c r="AA36"/>
  <c r="AT35"/>
  <c r="AQ35"/>
  <c r="AH35"/>
  <c r="AW35"/>
  <c r="AN35"/>
  <c r="AD35"/>
  <c r="AS35"/>
  <c r="AM35"/>
  <c r="AI35"/>
  <c r="AZ35"/>
  <c r="AR35"/>
  <c r="AL35"/>
  <c r="AU35"/>
  <c r="AK35"/>
  <c r="AJ35"/>
  <c r="AE35"/>
  <c r="AG35"/>
  <c r="AX35"/>
  <c r="AF35"/>
  <c r="AB35"/>
  <c r="AP35"/>
  <c r="AO35"/>
  <c r="AY35"/>
  <c r="AV35"/>
  <c r="D42"/>
  <c r="F40"/>
  <c r="F41" s="1"/>
  <c r="C42"/>
  <c r="X38"/>
  <c r="E41"/>
  <c r="J42"/>
  <c r="G41"/>
  <c r="AA38" l="1"/>
  <c r="AQ36"/>
  <c r="AT36"/>
  <c r="AE36"/>
  <c r="AM36"/>
  <c r="AU36"/>
  <c r="AN36"/>
  <c r="AX36"/>
  <c r="AD36"/>
  <c r="AH36"/>
  <c r="AY36"/>
  <c r="AF36"/>
  <c r="AP36"/>
  <c r="AO36"/>
  <c r="AG36"/>
  <c r="AS36"/>
  <c r="AJ36"/>
  <c r="AI36"/>
  <c r="AW36"/>
  <c r="AB36"/>
  <c r="AK36"/>
  <c r="AR36"/>
  <c r="AL36"/>
  <c r="AZ36"/>
  <c r="AV36"/>
  <c r="BA36"/>
  <c r="AP37"/>
  <c r="AX37"/>
  <c r="AJ37"/>
  <c r="AF37"/>
  <c r="AQ37"/>
  <c r="AK37"/>
  <c r="AN37"/>
  <c r="AU37"/>
  <c r="AD37"/>
  <c r="AV37"/>
  <c r="AB37"/>
  <c r="AM37"/>
  <c r="AZ37"/>
  <c r="AT37"/>
  <c r="AI37"/>
  <c r="AS37"/>
  <c r="AE37"/>
  <c r="AR37"/>
  <c r="AY37"/>
  <c r="AG37"/>
  <c r="AO37"/>
  <c r="AW37"/>
  <c r="AH37"/>
  <c r="AL37"/>
  <c r="D43"/>
  <c r="C43"/>
  <c r="G42"/>
  <c r="F42"/>
  <c r="F43" s="1"/>
  <c r="E42"/>
  <c r="X39"/>
  <c r="J43"/>
  <c r="X40"/>
  <c r="AA40" l="1"/>
  <c r="AP40" s="1"/>
  <c r="AA39"/>
  <c r="BA39" s="1"/>
  <c r="AX38"/>
  <c r="AT38"/>
  <c r="AZ38"/>
  <c r="AL38"/>
  <c r="AU38"/>
  <c r="AS38"/>
  <c r="AK38"/>
  <c r="AE38"/>
  <c r="AR38"/>
  <c r="AM38"/>
  <c r="AD38"/>
  <c r="AG38"/>
  <c r="AO38"/>
  <c r="AF38"/>
  <c r="AP38"/>
  <c r="AN38"/>
  <c r="AJ38"/>
  <c r="AV38"/>
  <c r="AB38"/>
  <c r="AH38"/>
  <c r="AY38"/>
  <c r="AI38"/>
  <c r="AW38"/>
  <c r="AQ38"/>
  <c r="BA38"/>
  <c r="G43"/>
  <c r="E43"/>
  <c r="D44"/>
  <c r="E44"/>
  <c r="C44"/>
  <c r="J44"/>
  <c r="F44"/>
  <c r="X41"/>
  <c r="AS40" l="1"/>
  <c r="AR40"/>
  <c r="AU40"/>
  <c r="AX40"/>
  <c r="AL40"/>
  <c r="AD40"/>
  <c r="AA41"/>
  <c r="AT41" s="1"/>
  <c r="AT40"/>
  <c r="AY40"/>
  <c r="AF40"/>
  <c r="AQ40"/>
  <c r="AM40"/>
  <c r="AE40"/>
  <c r="AW40"/>
  <c r="AX39"/>
  <c r="AS39"/>
  <c r="AY39"/>
  <c r="AM39"/>
  <c r="AP39"/>
  <c r="AZ39"/>
  <c r="AK39"/>
  <c r="AQ39"/>
  <c r="AO39"/>
  <c r="AH39"/>
  <c r="AN39"/>
  <c r="AW39"/>
  <c r="AI39"/>
  <c r="AU39"/>
  <c r="AG39"/>
  <c r="AT39"/>
  <c r="AL39"/>
  <c r="AV39"/>
  <c r="AF39"/>
  <c r="AD39"/>
  <c r="AE39"/>
  <c r="AB39"/>
  <c r="AJ39"/>
  <c r="AR39"/>
  <c r="AK40"/>
  <c r="AZ40"/>
  <c r="AH40"/>
  <c r="AB40"/>
  <c r="AG40"/>
  <c r="AN40"/>
  <c r="BA40"/>
  <c r="AO40"/>
  <c r="AJ40"/>
  <c r="AI40"/>
  <c r="AV40"/>
  <c r="F45"/>
  <c r="C45"/>
  <c r="J45"/>
  <c r="E45"/>
  <c r="X42"/>
  <c r="G44"/>
  <c r="D45"/>
  <c r="X43"/>
  <c r="X44" s="1"/>
  <c r="AZ41" l="1"/>
  <c r="AR41"/>
  <c r="AB41"/>
  <c r="AJ41"/>
  <c r="AL41"/>
  <c r="AA42"/>
  <c r="AW42" s="1"/>
  <c r="AF41"/>
  <c r="AQ41"/>
  <c r="AH41"/>
  <c r="AI41"/>
  <c r="AU41"/>
  <c r="AM41"/>
  <c r="AS41"/>
  <c r="AO41"/>
  <c r="AE41"/>
  <c r="AN41"/>
  <c r="AW41"/>
  <c r="AD41"/>
  <c r="AY41"/>
  <c r="AK41"/>
  <c r="AV41"/>
  <c r="AP41"/>
  <c r="AG41"/>
  <c r="AX41"/>
  <c r="BA41"/>
  <c r="AA43"/>
  <c r="AV43" s="1"/>
  <c r="F46"/>
  <c r="C46"/>
  <c r="E46"/>
  <c r="X45"/>
  <c r="X46" s="1"/>
  <c r="G45"/>
  <c r="J46"/>
  <c r="X47"/>
  <c r="D46"/>
  <c r="AM42" l="1"/>
  <c r="AK42"/>
  <c r="AT42"/>
  <c r="BA42"/>
  <c r="AU42"/>
  <c r="AR42"/>
  <c r="AB42"/>
  <c r="AJ42"/>
  <c r="AE42"/>
  <c r="AY42"/>
  <c r="AF42"/>
  <c r="AQ42"/>
  <c r="AD42"/>
  <c r="AV42"/>
  <c r="AH42"/>
  <c r="AN42"/>
  <c r="AS42"/>
  <c r="AZ42"/>
  <c r="AL42"/>
  <c r="AI42"/>
  <c r="AO42"/>
  <c r="AX42"/>
  <c r="AG42"/>
  <c r="AP42"/>
  <c r="AO43"/>
  <c r="AP43"/>
  <c r="AZ43"/>
  <c r="BA43"/>
  <c r="AQ43"/>
  <c r="AS43"/>
  <c r="AR43"/>
  <c r="AU43"/>
  <c r="AY43"/>
  <c r="AW43"/>
  <c r="AX43"/>
  <c r="AT43"/>
  <c r="AB43"/>
  <c r="AA44"/>
  <c r="AE43"/>
  <c r="AI43"/>
  <c r="AG43"/>
  <c r="AK43"/>
  <c r="AF43"/>
  <c r="AD43"/>
  <c r="AN43"/>
  <c r="AM43"/>
  <c r="AJ43"/>
  <c r="AL43"/>
  <c r="AH43"/>
  <c r="C47"/>
  <c r="F47"/>
  <c r="D47"/>
  <c r="X48"/>
  <c r="E47"/>
  <c r="J47"/>
  <c r="G46"/>
  <c r="AO44" l="1"/>
  <c r="AP44"/>
  <c r="AZ44"/>
  <c r="AX44"/>
  <c r="AQ44"/>
  <c r="BA44"/>
  <c r="AU44"/>
  <c r="AS44"/>
  <c r="AW44"/>
  <c r="AR44"/>
  <c r="AY44"/>
  <c r="AT44"/>
  <c r="AV44"/>
  <c r="AB44"/>
  <c r="AA45"/>
  <c r="AE44"/>
  <c r="AG44"/>
  <c r="AN44"/>
  <c r="AI44"/>
  <c r="AK44"/>
  <c r="AF44"/>
  <c r="AM44"/>
  <c r="AD44"/>
  <c r="AL44"/>
  <c r="AJ44"/>
  <c r="AH44"/>
  <c r="C48"/>
  <c r="G47"/>
  <c r="D48"/>
  <c r="X49"/>
  <c r="J48"/>
  <c r="E48"/>
  <c r="E49"/>
  <c r="F48"/>
  <c r="AU45" l="1"/>
  <c r="AP45"/>
  <c r="AO45"/>
  <c r="AW45"/>
  <c r="AV45"/>
  <c r="AX45"/>
  <c r="BA45"/>
  <c r="AZ45"/>
  <c r="AY45"/>
  <c r="AS45"/>
  <c r="AT45"/>
  <c r="AR45"/>
  <c r="AQ45"/>
  <c r="AB45"/>
  <c r="AA46"/>
  <c r="AE45"/>
  <c r="AG45"/>
  <c r="AK45"/>
  <c r="AI45"/>
  <c r="AN45"/>
  <c r="AD45"/>
  <c r="AM45"/>
  <c r="AF45"/>
  <c r="AH45"/>
  <c r="AL45"/>
  <c r="AJ45"/>
  <c r="C49"/>
  <c r="E50"/>
  <c r="F49"/>
  <c r="G48"/>
  <c r="X50"/>
  <c r="D49"/>
  <c r="J49"/>
  <c r="AP46" l="1"/>
  <c r="AO46"/>
  <c r="AS46"/>
  <c r="AZ46"/>
  <c r="AX46"/>
  <c r="BA46"/>
  <c r="AU46"/>
  <c r="AQ46"/>
  <c r="AR46"/>
  <c r="AY46"/>
  <c r="AW46"/>
  <c r="AT46"/>
  <c r="AV46"/>
  <c r="AB46"/>
  <c r="AA47"/>
  <c r="AE46"/>
  <c r="AG46"/>
  <c r="AI46"/>
  <c r="AK46"/>
  <c r="AN46"/>
  <c r="AD46"/>
  <c r="AM46"/>
  <c r="AF46"/>
  <c r="AL46"/>
  <c r="AH46"/>
  <c r="AJ46"/>
  <c r="J50"/>
  <c r="E51"/>
  <c r="G49"/>
  <c r="C50"/>
  <c r="D50"/>
  <c r="X51"/>
  <c r="F50"/>
  <c r="AO47" l="1"/>
  <c r="AP47"/>
  <c r="AS47"/>
  <c r="AX47"/>
  <c r="AZ47"/>
  <c r="BA47"/>
  <c r="AQ47"/>
  <c r="AU47"/>
  <c r="AY47"/>
  <c r="AW47"/>
  <c r="AR47"/>
  <c r="AT47"/>
  <c r="AV47"/>
  <c r="AB47"/>
  <c r="AA48"/>
  <c r="AT48" s="1"/>
  <c r="AE47"/>
  <c r="AG47"/>
  <c r="AK47"/>
  <c r="AI47"/>
  <c r="AN47"/>
  <c r="AM47"/>
  <c r="AD47"/>
  <c r="AF47"/>
  <c r="AJ47"/>
  <c r="AH47"/>
  <c r="AL47"/>
  <c r="C51"/>
  <c r="J51"/>
  <c r="X52"/>
  <c r="G50"/>
  <c r="D51"/>
  <c r="E52"/>
  <c r="F51"/>
  <c r="AO48" l="1"/>
  <c r="AP48"/>
  <c r="AS48"/>
  <c r="AX48"/>
  <c r="AZ48"/>
  <c r="AR48"/>
  <c r="AQ48"/>
  <c r="AU48"/>
  <c r="BA48"/>
  <c r="AW48"/>
  <c r="AY48"/>
  <c r="AV48"/>
  <c r="AB48"/>
  <c r="AA49"/>
  <c r="AV49" s="1"/>
  <c r="AE48"/>
  <c r="AG48"/>
  <c r="AI48"/>
  <c r="AK48"/>
  <c r="AN48"/>
  <c r="AF48"/>
  <c r="AM48"/>
  <c r="AD48"/>
  <c r="AJ48"/>
  <c r="AH48"/>
  <c r="AL48"/>
  <c r="J52"/>
  <c r="C52"/>
  <c r="E53"/>
  <c r="D52"/>
  <c r="F52"/>
  <c r="G51"/>
  <c r="X53"/>
  <c r="AO49" l="1"/>
  <c r="AP49"/>
  <c r="AS49"/>
  <c r="AW49"/>
  <c r="AR49"/>
  <c r="AX49"/>
  <c r="AZ49"/>
  <c r="BA49"/>
  <c r="AU49"/>
  <c r="AQ49"/>
  <c r="AY49"/>
  <c r="AT49"/>
  <c r="AB49"/>
  <c r="AA50"/>
  <c r="AT50" s="1"/>
  <c r="AE49"/>
  <c r="AG49"/>
  <c r="AN49"/>
  <c r="AK49"/>
  <c r="AI49"/>
  <c r="AF49"/>
  <c r="AD49"/>
  <c r="AM49"/>
  <c r="AJ49"/>
  <c r="AL49"/>
  <c r="AH49"/>
  <c r="J53"/>
  <c r="C53"/>
  <c r="X54"/>
  <c r="G52"/>
  <c r="F53"/>
  <c r="E54"/>
  <c r="D53"/>
  <c r="AV50" l="1"/>
  <c r="AO50"/>
  <c r="AP50"/>
  <c r="AS50"/>
  <c r="AX50"/>
  <c r="AW50"/>
  <c r="AZ50"/>
  <c r="AR50"/>
  <c r="AU50"/>
  <c r="BA50"/>
  <c r="AQ50"/>
  <c r="AY50"/>
  <c r="AB50"/>
  <c r="AA51"/>
  <c r="AG50"/>
  <c r="AE50"/>
  <c r="AN50"/>
  <c r="AI50"/>
  <c r="AK50"/>
  <c r="AD50"/>
  <c r="AF50"/>
  <c r="AM50"/>
  <c r="AH50"/>
  <c r="AJ50"/>
  <c r="AL50"/>
  <c r="G53"/>
  <c r="X55"/>
  <c r="C54"/>
  <c r="D54"/>
  <c r="E55"/>
  <c r="F54"/>
  <c r="J54"/>
  <c r="AP51" l="1"/>
  <c r="AO51"/>
  <c r="AS51"/>
  <c r="AW51"/>
  <c r="AZ51"/>
  <c r="AX51"/>
  <c r="AR51"/>
  <c r="BA51"/>
  <c r="AU51"/>
  <c r="AQ51"/>
  <c r="AY51"/>
  <c r="AV51"/>
  <c r="AT51"/>
  <c r="AB51"/>
  <c r="AA52"/>
  <c r="AV52" s="1"/>
  <c r="AG51"/>
  <c r="AE51"/>
  <c r="AN51"/>
  <c r="AK51"/>
  <c r="AI51"/>
  <c r="AF51"/>
  <c r="AD51"/>
  <c r="AM51"/>
  <c r="AH51"/>
  <c r="AL51"/>
  <c r="AJ51"/>
  <c r="D55"/>
  <c r="C55"/>
  <c r="G54"/>
  <c r="X56"/>
  <c r="J55"/>
  <c r="E56"/>
  <c r="F55"/>
  <c r="AT52" l="1"/>
  <c r="AP52"/>
  <c r="AO52"/>
  <c r="AX52"/>
  <c r="AS52"/>
  <c r="AW52"/>
  <c r="BA52"/>
  <c r="AQ52"/>
  <c r="AZ52"/>
  <c r="AR52"/>
  <c r="AU52"/>
  <c r="AY52"/>
  <c r="AB52"/>
  <c r="AA53"/>
  <c r="AV53" s="1"/>
  <c r="AG52"/>
  <c r="AE52"/>
  <c r="AK52"/>
  <c r="AN52"/>
  <c r="AI52"/>
  <c r="AF52"/>
  <c r="AD52"/>
  <c r="AM52"/>
  <c r="AH52"/>
  <c r="AJ52"/>
  <c r="AL52"/>
  <c r="E57"/>
  <c r="C56"/>
  <c r="X57"/>
  <c r="G55"/>
  <c r="F56"/>
  <c r="D56"/>
  <c r="J56"/>
  <c r="AO53" l="1"/>
  <c r="AP53"/>
  <c r="AS53"/>
  <c r="AW53"/>
  <c r="AX53"/>
  <c r="AZ53"/>
  <c r="AR53"/>
  <c r="AU53"/>
  <c r="AQ53"/>
  <c r="BA53"/>
  <c r="AY53"/>
  <c r="AT53"/>
  <c r="AB53"/>
  <c r="AA54"/>
  <c r="AV54" s="1"/>
  <c r="AG53"/>
  <c r="AE53"/>
  <c r="AN53"/>
  <c r="AI53"/>
  <c r="AK53"/>
  <c r="AM53"/>
  <c r="AF53"/>
  <c r="AD53"/>
  <c r="AL53"/>
  <c r="AH53"/>
  <c r="AJ53"/>
  <c r="X58"/>
  <c r="E58"/>
  <c r="D57"/>
  <c r="F57"/>
  <c r="J57"/>
  <c r="G56"/>
  <c r="C57"/>
  <c r="AT54" l="1"/>
  <c r="AP54"/>
  <c r="AO54"/>
  <c r="AS54"/>
  <c r="AR54"/>
  <c r="AW54"/>
  <c r="AX54"/>
  <c r="AZ54"/>
  <c r="BA54"/>
  <c r="AU54"/>
  <c r="AQ54"/>
  <c r="AY54"/>
  <c r="AB54"/>
  <c r="AA55"/>
  <c r="AG54"/>
  <c r="AE54"/>
  <c r="AI54"/>
  <c r="AN54"/>
  <c r="AK54"/>
  <c r="AM54"/>
  <c r="AD54"/>
  <c r="AF54"/>
  <c r="AL54"/>
  <c r="AJ54"/>
  <c r="AH54"/>
  <c r="C58"/>
  <c r="J58"/>
  <c r="F58"/>
  <c r="D58"/>
  <c r="X59"/>
  <c r="G57"/>
  <c r="E59"/>
  <c r="AP55" l="1"/>
  <c r="AO55"/>
  <c r="AS55"/>
  <c r="AW55"/>
  <c r="AZ55"/>
  <c r="AR55"/>
  <c r="AX55"/>
  <c r="AY55"/>
  <c r="AU55"/>
  <c r="BA55"/>
  <c r="AQ55"/>
  <c r="AT55"/>
  <c r="AV55"/>
  <c r="AB55"/>
  <c r="AA56"/>
  <c r="AT56" s="1"/>
  <c r="AA57"/>
  <c r="AT57" s="1"/>
  <c r="AG55"/>
  <c r="AE55"/>
  <c r="AI55"/>
  <c r="AK55"/>
  <c r="AN55"/>
  <c r="AM55"/>
  <c r="AD55"/>
  <c r="AF55"/>
  <c r="AJ55"/>
  <c r="AL55"/>
  <c r="AH55"/>
  <c r="E60"/>
  <c r="J59"/>
  <c r="F59"/>
  <c r="C59"/>
  <c r="X60"/>
  <c r="G58"/>
  <c r="D59"/>
  <c r="AO56" l="1"/>
  <c r="AP56"/>
  <c r="BA56"/>
  <c r="AS56"/>
  <c r="AW56"/>
  <c r="AZ56"/>
  <c r="AY56"/>
  <c r="AR56"/>
  <c r="AX56"/>
  <c r="AQ56"/>
  <c r="AU56"/>
  <c r="AV56"/>
  <c r="AO57"/>
  <c r="AP57"/>
  <c r="BA57"/>
  <c r="AS57"/>
  <c r="AX57"/>
  <c r="AZ57"/>
  <c r="AV57"/>
  <c r="AR57"/>
  <c r="AW57"/>
  <c r="AU57"/>
  <c r="AY57"/>
  <c r="AQ57"/>
  <c r="AB56"/>
  <c r="AA58"/>
  <c r="AB57"/>
  <c r="AL56"/>
  <c r="AJ56"/>
  <c r="AF56"/>
  <c r="AI56"/>
  <c r="AK56"/>
  <c r="AG56"/>
  <c r="AH56"/>
  <c r="AN56"/>
  <c r="AD56"/>
  <c r="AM56"/>
  <c r="AE56"/>
  <c r="AG57"/>
  <c r="AE57"/>
  <c r="AI57"/>
  <c r="AM57"/>
  <c r="AF57"/>
  <c r="AJ57"/>
  <c r="AN57"/>
  <c r="AK57"/>
  <c r="AD57"/>
  <c r="AL57"/>
  <c r="AH57"/>
  <c r="X61"/>
  <c r="E61"/>
  <c r="D60"/>
  <c r="C60"/>
  <c r="G59"/>
  <c r="F60"/>
  <c r="J60"/>
  <c r="AO58" l="1"/>
  <c r="AP58"/>
  <c r="BA58"/>
  <c r="AS58"/>
  <c r="AY58"/>
  <c r="AZ58"/>
  <c r="AX58"/>
  <c r="AU58"/>
  <c r="AV58"/>
  <c r="AR58"/>
  <c r="AW58"/>
  <c r="AQ58"/>
  <c r="AT58"/>
  <c r="AB58"/>
  <c r="AA59"/>
  <c r="AG58"/>
  <c r="AE58"/>
  <c r="AI58"/>
  <c r="AM58"/>
  <c r="AF58"/>
  <c r="AJ58"/>
  <c r="AN58"/>
  <c r="AL58"/>
  <c r="AH58"/>
  <c r="AK58"/>
  <c r="AD58"/>
  <c r="X62"/>
  <c r="C61"/>
  <c r="J61"/>
  <c r="D61"/>
  <c r="G60"/>
  <c r="E62"/>
  <c r="F61"/>
  <c r="AP59" l="1"/>
  <c r="AO59"/>
  <c r="BA59"/>
  <c r="AS59"/>
  <c r="AY59"/>
  <c r="AX59"/>
  <c r="AZ59"/>
  <c r="AU59"/>
  <c r="AR59"/>
  <c r="AW59"/>
  <c r="AV59"/>
  <c r="AQ59"/>
  <c r="AT59"/>
  <c r="AB59"/>
  <c r="AA60"/>
  <c r="AJ59"/>
  <c r="AN59"/>
  <c r="AK59"/>
  <c r="AI59"/>
  <c r="AD59"/>
  <c r="AL59"/>
  <c r="AM59"/>
  <c r="AG59"/>
  <c r="AH59"/>
  <c r="AF59"/>
  <c r="AE59"/>
  <c r="C62"/>
  <c r="J62"/>
  <c r="G61"/>
  <c r="X63"/>
  <c r="D62"/>
  <c r="F62"/>
  <c r="E63"/>
  <c r="AP60" l="1"/>
  <c r="AO60"/>
  <c r="BA60"/>
  <c r="AS60"/>
  <c r="AZ60"/>
  <c r="AY60"/>
  <c r="AV60"/>
  <c r="AU60"/>
  <c r="AX60"/>
  <c r="AR60"/>
  <c r="AW60"/>
  <c r="AQ60"/>
  <c r="AT60"/>
  <c r="AB60"/>
  <c r="AA61"/>
  <c r="AM60"/>
  <c r="AD60"/>
  <c r="AK60"/>
  <c r="AG60"/>
  <c r="AE60"/>
  <c r="AI60"/>
  <c r="AF60"/>
  <c r="AJ60"/>
  <c r="AH60"/>
  <c r="AL60"/>
  <c r="AN60"/>
  <c r="E64"/>
  <c r="J63"/>
  <c r="D63"/>
  <c r="G62"/>
  <c r="F63"/>
  <c r="X64"/>
  <c r="C63"/>
  <c r="AZ61" l="1"/>
  <c r="AS61"/>
  <c r="AY61"/>
  <c r="AX61"/>
  <c r="AR61"/>
  <c r="BA61"/>
  <c r="AW61"/>
  <c r="AO61"/>
  <c r="AU61"/>
  <c r="AQ61"/>
  <c r="AP61"/>
  <c r="AV61"/>
  <c r="AT61"/>
  <c r="AB61"/>
  <c r="AA62"/>
  <c r="AT62" s="1"/>
  <c r="AE61"/>
  <c r="AM61"/>
  <c r="AJ61"/>
  <c r="AL61"/>
  <c r="AG61"/>
  <c r="AI61"/>
  <c r="AF61"/>
  <c r="AH61"/>
  <c r="AD61"/>
  <c r="AN61"/>
  <c r="AK61"/>
  <c r="Q77"/>
  <c r="D64"/>
  <c r="F64"/>
  <c r="G63"/>
  <c r="C64"/>
  <c r="X65"/>
  <c r="E65"/>
  <c r="J64"/>
  <c r="Q78" l="1"/>
  <c r="Q80" s="1"/>
  <c r="AA63"/>
  <c r="AS63" s="1"/>
  <c r="AS62"/>
  <c r="AZ62"/>
  <c r="AW62"/>
  <c r="AX62"/>
  <c r="BA62"/>
  <c r="AR62"/>
  <c r="AY62"/>
  <c r="AP62"/>
  <c r="AU62"/>
  <c r="AO62"/>
  <c r="AV62"/>
  <c r="AQ62"/>
  <c r="AB62"/>
  <c r="AH62"/>
  <c r="AL62"/>
  <c r="AG62"/>
  <c r="AD62"/>
  <c r="AE62"/>
  <c r="AN62"/>
  <c r="AK62"/>
  <c r="AI62"/>
  <c r="AF62"/>
  <c r="AM62"/>
  <c r="AJ62"/>
  <c r="K77"/>
  <c r="D65"/>
  <c r="C65"/>
  <c r="X66"/>
  <c r="J65"/>
  <c r="E66"/>
  <c r="F65"/>
  <c r="G64"/>
  <c r="K78" l="1"/>
  <c r="K80" s="1"/>
  <c r="AE63"/>
  <c r="AF63"/>
  <c r="AM63"/>
  <c r="AQ63"/>
  <c r="AJ63"/>
  <c r="AY63"/>
  <c r="AN63"/>
  <c r="AL63"/>
  <c r="AZ63"/>
  <c r="AD63"/>
  <c r="AO63"/>
  <c r="AV63"/>
  <c r="AR63"/>
  <c r="AI63"/>
  <c r="BA63"/>
  <c r="AT63"/>
  <c r="AH63"/>
  <c r="AX63"/>
  <c r="AW63"/>
  <c r="AG63"/>
  <c r="AB63"/>
  <c r="AP63"/>
  <c r="AK63"/>
  <c r="AU63"/>
  <c r="AA64"/>
  <c r="AS64" s="1"/>
  <c r="N77"/>
  <c r="J66"/>
  <c r="E67"/>
  <c r="X67"/>
  <c r="G65"/>
  <c r="D66"/>
  <c r="C66"/>
  <c r="F66"/>
  <c r="N78" l="1"/>
  <c r="N80" s="1"/>
  <c r="AD64"/>
  <c r="AL64"/>
  <c r="AZ64"/>
  <c r="AU64"/>
  <c r="AK64"/>
  <c r="AY64"/>
  <c r="AE64"/>
  <c r="AB64"/>
  <c r="AT64"/>
  <c r="AG64"/>
  <c r="AQ64"/>
  <c r="AX64"/>
  <c r="AM64"/>
  <c r="AW64"/>
  <c r="AF64"/>
  <c r="AR64"/>
  <c r="AI64"/>
  <c r="BA64"/>
  <c r="AN64"/>
  <c r="AP64"/>
  <c r="AH64"/>
  <c r="AV64"/>
  <c r="AJ64"/>
  <c r="AO64"/>
  <c r="AA65"/>
  <c r="AO65" s="1"/>
  <c r="M77"/>
  <c r="G66"/>
  <c r="D67"/>
  <c r="F67"/>
  <c r="J67"/>
  <c r="X68"/>
  <c r="E68"/>
  <c r="C67"/>
  <c r="M78" l="1"/>
  <c r="M80" s="1"/>
  <c r="AG65"/>
  <c r="AL65"/>
  <c r="AX65"/>
  <c r="AN65"/>
  <c r="AJ65"/>
  <c r="AV65"/>
  <c r="AU65"/>
  <c r="AF65"/>
  <c r="AY65"/>
  <c r="BA65"/>
  <c r="AH65"/>
  <c r="AR65"/>
  <c r="AI65"/>
  <c r="AS65"/>
  <c r="AE65"/>
  <c r="AT65"/>
  <c r="AP65"/>
  <c r="AZ65"/>
  <c r="AM65"/>
  <c r="AD65"/>
  <c r="AB65"/>
  <c r="AQ65"/>
  <c r="AW65"/>
  <c r="AK65"/>
  <c r="AA66"/>
  <c r="AO66" s="1"/>
  <c r="I77"/>
  <c r="O77"/>
  <c r="Y77"/>
  <c r="V77"/>
  <c r="S77"/>
  <c r="E69"/>
  <c r="C68"/>
  <c r="G67"/>
  <c r="X69"/>
  <c r="D68"/>
  <c r="F68"/>
  <c r="J68"/>
  <c r="AA67" l="1"/>
  <c r="AK67" s="1"/>
  <c r="V78"/>
  <c r="V80" s="1"/>
  <c r="S78"/>
  <c r="S80" s="1"/>
  <c r="I78"/>
  <c r="I80" s="1"/>
  <c r="Y78"/>
  <c r="Y80" s="1"/>
  <c r="AJ66"/>
  <c r="AR66"/>
  <c r="AN66"/>
  <c r="AL66"/>
  <c r="AY66"/>
  <c r="AV66"/>
  <c r="AM66"/>
  <c r="AE66"/>
  <c r="AD66"/>
  <c r="AP66"/>
  <c r="AK66"/>
  <c r="AG66"/>
  <c r="AQ66"/>
  <c r="AH66"/>
  <c r="AW66"/>
  <c r="AX66"/>
  <c r="AI66"/>
  <c r="AS66"/>
  <c r="AU66"/>
  <c r="AF66"/>
  <c r="AB66"/>
  <c r="BA66"/>
  <c r="AZ66"/>
  <c r="AT66"/>
  <c r="O78"/>
  <c r="O80" s="1"/>
  <c r="W77"/>
  <c r="U77"/>
  <c r="P77"/>
  <c r="H77"/>
  <c r="R77"/>
  <c r="Z77"/>
  <c r="F69"/>
  <c r="J69"/>
  <c r="G68"/>
  <c r="D69"/>
  <c r="E70"/>
  <c r="C69"/>
  <c r="X70"/>
  <c r="AF67" l="1"/>
  <c r="AH67"/>
  <c r="AN67"/>
  <c r="AU67"/>
  <c r="AS67"/>
  <c r="AB67"/>
  <c r="AM67"/>
  <c r="AZ67"/>
  <c r="AG67"/>
  <c r="AI67"/>
  <c r="AQ67"/>
  <c r="AX67"/>
  <c r="AE67"/>
  <c r="AJ67"/>
  <c r="AT67"/>
  <c r="AD67"/>
  <c r="BA67"/>
  <c r="AR67"/>
  <c r="AV67"/>
  <c r="AL67"/>
  <c r="AW67"/>
  <c r="AY67"/>
  <c r="AO67"/>
  <c r="AP67"/>
  <c r="AA68"/>
  <c r="AH68" s="1"/>
  <c r="H78"/>
  <c r="H80" s="1"/>
  <c r="W78"/>
  <c r="W80" s="1"/>
  <c r="P78"/>
  <c r="P80" s="1"/>
  <c r="R78"/>
  <c r="R80" s="1"/>
  <c r="Z78"/>
  <c r="Z80" s="1"/>
  <c r="U78"/>
  <c r="U80" s="1"/>
  <c r="L77"/>
  <c r="T77"/>
  <c r="D70"/>
  <c r="X71"/>
  <c r="F70"/>
  <c r="E71"/>
  <c r="J70"/>
  <c r="C70"/>
  <c r="G69"/>
  <c r="AA69" l="1"/>
  <c r="AH69" s="1"/>
  <c r="AJ68"/>
  <c r="AW68"/>
  <c r="AS68"/>
  <c r="AK68"/>
  <c r="AU68"/>
  <c r="AT68"/>
  <c r="AB68"/>
  <c r="AR68"/>
  <c r="AY68"/>
  <c r="AE68"/>
  <c r="AL68"/>
  <c r="BA68"/>
  <c r="AP68"/>
  <c r="AF68"/>
  <c r="AI68"/>
  <c r="AO68"/>
  <c r="AV68"/>
  <c r="AM68"/>
  <c r="AD68"/>
  <c r="AZ68"/>
  <c r="AQ68"/>
  <c r="AN68"/>
  <c r="AX68"/>
  <c r="AG68"/>
  <c r="T78"/>
  <c r="T80" s="1"/>
  <c r="L78"/>
  <c r="L80" s="1"/>
  <c r="J71"/>
  <c r="X72"/>
  <c r="E72"/>
  <c r="D71"/>
  <c r="C71"/>
  <c r="F71"/>
  <c r="G70"/>
  <c r="AA70" l="1"/>
  <c r="AH70" s="1"/>
  <c r="AK69"/>
  <c r="AN69"/>
  <c r="AW69"/>
  <c r="AT69"/>
  <c r="AL69"/>
  <c r="AU69"/>
  <c r="AR69"/>
  <c r="AB69"/>
  <c r="AO69"/>
  <c r="AQ69"/>
  <c r="AY69"/>
  <c r="AP69"/>
  <c r="BA69"/>
  <c r="AG69"/>
  <c r="AM69"/>
  <c r="AS69"/>
  <c r="AJ69"/>
  <c r="AV69"/>
  <c r="AZ69"/>
  <c r="AX69"/>
  <c r="AI69"/>
  <c r="AF69"/>
  <c r="AD69"/>
  <c r="AE69"/>
  <c r="C72"/>
  <c r="F72"/>
  <c r="J72"/>
  <c r="D72"/>
  <c r="E73"/>
  <c r="G71"/>
  <c r="X73"/>
  <c r="AA71" l="1"/>
  <c r="AH71" s="1"/>
  <c r="AG70"/>
  <c r="AX70"/>
  <c r="AB70"/>
  <c r="AU70"/>
  <c r="AR70"/>
  <c r="AJ70"/>
  <c r="AN70"/>
  <c r="AW70"/>
  <c r="AY70"/>
  <c r="AO70"/>
  <c r="BA70"/>
  <c r="AP70"/>
  <c r="AL70"/>
  <c r="AS70"/>
  <c r="AZ70"/>
  <c r="AV70"/>
  <c r="AM70"/>
  <c r="AT70"/>
  <c r="AQ70"/>
  <c r="AK70"/>
  <c r="AI70"/>
  <c r="AF70"/>
  <c r="AE70"/>
  <c r="AD70"/>
  <c r="E74"/>
  <c r="J73"/>
  <c r="X74"/>
  <c r="D73"/>
  <c r="F73"/>
  <c r="C73"/>
  <c r="G72"/>
  <c r="AA72" l="1"/>
  <c r="AH72" s="1"/>
  <c r="AF71"/>
  <c r="AY71"/>
  <c r="AU71"/>
  <c r="AL71"/>
  <c r="AR71"/>
  <c r="AP71"/>
  <c r="AB71"/>
  <c r="AN71"/>
  <c r="AO71"/>
  <c r="AV71"/>
  <c r="AT71"/>
  <c r="AM71"/>
  <c r="AQ71"/>
  <c r="AK71"/>
  <c r="AJ71"/>
  <c r="AS71"/>
  <c r="BA71"/>
  <c r="AX71"/>
  <c r="AZ71"/>
  <c r="AG71"/>
  <c r="AW71"/>
  <c r="AE71"/>
  <c r="AI71"/>
  <c r="AD71"/>
  <c r="F74"/>
  <c r="X75"/>
  <c r="E75"/>
  <c r="G73"/>
  <c r="J74"/>
  <c r="C74"/>
  <c r="D74"/>
  <c r="AA73" l="1"/>
  <c r="AH73" s="1"/>
  <c r="AF72"/>
  <c r="AO72"/>
  <c r="AL72"/>
  <c r="AY72"/>
  <c r="AQ72"/>
  <c r="AN72"/>
  <c r="AS72"/>
  <c r="AM72"/>
  <c r="AX72"/>
  <c r="AT72"/>
  <c r="AU72"/>
  <c r="AP72"/>
  <c r="AR72"/>
  <c r="AJ72"/>
  <c r="AZ72"/>
  <c r="AK72"/>
  <c r="AW72"/>
  <c r="AB72"/>
  <c r="AV72"/>
  <c r="BA72"/>
  <c r="AG72"/>
  <c r="AI72"/>
  <c r="AE72"/>
  <c r="AD72"/>
  <c r="E76"/>
  <c r="G74"/>
  <c r="J75"/>
  <c r="X76"/>
  <c r="C75"/>
  <c r="D75"/>
  <c r="F75"/>
  <c r="AA74" l="1"/>
  <c r="AH74" s="1"/>
  <c r="AO73"/>
  <c r="AB73"/>
  <c r="AR73"/>
  <c r="AY73"/>
  <c r="AN73"/>
  <c r="AJ73"/>
  <c r="AQ73"/>
  <c r="AK73"/>
  <c r="AV73"/>
  <c r="AT73"/>
  <c r="AX73"/>
  <c r="AS73"/>
  <c r="AP73"/>
  <c r="AZ73"/>
  <c r="AU73"/>
  <c r="AL73"/>
  <c r="AW73"/>
  <c r="AM73"/>
  <c r="BA73"/>
  <c r="AG73"/>
  <c r="AI73"/>
  <c r="AF73"/>
  <c r="AE73"/>
  <c r="AD73"/>
  <c r="E77"/>
  <c r="X77"/>
  <c r="G75"/>
  <c r="D76"/>
  <c r="J76"/>
  <c r="C76"/>
  <c r="F76"/>
  <c r="AA75" l="1"/>
  <c r="AH75" s="1"/>
  <c r="AK74"/>
  <c r="AB74"/>
  <c r="AR74"/>
  <c r="AX74"/>
  <c r="AV74"/>
  <c r="AY74"/>
  <c r="AT74"/>
  <c r="AO74"/>
  <c r="AS74"/>
  <c r="AU74"/>
  <c r="AN74"/>
  <c r="AL74"/>
  <c r="AJ74"/>
  <c r="AW74"/>
  <c r="AP74"/>
  <c r="AZ74"/>
  <c r="AM74"/>
  <c r="AQ74"/>
  <c r="BA74"/>
  <c r="AG74"/>
  <c r="AI74"/>
  <c r="AF74"/>
  <c r="AE74"/>
  <c r="AD74"/>
  <c r="E78"/>
  <c r="E80" s="1"/>
  <c r="X78"/>
  <c r="X80" s="1"/>
  <c r="D77"/>
  <c r="F77"/>
  <c r="J77"/>
  <c r="C77"/>
  <c r="G76"/>
  <c r="AA76" l="1"/>
  <c r="AJ75"/>
  <c r="AY75"/>
  <c r="AU75"/>
  <c r="AO75"/>
  <c r="AS75"/>
  <c r="AM75"/>
  <c r="AN75"/>
  <c r="AR75"/>
  <c r="AL75"/>
  <c r="AX75"/>
  <c r="AZ75"/>
  <c r="AK75"/>
  <c r="AV75"/>
  <c r="AQ75"/>
  <c r="AP75"/>
  <c r="AW75"/>
  <c r="BA75"/>
  <c r="AG75"/>
  <c r="AD75"/>
  <c r="AI75"/>
  <c r="AE75"/>
  <c r="AF75"/>
  <c r="AT75"/>
  <c r="AB75"/>
  <c r="C78"/>
  <c r="C80" s="1"/>
  <c r="J78"/>
  <c r="J80" s="1"/>
  <c r="F78"/>
  <c r="F80" s="1"/>
  <c r="D78"/>
  <c r="D80" s="1"/>
  <c r="G77"/>
  <c r="AA77" l="1"/>
  <c r="AH77" s="1"/>
  <c r="AJ76"/>
  <c r="AY76"/>
  <c r="AL76"/>
  <c r="AU76"/>
  <c r="AK76"/>
  <c r="AQ76"/>
  <c r="AP76"/>
  <c r="AR76"/>
  <c r="AX76"/>
  <c r="AN76"/>
  <c r="AO76"/>
  <c r="AV76"/>
  <c r="AZ76"/>
  <c r="AM76"/>
  <c r="AS76"/>
  <c r="AW76"/>
  <c r="AG76"/>
  <c r="BA76"/>
  <c r="AF76"/>
  <c r="AE76"/>
  <c r="AI76"/>
  <c r="AD76"/>
  <c r="AB76"/>
  <c r="AH76"/>
  <c r="AT76"/>
  <c r="G78"/>
  <c r="G80" s="1"/>
  <c r="AB77" l="1"/>
  <c r="AS77"/>
  <c r="AV77"/>
  <c r="AZ77"/>
  <c r="AU77"/>
  <c r="AK77"/>
  <c r="AP77"/>
  <c r="AW77"/>
  <c r="AJ77"/>
  <c r="AY77"/>
  <c r="AX77"/>
  <c r="AN77"/>
  <c r="AR77"/>
  <c r="AQ77"/>
  <c r="AO77"/>
  <c r="AL77"/>
  <c r="AT77"/>
  <c r="AM77"/>
  <c r="BA77"/>
  <c r="AG77"/>
  <c r="AE77"/>
  <c r="AI77"/>
  <c r="AF77"/>
  <c r="AD77"/>
</calcChain>
</file>

<file path=xl/comments1.xml><?xml version="1.0" encoding="utf-8"?>
<comments xmlns="http://schemas.openxmlformats.org/spreadsheetml/2006/main">
  <authors>
    <author/>
    <author>Ernest Berkhout</author>
  </authors>
  <commentList>
    <comment ref="AB2" authorId="0">
      <text>
        <r>
          <rPr>
            <sz val="10"/>
            <rFont val="Arial"/>
            <family val="2"/>
          </rPr>
          <t>T.b.v. Tussentijdse ranking</t>
        </r>
      </text>
    </comment>
    <comment ref="Q17" authorId="0">
      <text>
        <r>
          <rPr>
            <sz val="10"/>
            <rFont val="Arial"/>
            <family val="2"/>
          </rPr>
          <t>Rankvolgorde voor start zoals geloot</t>
        </r>
      </text>
    </comment>
    <comment ref="R17" authorId="0">
      <text>
        <r>
          <rPr>
            <sz val="10"/>
            <rFont val="Arial"/>
            <family val="2"/>
          </rPr>
          <t>Allemaal 1 wedstrijd gespeeld?</t>
        </r>
      </text>
    </comment>
    <comment ref="S17" authorId="0">
      <text>
        <r>
          <rPr>
            <sz val="10"/>
            <rFont val="Arial"/>
            <family val="2"/>
          </rPr>
          <t>Indien 1ste speelronde geweest rankvolgorde loting opheffen</t>
        </r>
      </text>
    </comment>
    <comment ref="T17" authorId="1">
      <text>
        <r>
          <rPr>
            <b/>
            <sz val="9"/>
            <color indexed="81"/>
            <rFont val="Tahoma"/>
            <family val="2"/>
          </rPr>
          <t>Ernest Berkhout:</t>
        </r>
        <r>
          <rPr>
            <sz val="9"/>
            <color indexed="81"/>
            <rFont val="Tahoma"/>
            <family val="2"/>
          </rPr>
          <t xml:space="preserve">
kolom T voor alfabetische ranking.
</t>
        </r>
      </text>
    </comment>
    <comment ref="U17" authorId="0">
      <text>
        <r>
          <rPr>
            <sz val="10"/>
            <rFont val="Arial"/>
            <family val="2"/>
          </rPr>
          <t>Alle wedstrijden gespeeld?</t>
        </r>
      </text>
    </comment>
  </commentList>
</comments>
</file>

<file path=xl/sharedStrings.xml><?xml version="1.0" encoding="utf-8"?>
<sst xmlns="http://schemas.openxmlformats.org/spreadsheetml/2006/main" count="19085" uniqueCount="581">
  <si>
    <t>Puntentelling per wedstrijd:</t>
  </si>
  <si>
    <t>Groepsfase</t>
  </si>
  <si>
    <t>Finales zonder de juiste landencombinatie ('lucky-loser'-punten)</t>
  </si>
  <si>
    <t>Finales met de juiste landencombinatie</t>
  </si>
  <si>
    <t>Doelpunten Thuisploeg</t>
  </si>
  <si>
    <t>Doelpunten Uitploeg</t>
  </si>
  <si>
    <t>Totaal aantal doelpunten</t>
  </si>
  <si>
    <t>Eindscore *</t>
  </si>
  <si>
    <t>Toto voorspelling</t>
  </si>
  <si>
    <t>Juiste landenpositie (per land)</t>
  </si>
  <si>
    <t>N.v.t</t>
  </si>
  <si>
    <t>Puntentelling voorspelling land in juiste finale (ongeacht de positie)</t>
  </si>
  <si>
    <t>Deelnemer 1/8 finale</t>
  </si>
  <si>
    <t>Deelnemer 1/4 finale</t>
  </si>
  <si>
    <t>Deelnemer 1/2 finale</t>
  </si>
  <si>
    <t>Deelnemer troost finale</t>
  </si>
  <si>
    <t>Deelnemer finale</t>
  </si>
  <si>
    <t>Wereldkampioen</t>
  </si>
  <si>
    <t>* Bij een juiste eindscore vervallen de te behalen punten voor: Doelpunten uit/thuis &amp; totaal</t>
  </si>
  <si>
    <t>Groep A</t>
  </si>
  <si>
    <t>Toto</t>
  </si>
  <si>
    <t>WG</t>
  </si>
  <si>
    <t>PT</t>
  </si>
  <si>
    <t>W</t>
  </si>
  <si>
    <t>G</t>
  </si>
  <si>
    <t>V</t>
  </si>
  <si>
    <t>DPV</t>
  </si>
  <si>
    <t>DPT</t>
  </si>
  <si>
    <t>DPS</t>
  </si>
  <si>
    <t>-</t>
  </si>
  <si>
    <t>Groep B</t>
  </si>
  <si>
    <t>Groep C</t>
  </si>
  <si>
    <t>USA</t>
  </si>
  <si>
    <t>Groep D</t>
  </si>
  <si>
    <t>Groep E</t>
  </si>
  <si>
    <t>Groep F</t>
  </si>
  <si>
    <t>Groep G</t>
  </si>
  <si>
    <t>Groep H</t>
  </si>
  <si>
    <t>Indien gelijkspel</t>
  </si>
  <si>
    <t>land1</t>
  </si>
  <si>
    <t>land2</t>
  </si>
  <si>
    <t>winnaar</t>
  </si>
  <si>
    <t>verliezer</t>
  </si>
  <si>
    <t>0=winnaar/verliezer gekend,1=niet</t>
  </si>
  <si>
    <t>Winnaar</t>
  </si>
  <si>
    <t>Kwart Finale</t>
  </si>
  <si>
    <t>Halve Finale</t>
  </si>
  <si>
    <t>Troostfinale</t>
  </si>
  <si>
    <t>Finale</t>
  </si>
  <si>
    <t>Willem</t>
  </si>
  <si>
    <t>Reindert</t>
  </si>
  <si>
    <t>PeterK</t>
  </si>
  <si>
    <t>Paul</t>
  </si>
  <si>
    <t>Matthijs</t>
  </si>
  <si>
    <t>Mariel</t>
  </si>
  <si>
    <t>Lothar</t>
  </si>
  <si>
    <t>Linda</t>
  </si>
  <si>
    <t>Leen</t>
  </si>
  <si>
    <t>Joris</t>
  </si>
  <si>
    <t>Jan</t>
  </si>
  <si>
    <t>Gerard</t>
  </si>
  <si>
    <t>Frank</t>
  </si>
  <si>
    <t>Eric</t>
  </si>
  <si>
    <t>Annita</t>
  </si>
  <si>
    <t>Angele</t>
  </si>
  <si>
    <t>A1</t>
  </si>
  <si>
    <t>A2</t>
  </si>
  <si>
    <t>B1</t>
  </si>
  <si>
    <t>B2</t>
  </si>
  <si>
    <t>C1</t>
  </si>
  <si>
    <t>C2</t>
  </si>
  <si>
    <t>D1</t>
  </si>
  <si>
    <t>D2</t>
  </si>
  <si>
    <t>E1</t>
  </si>
  <si>
    <t>E2</t>
  </si>
  <si>
    <t>F1</t>
  </si>
  <si>
    <t>F2</t>
  </si>
  <si>
    <t>G1</t>
  </si>
  <si>
    <t>G2</t>
  </si>
  <si>
    <t>H1</t>
  </si>
  <si>
    <t>H2</t>
  </si>
  <si>
    <t xml:space="preserve">  </t>
  </si>
  <si>
    <t>Boni 1/4</t>
  </si>
  <si>
    <t>Boni 1/2</t>
  </si>
  <si>
    <t>Boni finale</t>
  </si>
  <si>
    <t>Bonus winnaar</t>
  </si>
  <si>
    <t>Achtste finale</t>
  </si>
  <si>
    <t>Kwartfinale</t>
  </si>
  <si>
    <t>Halve finale</t>
  </si>
  <si>
    <t>Boni 1/8</t>
  </si>
  <si>
    <t>Boni finalisten</t>
  </si>
  <si>
    <t>sort1</t>
  </si>
  <si>
    <t>match nr.</t>
  </si>
  <si>
    <t>Voorspelling</t>
  </si>
  <si>
    <t>Uitslag</t>
  </si>
  <si>
    <t>Punten</t>
  </si>
  <si>
    <t>  Mexico</t>
  </si>
  <si>
    <t>Uruguay</t>
  </si>
  <si>
    <t>  Frankrijk</t>
  </si>
  <si>
    <t>  Uruguay</t>
  </si>
  <si>
    <t>Frankrijk  </t>
  </si>
  <si>
    <t>Mexico  </t>
  </si>
  <si>
    <t>Argentinië</t>
  </si>
  <si>
    <t>  Nigeria</t>
  </si>
  <si>
    <t>Zuid-Korea</t>
  </si>
  <si>
    <t>  Griekenland</t>
  </si>
  <si>
    <t>Griekenland</t>
  </si>
  <si>
    <t>  Zuid-Korea</t>
  </si>
  <si>
    <t>Nigeria</t>
  </si>
  <si>
    <t>Engeland</t>
  </si>
  <si>
    <t>Algerije</t>
  </si>
  <si>
    <t>  Algerije</t>
  </si>
  <si>
    <t>  Engeland</t>
  </si>
  <si>
    <t>Duitsland  </t>
  </si>
  <si>
    <t>  Ghana</t>
  </si>
  <si>
    <t>Ghana  </t>
  </si>
  <si>
    <t>  Duitsland</t>
  </si>
  <si>
    <t>Nederland  </t>
  </si>
  <si>
    <t>Japan  </t>
  </si>
  <si>
    <t>  Kameroen</t>
  </si>
  <si>
    <t>  Japan</t>
  </si>
  <si>
    <t>Kameroen  </t>
  </si>
  <si>
    <t>  Nederland</t>
  </si>
  <si>
    <t>Ivoorkust  </t>
  </si>
  <si>
    <t>  Portugal</t>
  </si>
  <si>
    <t>  Ivoorkust</t>
  </si>
  <si>
    <t>Portugal  </t>
  </si>
  <si>
    <t>Honduras  </t>
  </si>
  <si>
    <t>  Chili</t>
  </si>
  <si>
    <t>Spanje  </t>
  </si>
  <si>
    <t>  Zwitserland</t>
  </si>
  <si>
    <t>Chili  </t>
  </si>
  <si>
    <t>  Honduras</t>
  </si>
  <si>
    <t>  Spanje</t>
  </si>
  <si>
    <t>Zwitserland  </t>
  </si>
  <si>
    <t>Nederland</t>
  </si>
  <si>
    <t>Kwart finale</t>
  </si>
  <si>
    <t>Wedstrijd om de derde en vierde plaats</t>
  </si>
  <si>
    <t>Spanje</t>
  </si>
  <si>
    <t>Resultaat groep A:</t>
  </si>
  <si>
    <t>Winnaar:</t>
  </si>
  <si>
    <t>  </t>
  </si>
  <si>
    <t>Tweede plaats:</t>
  </si>
  <si>
    <t>Frankrijk</t>
  </si>
  <si>
    <t>Overzicht landen groep A:</t>
  </si>
  <si>
    <t>Land</t>
  </si>
  <si>
    <t>Punten  </t>
  </si>
  <si>
    <t>Doelsaldo  </t>
  </si>
  <si>
    <t>Doelpunten</t>
  </si>
  <si>
    <t>  4</t>
  </si>
  <si>
    <t>  0</t>
  </si>
  <si>
    <t>  3</t>
  </si>
  <si>
    <t>Mexico</t>
  </si>
  <si>
    <t>  2</t>
  </si>
  <si>
    <t>  -1</t>
  </si>
  <si>
    <t>  5</t>
  </si>
  <si>
    <t>  1</t>
  </si>
  <si>
    <t>Uitleg berekening groep A:</t>
  </si>
  <si>
    <t>Winnaar groep A bepaald door hoogste aantal punten.</t>
  </si>
  <si>
    <t>Tweede plaats groep A bepaald door aantal doelpunten in de groep.</t>
  </si>
  <si>
    <t>Resultaat groep B:</t>
  </si>
  <si>
    <t>Overzicht landen groep B:</t>
  </si>
  <si>
    <t>  -5</t>
  </si>
  <si>
    <t>  9</t>
  </si>
  <si>
    <t>  6</t>
  </si>
  <si>
    <t>  -2</t>
  </si>
  <si>
    <t>Uitleg berekening groep B:</t>
  </si>
  <si>
    <t>Winnaar groep B bepaald door hoogste aantal punten.</t>
  </si>
  <si>
    <t>Tweede plaats groep B bepaald door hoogste aantal punten.</t>
  </si>
  <si>
    <t>Resultaat groep C:</t>
  </si>
  <si>
    <t>Overzicht landen groep C:</t>
  </si>
  <si>
    <t>  -3</t>
  </si>
  <si>
    <t>  7</t>
  </si>
  <si>
    <t>Uitleg berekening groep C:</t>
  </si>
  <si>
    <t>Winnaar groep C bepaald door hoogste aantal punten.</t>
  </si>
  <si>
    <t>Tweede plaats groep C bepaald door hoogste aantal punten.</t>
  </si>
  <si>
    <t>Resultaat groep D:</t>
  </si>
  <si>
    <t>Duitsland</t>
  </si>
  <si>
    <t>Overzicht landen groep D:</t>
  </si>
  <si>
    <t>Australië</t>
  </si>
  <si>
    <t>  -4</t>
  </si>
  <si>
    <t>Ghana</t>
  </si>
  <si>
    <t>Uitleg berekening groep D:</t>
  </si>
  <si>
    <t>Winnaar en tweede plaats groep D bepaald door doelsaldo in de groep.</t>
  </si>
  <si>
    <t>Resultaat groep E:</t>
  </si>
  <si>
    <t>Kameroen</t>
  </si>
  <si>
    <t>Overzicht landen groep E:</t>
  </si>
  <si>
    <t>Japan</t>
  </si>
  <si>
    <t>  -7</t>
  </si>
  <si>
    <t>Uitleg berekening groep E:</t>
  </si>
  <si>
    <t>Winnaar groep E bepaald door hoogste aantal punten.</t>
  </si>
  <si>
    <t>Tweede plaats groep E bepaald door hoogste aantal punten.</t>
  </si>
  <si>
    <t>Resultaat groep F:</t>
  </si>
  <si>
    <t>Italië</t>
  </si>
  <si>
    <t>Overzicht landen groep F:</t>
  </si>
  <si>
    <t>Uitleg berekening groep F:</t>
  </si>
  <si>
    <t>Winnaar groep F bepaald door hoogste aantal punten.</t>
  </si>
  <si>
    <t>Tweede plaats groep F bepaald door hoogste aantal punten.</t>
  </si>
  <si>
    <t>Resultaat groep G:</t>
  </si>
  <si>
    <t>Brazilië</t>
  </si>
  <si>
    <t>Ivoorkust</t>
  </si>
  <si>
    <t>Overzicht landen groep G:</t>
  </si>
  <si>
    <t>Portugal</t>
  </si>
  <si>
    <t>Uitleg berekening groep G:</t>
  </si>
  <si>
    <t>Winnaar groep G bepaald door hoogste aantal punten.</t>
  </si>
  <si>
    <t>Tweede plaats groep G bepaald door hoogste aantal punten.</t>
  </si>
  <si>
    <t>Resultaat groep H:</t>
  </si>
  <si>
    <t>Chili</t>
  </si>
  <si>
    <t>Overzicht landen groep H:</t>
  </si>
  <si>
    <t>Zwitserland</t>
  </si>
  <si>
    <t>Honduras</t>
  </si>
  <si>
    <t>Uitleg berekening groep H:</t>
  </si>
  <si>
    <t>Winnaar groep H bepaald door hoogste aantal punten.</t>
  </si>
  <si>
    <t>Tweede plaats groep H bepaald door hoogste aantal punten.</t>
  </si>
  <si>
    <t>De vermelde cijfers zijn de totalen behaald binnen de groepen. Voor de bepaling van de uiteindelijke winnaar en tweede van groep kan gebruik zijn gemaakt van de punten, doelsaldi en doelpunten van de onderlinge wedstrijden tussen de betreffende landen.</t>
  </si>
  <si>
    <t>Alles over ons</t>
  </si>
  <si>
    <t>Over WK.nl</t>
  </si>
  <si>
    <t>Adverteren</t>
  </si>
  <si>
    <t>Colofon</t>
  </si>
  <si>
    <t>Contact</t>
  </si>
  <si>
    <t>Gerelateerde websites</t>
  </si>
  <si>
    <t>VoetbalOnline.nl</t>
  </si>
  <si>
    <t>OranjeFestival</t>
  </si>
  <si>
    <t>EK.nl</t>
  </si>
  <si>
    <t>Voetbal Online</t>
  </si>
  <si>
    <t>Disclaimer</t>
  </si>
  <si>
    <t>Privacy statement</t>
  </si>
  <si>
    <t>Algemene voorwaarden</t>
  </si>
  <si>
    <t>Algemeen</t>
  </si>
  <si>
    <t>Vertel het door!</t>
  </si>
  <si>
    <t>© 2009 - 2010 WK.nl</t>
  </si>
  <si>
    <t>Uruguay  </t>
  </si>
  <si>
    <t>Zuid-Korea  </t>
  </si>
  <si>
    <t>Griekenland  </t>
  </si>
  <si>
    <t>Nigeria  </t>
  </si>
  <si>
    <t>Engeland  </t>
  </si>
  <si>
    <t>Algerije  </t>
  </si>
  <si>
    <t>Winnaar en tweede plaats groep A bepaald door aantal doelpunten in de groep.</t>
  </si>
  <si>
    <t>Winnaar en tweede plaats groep C bepaald door doelsaldo in de groep.</t>
  </si>
  <si>
    <t>Winnaar groep D bepaald door hoogste aantal punten.</t>
  </si>
  <si>
    <t>Tweede plaats groep D bepaald door hoogste aantal punten.</t>
  </si>
  <si>
    <t>  -6</t>
  </si>
  <si>
    <t>Winnaar en tweede plaats groep F bepaald door doelsaldo in de groep.</t>
  </si>
  <si>
    <t>  8</t>
  </si>
  <si>
    <t>  10</t>
  </si>
  <si>
    <t>Winnaar en tweede plaats groep A bepaald door doelsaldo in de groep.</t>
  </si>
  <si>
    <t>  -8</t>
  </si>
  <si>
    <t>Winnaar en tweede plaats groep G bepaald door doelsaldo in de groep.</t>
  </si>
  <si>
    <t>"roodhemden"</t>
  </si>
  <si>
    <t>Tweede plaats groep A bepaald door doelsaldo.</t>
  </si>
  <si>
    <t>Tweede plaats groep G bepaald door doelsaldo.</t>
  </si>
  <si>
    <t>Tweede plaats groep A bepaald door hoogste aantal punten.</t>
  </si>
  <si>
    <t>  -9</t>
  </si>
  <si>
    <t>"Blablablaf"</t>
  </si>
  <si>
    <t>  11</t>
  </si>
  <si>
    <t>  -10</t>
  </si>
  <si>
    <t>"Ouderwetse linksbuiten"</t>
  </si>
  <si>
    <t>Winnaar en tweede plaats groep G bepaald door aantal doelpunten in de groep.</t>
  </si>
  <si>
    <t>Tweede plaats groep H bepaald door doelsaldo.</t>
  </si>
  <si>
    <t>Winnaar en tweede plaats groep H bepaald door aantal doelpunten in de groep.</t>
  </si>
  <si>
    <t>Winnaar en tweede plaats groep B bepaald door doelsaldo in de groep.</t>
  </si>
  <si>
    <t>"Chogogo"</t>
  </si>
  <si>
    <t>Tweede plaats groep F bepaald door doelsaldo.</t>
  </si>
  <si>
    <t>"WST3W"</t>
  </si>
  <si>
    <t>Tweede plaats groep D bepaald door doelsaldo.</t>
  </si>
  <si>
    <t>Tweede plaats groep H bepaald door (handmatig geselecteerde) loting door de FIFA.</t>
  </si>
  <si>
    <t>"Lothar"</t>
  </si>
  <si>
    <t>Winnaar en tweede plaats groep H bepaald door doelsaldo in de groep.</t>
  </si>
  <si>
    <t>"El Gran"</t>
  </si>
  <si>
    <t>Tweede plaats groep E bepaald door doelsaldo.</t>
  </si>
  <si>
    <t>"Mannshaft der Freund"</t>
  </si>
  <si>
    <t>"Grondnootjesboter"</t>
  </si>
  <si>
    <t>Nr.</t>
  </si>
  <si>
    <t>Tweede plaats groep B bepaald door doelsaldo.</t>
  </si>
  <si>
    <t>Winnaar en tweede plaats groep D bepaald door aantal doelpunten in de groep.</t>
  </si>
  <si>
    <t>"kracht uit tegenslag"</t>
  </si>
  <si>
    <t>Tweede plaats groep C bepaald door doelsaldo.</t>
  </si>
  <si>
    <t>"Pata Pata"</t>
  </si>
  <si>
    <t>Winnaar en tweede plaats groep G bepaald door (handmatig geselecteerde) loting door de FIFA.</t>
  </si>
  <si>
    <t>Bonusvragen</t>
  </si>
  <si>
    <t>Wie wordt de topscorer van dit WK?</t>
  </si>
  <si>
    <t>Hoeveel directe rode kaarten worden er gegeven tijdens dit WK?</t>
  </si>
  <si>
    <t>Hoeveel strafschoppen (excl. penaltyseries na verlenging) worden er gegeven tijdens dit WK?</t>
  </si>
  <si>
    <t>Hoeveel doelpunten (excl. penaltyseries na verlenging) scoort de wereldkampioen dit WK?</t>
  </si>
  <si>
    <t>Hoeveel doelpunten (excl. penaltyseries na verlenging) worden er in totaal gescoord tijdens dit WK?</t>
  </si>
  <si>
    <t>Puntentelling</t>
  </si>
  <si>
    <t>Final rank</t>
  </si>
  <si>
    <t>Rangschikking voor beëindiging poule fase</t>
  </si>
  <si>
    <t>(handmatig)</t>
  </si>
  <si>
    <t>Stap</t>
  </si>
  <si>
    <t>a)</t>
  </si>
  <si>
    <t>b)</t>
  </si>
  <si>
    <t>c)</t>
  </si>
  <si>
    <t>Pt</t>
  </si>
  <si>
    <t>Ranking</t>
  </si>
  <si>
    <t>Handmatig</t>
  </si>
  <si>
    <t>PT.</t>
  </si>
  <si>
    <t>Rangschikking stap:</t>
  </si>
  <si>
    <t>Toernooi gegevens</t>
  </si>
  <si>
    <t>A3</t>
  </si>
  <si>
    <t>A4</t>
  </si>
  <si>
    <t>B3</t>
  </si>
  <si>
    <t>B4</t>
  </si>
  <si>
    <t>C3</t>
  </si>
  <si>
    <t>C4</t>
  </si>
  <si>
    <t>D3</t>
  </si>
  <si>
    <t>D4</t>
  </si>
  <si>
    <t>E4</t>
  </si>
  <si>
    <t>E3</t>
  </si>
  <si>
    <t>F3</t>
  </si>
  <si>
    <t>F4</t>
  </si>
  <si>
    <t>G3</t>
  </si>
  <si>
    <t>G4</t>
  </si>
  <si>
    <t>H3</t>
  </si>
  <si>
    <t>H4</t>
  </si>
  <si>
    <t>Achtste Finale</t>
  </si>
  <si>
    <t>1A</t>
  </si>
  <si>
    <t>2B</t>
  </si>
  <si>
    <t>2A</t>
  </si>
  <si>
    <t>1C</t>
  </si>
  <si>
    <t>2D</t>
  </si>
  <si>
    <t>1B</t>
  </si>
  <si>
    <t>1D</t>
  </si>
  <si>
    <t>2C</t>
  </si>
  <si>
    <t>1E</t>
  </si>
  <si>
    <t>2F</t>
  </si>
  <si>
    <t>2E</t>
  </si>
  <si>
    <t>1G</t>
  </si>
  <si>
    <t>2H</t>
  </si>
  <si>
    <t>1F</t>
  </si>
  <si>
    <t>2G</t>
  </si>
  <si>
    <t>1H</t>
  </si>
  <si>
    <t>W49</t>
  </si>
  <si>
    <t>W53</t>
  </si>
  <si>
    <t>W54</t>
  </si>
  <si>
    <t>W50</t>
  </si>
  <si>
    <t>W51</t>
  </si>
  <si>
    <t>W52</t>
  </si>
  <si>
    <t>W55</t>
  </si>
  <si>
    <t>W56</t>
  </si>
  <si>
    <t>W58</t>
  </si>
  <si>
    <t>W57</t>
  </si>
  <si>
    <t>W59</t>
  </si>
  <si>
    <t>W60</t>
  </si>
  <si>
    <t>V61</t>
  </si>
  <si>
    <t>V62</t>
  </si>
  <si>
    <t>W61</t>
  </si>
  <si>
    <t>Winnaar 61</t>
  </si>
  <si>
    <t>Verliezer 61</t>
  </si>
  <si>
    <t>W62</t>
  </si>
  <si>
    <t>Winnaar 62</t>
  </si>
  <si>
    <t>Verliezer 62</t>
  </si>
  <si>
    <t>v5</t>
  </si>
  <si>
    <t>EB</t>
  </si>
  <si>
    <t>macro's teruggezet, vanwege onderling resultaat</t>
  </si>
  <si>
    <t>boni ingevoegd op deelnemerssheet - als som van alle 16-8-4-2-1 landen</t>
  </si>
  <si>
    <t>boni ingevoegd in scoresheet - aan het eind van de ronde, dus niet na elke dag</t>
  </si>
  <si>
    <t>dat betekent dat je voor een mooie grafiek nu, op de score-sheet, de rijen met nog te spelen wedstrijden in die ronde moet verbergen</t>
  </si>
  <si>
    <t>daarom ook op scoresheet rechts (na aftrek gemiddelde) even de laatste score doorgekopieerd naar beneden</t>
  </si>
  <si>
    <t>scoresheet kolom A fungeert nu ook als x-aslabels voor de grafiek</t>
  </si>
  <si>
    <t>EC</t>
  </si>
  <si>
    <t>v5.1</t>
  </si>
  <si>
    <t>macro's NIET teruggezet. Zie dit als aparte versie zonder macro's. We hebben 2 jaar de tijd om het probleem 'onderling resultaat' op te lossen :-)</t>
  </si>
  <si>
    <t>v6.0</t>
  </si>
  <si>
    <t>boni-score gewijzigd (voor 1/8e finales) in per wedstrijd. EB vindt het optisch geen verbetering; kost ook erg veel rijen/grafiekruimte die je later toch weer moet verbergen</t>
  </si>
  <si>
    <t>de formule biedt wel perspectief als je bonuspunten zou willen geven voor juiste plek! Maar dan nog zou ik het liever op 1 rij zetten</t>
  </si>
  <si>
    <t>Boni</t>
  </si>
  <si>
    <t>sheet gemiddelden: hier is iets verneukt door verwijzingen naar files in te voegen, komt uit eerdere versies (waarschijnlijk in versie4 door EB) ???</t>
  </si>
  <si>
    <t>sheet gemiddelden: hier is iets verneukt door verwijzingen naar files in te voegen, komt uit eerdere versies (EC zelfde fout? verwijzing is nu ineens naar zijn desktop :-) )</t>
  </si>
  <si>
    <t>hersteld. Ook hele zooi namen verwijderd mbv Formules/Namen beheren</t>
  </si>
  <si>
    <t>ook dit maar laten staan, wil ik nog wel terugzetten in v6.1</t>
  </si>
  <si>
    <t>macro's weggehaald. Op zich prima, maar daardoor gaat het nu wel mis als je onderling resultaat moet berekenen (dat gebeurt niet meer)</t>
  </si>
  <si>
    <t>op sheet gemiddelden klopt de puntentelling niet?</t>
  </si>
  <si>
    <t>verwijzingen zouden nog veel efficienter kunnen door slim gebruik van namen; met name de blokken op Invulblad waar veel naar verwezen wordt</t>
  </si>
  <si>
    <t>Invulblad!$F$76:$F$83</t>
  </si>
  <si>
    <t>Invulblad!$B$14:$P$89</t>
  </si>
  <si>
    <t>Invulblad!$J$76:$J$83</t>
  </si>
  <si>
    <t>final16_1</t>
  </si>
  <si>
    <t>final16_2</t>
  </si>
  <si>
    <t>uitslagen1</t>
  </si>
  <si>
    <t>etc. etc.</t>
  </si>
  <si>
    <t>grafiek is ook gewijzigd, maar niet goed (convergeert naar nul in laatste punt!). Is nu scrollgrafiek, als aparte grafiek op een sheet, dat is wel handig waarschijnlijk</t>
  </si>
  <si>
    <t>aangepast: x-aslabels in scoresheet kolom A en verbergen ongebruikte rijen; scrollgrafiek behouden als losse grafiek op sheet.</t>
  </si>
  <si>
    <t>In sheets score &amp; quickview titels vastgezet</t>
  </si>
  <si>
    <t>Er zit nog een FOUT in het aanwijzen van de wereldkampioen. Dat blijkt namelijk niet uit de deelnemerssheets, dus igv gelijkspel in finale neem ik er gewoon maar een van de twee…</t>
  </si>
  <si>
    <t>v6.1</t>
  </si>
  <si>
    <t xml:space="preserve">scores (tbv betere grafiek) voorzien van (2*random getal - 1). Blijft gemiddeld neutraal maar laat lijntjes beter zien in grafiek. </t>
  </si>
  <si>
    <t>v6.2</t>
  </si>
  <si>
    <t>foutje hersteld in boni 1/2e finale en hoger</t>
  </si>
  <si>
    <t>Kroatië</t>
  </si>
  <si>
    <t>Colombia</t>
  </si>
  <si>
    <t>Costa Rica</t>
  </si>
  <si>
    <t>Ecuador</t>
  </si>
  <si>
    <t>Bosnië-Herzegovina</t>
  </si>
  <si>
    <t>Iran</t>
  </si>
  <si>
    <t>België</t>
  </si>
  <si>
    <t>Rusland</t>
  </si>
  <si>
    <t>http://www.fifa.com/worldcup/matches/index.html</t>
  </si>
  <si>
    <t>vr</t>
  </si>
  <si>
    <t>za</t>
  </si>
  <si>
    <t>24:00</t>
  </si>
  <si>
    <t>wo</t>
  </si>
  <si>
    <t>ma</t>
  </si>
  <si>
    <t>do</t>
  </si>
  <si>
    <t>zo</t>
  </si>
  <si>
    <t>di</t>
  </si>
  <si>
    <t>WERELDKAMPIOEN 2014</t>
  </si>
  <si>
    <t>Finalisten</t>
  </si>
  <si>
    <t>Troostfinalisten</t>
  </si>
  <si>
    <t>Halve finalisten</t>
  </si>
  <si>
    <t>Kwartfinalisten</t>
  </si>
  <si>
    <t>OPMERKINGEN 2014</t>
  </si>
  <si>
    <t>gr_labels</t>
  </si>
  <si>
    <t>gr_scores</t>
  </si>
  <si>
    <t>aantal_deelnemers</t>
  </si>
  <si>
    <t>=VERSCHUIVING(score!$Z$1;1;0;AANTAL(score!$AA$2:$AA$77);1)</t>
  </si>
  <si>
    <t>v1.01</t>
  </si>
  <si>
    <t>Op weg dynamische grafiek te maken. Dat kan alleen met relatieve verwijzingen voor elke grafiekreeks apart. Let daarbij ook op het label van de serie…</t>
  </si>
  <si>
    <t>v1.02</t>
  </si>
  <si>
    <t>foutje opgelost met hardcoded USA</t>
  </si>
  <si>
    <t>Datum</t>
  </si>
  <si>
    <t>Tijd</t>
  </si>
  <si>
    <t>Brazilie  </t>
  </si>
  <si>
    <t>  Kroatie</t>
  </si>
  <si>
    <t>  Brazilie</t>
  </si>
  <si>
    <t>Kroatie  </t>
  </si>
  <si>
    <t>  Australie</t>
  </si>
  <si>
    <t>Australie  </t>
  </si>
  <si>
    <t>Colombia  </t>
  </si>
  <si>
    <t>  Colombia</t>
  </si>
  <si>
    <t>  Costa Rica</t>
  </si>
  <si>
    <t>  Italie</t>
  </si>
  <si>
    <t>Italie  </t>
  </si>
  <si>
    <t>Costa Rica  </t>
  </si>
  <si>
    <t>  Ecuador</t>
  </si>
  <si>
    <t>Ecuador  </t>
  </si>
  <si>
    <t>Argentinie  </t>
  </si>
  <si>
    <t>  Bosnie en Herzegovina</t>
  </si>
  <si>
    <t>Iran  </t>
  </si>
  <si>
    <t>  Iran</t>
  </si>
  <si>
    <t>  Argentinie</t>
  </si>
  <si>
    <t>Bosnie en Herzegovina  </t>
  </si>
  <si>
    <t>  Verenigde Staten</t>
  </si>
  <si>
    <t>Verenigde Staten  </t>
  </si>
  <si>
    <t>Belgie  </t>
  </si>
  <si>
    <t>Rusland  </t>
  </si>
  <si>
    <t>  Rusland</t>
  </si>
  <si>
    <t>  Belgie</t>
  </si>
  <si>
    <t>Argentinie</t>
  </si>
  <si>
    <t>K1</t>
  </si>
  <si>
    <t>K2</t>
  </si>
  <si>
    <t>K3</t>
  </si>
  <si>
    <t>K4</t>
  </si>
  <si>
    <t>K5</t>
  </si>
  <si>
    <t>K6</t>
  </si>
  <si>
    <t>K7</t>
  </si>
  <si>
    <t>K8</t>
  </si>
  <si>
    <t>HA1</t>
  </si>
  <si>
    <t>HA2</t>
  </si>
  <si>
    <t>HA3</t>
  </si>
  <si>
    <t>HA4</t>
  </si>
  <si>
    <t>FIN1</t>
  </si>
  <si>
    <t>FIN2</t>
  </si>
  <si>
    <t>WIN</t>
  </si>
  <si>
    <t>LET OP de ë !!!</t>
  </si>
  <si>
    <t>teams_achtste</t>
  </si>
  <si>
    <t>v1.1</t>
  </si>
  <si>
    <t>namen loc_* voor locatie K1-K8, HA1-HA4 etc op deelnemerssheets; namen teams_* voor finaleteams</t>
  </si>
  <si>
    <t>1=2</t>
  </si>
  <si>
    <t>2=3</t>
  </si>
  <si>
    <t>1=2=3</t>
  </si>
  <si>
    <t>2=3=4</t>
  </si>
  <si>
    <t>geen equals</t>
  </si>
  <si>
    <t>A</t>
  </si>
  <si>
    <t>B</t>
  </si>
  <si>
    <t>C</t>
  </si>
  <si>
    <t>D</t>
  </si>
  <si>
    <t>E</t>
  </si>
  <si>
    <t>als 9: zoek in welke rij deze waarde nog eens voorkomt</t>
  </si>
  <si>
    <t>default ranking</t>
  </si>
  <si>
    <t>equals obv alfabet</t>
  </si>
  <si>
    <t>Carin</t>
  </si>
  <si>
    <t>Ellen</t>
  </si>
  <si>
    <t>Marjon</t>
  </si>
  <si>
    <t>Dries</t>
  </si>
  <si>
    <t>Marc</t>
  </si>
  <si>
    <t>Nijdam_sr</t>
  </si>
  <si>
    <t>Junior</t>
  </si>
  <si>
    <t xml:space="preserve">- </t>
  </si>
  <si>
    <t>"Kloes Juan"</t>
  </si>
  <si>
    <t>"The Freaky"</t>
  </si>
  <si>
    <t>"admiraal"</t>
  </si>
  <si>
    <t>"Andenpott"</t>
  </si>
  <si>
    <t>"De Lange Vlaar"</t>
  </si>
  <si>
    <t>"van Gaal for Sale"</t>
  </si>
  <si>
    <t>"De Duitse Olifant"</t>
  </si>
  <si>
    <t>"Bep Blatter"</t>
  </si>
  <si>
    <t>"majellatilfjorden"</t>
  </si>
  <si>
    <t>"Krasse Knar"</t>
  </si>
  <si>
    <t>"F.C. Selfkant"</t>
  </si>
  <si>
    <t>Jolanthe</t>
  </si>
  <si>
    <t>Winnaar A1-B2</t>
  </si>
  <si>
    <t>Winnaar E1-F2</t>
  </si>
  <si>
    <t>Winnaar B1-A2</t>
  </si>
  <si>
    <t>Winnaar F1-E2</t>
  </si>
  <si>
    <t>Winnaar C1-D2</t>
  </si>
  <si>
    <t>Winnaar G1-H2</t>
  </si>
  <si>
    <t>Winnaar D1-C2</t>
  </si>
  <si>
    <t>Winnaar H1-G2</t>
  </si>
  <si>
    <t>Winnaar A1/B2-C1/D2</t>
  </si>
  <si>
    <t>Winnaar E1/F2-G1/H2</t>
  </si>
  <si>
    <t>Winnaar B1/A2-D1/C2</t>
  </si>
  <si>
    <t>Winnaar F1/E2-H1/G2</t>
  </si>
  <si>
    <t>Bra</t>
  </si>
  <si>
    <t>Dui</t>
  </si>
  <si>
    <t>Spa</t>
  </si>
  <si>
    <t>Arg</t>
  </si>
  <si>
    <t>Print het overzicht   </t>
  </si>
  <si>
    <t>Tweede plaats groep D bepaald door aantal doelpunten in de groep.</t>
  </si>
  <si>
    <t>  13</t>
  </si>
  <si>
    <t>  14</t>
  </si>
  <si>
    <t>Winnaar en tweede plaats groep C bepaald door (handmatig geselecteerde) loting door de FIFA.</t>
  </si>
  <si>
    <t>Tweede plaats groep E bepaald door aantal doelpunten in de groep.</t>
  </si>
  <si>
    <t>Tweede plaats groep C bepaald door aantal doelpunten in de groep.</t>
  </si>
  <si>
    <t>Winnaar en tweede plaats groep E bepaald door doelsaldo in de groep.</t>
  </si>
  <si>
    <t>Tweede plaats groep E bepaald door (handmatig geselecteerde) loting door de FIFA.</t>
  </si>
  <si>
    <t>Winnaar en tweede plaats groep E bepaald door aantal doelpunten in de groep.</t>
  </si>
  <si>
    <t>Winnaar en tweede plaats groep D bepaald door (handmatig geselecteerde) loting door de FIFA.</t>
  </si>
  <si>
    <t>Tweede plaats groep B bepaald door (handmatig geselecteerde) loting door de FIFA.</t>
  </si>
  <si>
    <t>Tweede plaats groep F bepaald door aantal doelpunten in de groep.</t>
  </si>
  <si>
    <t>Winnaar en tweede plaats groep C bepaald door aantal doelpunten in de groep.</t>
  </si>
  <si>
    <t>  -12</t>
  </si>
  <si>
    <t>Winnaar en tweede plaats groep B bepaald door aantal doelpunten in de groep.</t>
  </si>
  <si>
    <t>Winnaar groep G bepaald door doelsaldo in de groep.</t>
  </si>
  <si>
    <t>Tweede plaats groep G bepaald door aantal doelpunten in de groep.</t>
  </si>
  <si>
    <t>v1.103</t>
  </si>
  <si>
    <t>formulieren ingekopieerd</t>
  </si>
  <si>
    <t>troostfinalist</t>
  </si>
  <si>
    <t>laatste 4</t>
  </si>
  <si>
    <t>2 - 1</t>
  </si>
  <si>
    <t>0 - 0</t>
  </si>
  <si>
    <t>1 - 1</t>
  </si>
  <si>
    <t>1 - 0</t>
  </si>
  <si>
    <t>2 - 0</t>
  </si>
  <si>
    <t>1 - 2</t>
  </si>
  <si>
    <t>0 - 2</t>
  </si>
  <si>
    <t>0 - 1</t>
  </si>
  <si>
    <t>Doelpunten gescoord tegen:</t>
  </si>
  <si>
    <t>Doelpunten geincasseerd tegen:</t>
  </si>
  <si>
    <t>Als iedereen een wedstrijd heeft gespeeld, default ranking neautraliseren en over naar kolom T</t>
  </si>
  <si>
    <t>Onderling saldo</t>
  </si>
  <si>
    <t>d)</t>
  </si>
  <si>
    <t>OR</t>
  </si>
  <si>
    <t>subtotaal</t>
  </si>
  <si>
    <t>totaal a-d</t>
  </si>
  <si>
    <t>v1.2</t>
  </si>
  <si>
    <r>
      <t xml:space="preserve">onderling resultaat tussen 2 teams opgelost! </t>
    </r>
    <r>
      <rPr>
        <i/>
        <sz val="10"/>
        <rFont val="Arial"/>
        <family val="2"/>
      </rPr>
      <t>(blijft: tussen drie teams…)</t>
    </r>
  </si>
  <si>
    <t>Brazilië  </t>
  </si>
  <si>
    <t>  Kroatië</t>
  </si>
  <si>
    <t>  Brazilië</t>
  </si>
  <si>
    <t>Kroatië  </t>
  </si>
  <si>
    <t>  Australië</t>
  </si>
  <si>
    <t>Australië  </t>
  </si>
  <si>
    <t>  Italië</t>
  </si>
  <si>
    <t>Italië  </t>
  </si>
  <si>
    <t>Argentinië  </t>
  </si>
  <si>
    <t>  Bosnië en Herzegovina</t>
  </si>
  <si>
    <t>  Argentinië</t>
  </si>
  <si>
    <t>Bosnië en Herzegovina  </t>
  </si>
  <si>
    <t>België  </t>
  </si>
  <si>
    <t>  België</t>
  </si>
  <si>
    <t>Wedstrijd om de derde en viërde plaats</t>
  </si>
  <si>
    <t>Bosnië en Herzegovina</t>
  </si>
  <si>
    <t>Klik hiër voor meer infomatië m.b.t de berekening en de regels van de FIFA.   </t>
  </si>
  <si>
    <t>Klik hiër voor de uitleg, de regels en de puntentelling van de pools op WK.nl.   </t>
  </si>
  <si>
    <t>"Ribery doet niët mee"</t>
  </si>
  <si>
    <t>"Piërre de Coubertin"</t>
  </si>
  <si>
    <t>  USA</t>
  </si>
  <si>
    <t>USA  </t>
  </si>
  <si>
    <t>Troost</t>
  </si>
  <si>
    <t>Extra vragen</t>
  </si>
</sst>
</file>

<file path=xl/styles.xml><?xml version="1.0" encoding="utf-8"?>
<styleSheet xmlns="http://schemas.openxmlformats.org/spreadsheetml/2006/main">
  <numFmts count="5">
    <numFmt numFmtId="164" formatCode="ddd\ "/>
    <numFmt numFmtId="165" formatCode="d\ mmmm"/>
    <numFmt numFmtId="166" formatCode="0.0"/>
    <numFmt numFmtId="167" formatCode="ddd"/>
    <numFmt numFmtId="169" formatCode="&quot;€&quot;\ #,##0.00"/>
  </numFmts>
  <fonts count="93">
    <font>
      <sz val="10"/>
      <name val="Arial"/>
      <family val="2"/>
    </font>
    <font>
      <sz val="11"/>
      <color theme="1"/>
      <name val="Calibri"/>
      <family val="2"/>
      <scheme val="minor"/>
    </font>
    <font>
      <sz val="11"/>
      <color theme="1"/>
      <name val="Calibri"/>
      <family val="2"/>
      <scheme val="minor"/>
    </font>
    <font>
      <u/>
      <sz val="11"/>
      <color indexed="12"/>
      <name val="Calibri"/>
      <family val="2"/>
    </font>
    <font>
      <sz val="11"/>
      <color indexed="8"/>
      <name val="Calibri"/>
      <family val="2"/>
    </font>
    <font>
      <sz val="10"/>
      <color indexed="47"/>
      <name val="Arial"/>
      <family val="2"/>
    </font>
    <font>
      <sz val="14"/>
      <name val="Arial"/>
      <family val="2"/>
    </font>
    <font>
      <b/>
      <sz val="10"/>
      <name val="Arial"/>
      <family val="2"/>
    </font>
    <font>
      <b/>
      <u/>
      <sz val="10"/>
      <color indexed="10"/>
      <name val="Arial"/>
      <family val="2"/>
    </font>
    <font>
      <u/>
      <sz val="10"/>
      <color indexed="12"/>
      <name val="Arial"/>
      <family val="2"/>
    </font>
    <font>
      <b/>
      <sz val="10"/>
      <color indexed="9"/>
      <name val="Arial"/>
      <family val="2"/>
    </font>
    <font>
      <b/>
      <sz val="8"/>
      <name val="Arial"/>
      <family val="2"/>
    </font>
    <font>
      <b/>
      <sz val="14"/>
      <name val="Arial"/>
      <family val="2"/>
    </font>
    <font>
      <sz val="8"/>
      <name val="Arial"/>
      <family val="2"/>
    </font>
    <font>
      <sz val="7"/>
      <color indexed="8"/>
      <name val="Arial"/>
      <family val="2"/>
    </font>
    <font>
      <b/>
      <sz val="8"/>
      <color indexed="10"/>
      <name val="Arial"/>
      <family val="2"/>
    </font>
    <font>
      <b/>
      <sz val="8"/>
      <color indexed="53"/>
      <name val="Arial"/>
      <family val="2"/>
    </font>
    <font>
      <sz val="8"/>
      <color indexed="9"/>
      <name val="Arial"/>
      <family val="2"/>
    </font>
    <font>
      <sz val="10"/>
      <color indexed="53"/>
      <name val="Arial"/>
      <family val="2"/>
    </font>
    <font>
      <sz val="8"/>
      <color indexed="47"/>
      <name val="Arial"/>
      <family val="2"/>
    </font>
    <font>
      <b/>
      <sz val="10"/>
      <color indexed="34"/>
      <name val="Calibri"/>
      <family val="2"/>
    </font>
    <font>
      <sz val="10"/>
      <color indexed="41"/>
      <name val="Calibri"/>
      <family val="2"/>
    </font>
    <font>
      <sz val="10"/>
      <name val="Calibri"/>
      <family val="2"/>
    </font>
    <font>
      <b/>
      <sz val="10"/>
      <color indexed="9"/>
      <name val="Calibri"/>
      <family val="2"/>
    </font>
    <font>
      <sz val="10"/>
      <color indexed="9"/>
      <name val="Calibri"/>
      <family val="2"/>
    </font>
    <font>
      <b/>
      <sz val="10"/>
      <color indexed="41"/>
      <name val="Calibri"/>
      <family val="2"/>
    </font>
    <font>
      <b/>
      <sz val="10"/>
      <name val="Calibri"/>
      <family val="2"/>
    </font>
    <font>
      <sz val="9"/>
      <color indexed="8"/>
      <name val="Calibri"/>
      <family val="2"/>
    </font>
    <font>
      <sz val="10"/>
      <color indexed="27"/>
      <name val="Calibri"/>
      <family val="2"/>
    </font>
    <font>
      <sz val="10"/>
      <color indexed="10"/>
      <name val="Calibri"/>
      <family val="2"/>
    </font>
    <font>
      <sz val="11"/>
      <color indexed="23"/>
      <name val="Calibri"/>
      <family val="2"/>
    </font>
    <font>
      <sz val="11"/>
      <color indexed="60"/>
      <name val="Calibri"/>
      <family val="2"/>
    </font>
    <font>
      <sz val="16"/>
      <color indexed="30"/>
      <name val="Calibri"/>
      <family val="2"/>
    </font>
    <font>
      <b/>
      <sz val="16"/>
      <color indexed="30"/>
      <name val="Calibri"/>
      <family val="2"/>
    </font>
    <font>
      <sz val="16"/>
      <color indexed="60"/>
      <name val="Calibri"/>
      <family val="2"/>
    </font>
    <font>
      <u/>
      <sz val="11"/>
      <color indexed="8"/>
      <name val="Calibri"/>
      <family val="2"/>
    </font>
    <font>
      <i/>
      <sz val="11"/>
      <color indexed="40"/>
      <name val="Calibri"/>
      <family val="2"/>
    </font>
    <font>
      <sz val="11"/>
      <color indexed="40"/>
      <name val="Calibri"/>
      <family val="2"/>
    </font>
    <font>
      <b/>
      <sz val="11"/>
      <color indexed="8"/>
      <name val="Calibri"/>
      <family val="2"/>
    </font>
    <font>
      <b/>
      <sz val="11"/>
      <color indexed="60"/>
      <name val="Calibri"/>
      <family val="2"/>
    </font>
    <font>
      <sz val="11"/>
      <color indexed="10"/>
      <name val="Calibri"/>
      <family val="2"/>
    </font>
    <font>
      <sz val="11"/>
      <name val="Calibri"/>
      <family val="2"/>
    </font>
    <font>
      <b/>
      <sz val="11"/>
      <color indexed="23"/>
      <name val="Calibri"/>
      <family val="2"/>
    </font>
    <font>
      <sz val="11"/>
      <color indexed="41"/>
      <name val="Calibri"/>
      <family val="2"/>
    </font>
    <font>
      <sz val="11"/>
      <color indexed="9"/>
      <name val="Calibri"/>
      <family val="2"/>
    </font>
    <font>
      <sz val="16"/>
      <color indexed="41"/>
      <name val="Calibri"/>
      <family val="2"/>
    </font>
    <font>
      <sz val="16"/>
      <color indexed="9"/>
      <name val="Calibri"/>
      <family val="2"/>
    </font>
    <font>
      <b/>
      <sz val="11"/>
      <color indexed="41"/>
      <name val="Calibri"/>
      <family val="2"/>
    </font>
    <font>
      <b/>
      <sz val="11"/>
      <color indexed="9"/>
      <name val="Calibri"/>
      <family val="2"/>
    </font>
    <font>
      <b/>
      <sz val="11"/>
      <color indexed="63"/>
      <name val="Calibri"/>
      <family val="2"/>
    </font>
    <font>
      <b/>
      <u/>
      <sz val="10"/>
      <name val="Arial"/>
      <family val="2"/>
    </font>
    <font>
      <i/>
      <sz val="10"/>
      <name val="Arial"/>
      <family val="2"/>
    </font>
    <font>
      <sz val="10"/>
      <color rgb="FFFF0000"/>
      <name val="Arial"/>
      <family val="2"/>
    </font>
    <font>
      <sz val="10"/>
      <color theme="0" tint="-9.9978637043366805E-2"/>
      <name val="Calibri"/>
      <family val="2"/>
    </font>
    <font>
      <b/>
      <sz val="10"/>
      <color rgb="FFFF0000"/>
      <name val="Calibri"/>
      <family val="2"/>
    </font>
    <font>
      <sz val="10"/>
      <color rgb="FFFF0000"/>
      <name val="Calibri"/>
      <family val="2"/>
    </font>
    <font>
      <sz val="10"/>
      <color theme="0" tint="-0.14999847407452621"/>
      <name val="Calibri"/>
      <family val="2"/>
    </font>
    <font>
      <sz val="11"/>
      <color rgb="FF00B0F0"/>
      <name val="Calibri"/>
      <family val="2"/>
    </font>
    <font>
      <sz val="11"/>
      <color theme="5" tint="0.79998168889431442"/>
      <name val="Calibri"/>
      <family val="2"/>
    </font>
    <font>
      <b/>
      <sz val="14"/>
      <color indexed="34"/>
      <name val="Calibri"/>
      <family val="2"/>
    </font>
    <font>
      <b/>
      <sz val="9"/>
      <color indexed="8"/>
      <name val="Calibri"/>
      <family val="2"/>
    </font>
    <font>
      <sz val="9"/>
      <color indexed="81"/>
      <name val="Tahoma"/>
      <family val="2"/>
    </font>
    <font>
      <b/>
      <sz val="9"/>
      <color indexed="81"/>
      <name val="Tahoma"/>
      <family val="2"/>
    </font>
    <font>
      <sz val="8"/>
      <name val="Helvetica"/>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font>
    <font>
      <sz val="11"/>
      <color indexed="8"/>
      <name val="Calibri"/>
      <family val="2"/>
      <scheme val="minor"/>
    </font>
    <font>
      <sz val="11"/>
      <name val="Calibri"/>
      <family val="2"/>
      <scheme val="minor"/>
    </font>
    <font>
      <sz val="10"/>
      <color theme="0" tint="-0.249977111117893"/>
      <name val="Calibri"/>
      <family val="2"/>
    </font>
    <font>
      <sz val="10"/>
      <color theme="3" tint="0.39997558519241921"/>
      <name val="Calibri"/>
      <family val="2"/>
    </font>
    <font>
      <i/>
      <sz val="10"/>
      <color theme="3" tint="0.39997558519241921"/>
      <name val="Calibri"/>
      <family val="2"/>
    </font>
    <font>
      <sz val="10"/>
      <color rgb="FF00B0F0"/>
      <name val="Calibri"/>
      <family val="2"/>
    </font>
    <font>
      <i/>
      <sz val="8"/>
      <name val="Arial"/>
      <family val="2"/>
    </font>
    <font>
      <i/>
      <sz val="8"/>
      <name val="Helvetica"/>
    </font>
    <font>
      <sz val="10"/>
      <color theme="2"/>
      <name val="Calibri"/>
      <family val="2"/>
    </font>
    <font>
      <sz val="9"/>
      <name val="Calibri"/>
      <family val="2"/>
    </font>
    <font>
      <b/>
      <sz val="10"/>
      <color rgb="FF0070C0"/>
      <name val="Calibri"/>
      <family val="2"/>
    </font>
    <font>
      <i/>
      <sz val="10"/>
      <name val="Calibri"/>
      <family val="2"/>
    </font>
  </fonts>
  <fills count="69">
    <fill>
      <patternFill patternType="none"/>
    </fill>
    <fill>
      <patternFill patternType="gray125"/>
    </fill>
    <fill>
      <patternFill patternType="solid">
        <fgColor indexed="9"/>
        <bgColor indexed="27"/>
      </patternFill>
    </fill>
    <fill>
      <patternFill patternType="solid">
        <fgColor indexed="52"/>
        <bgColor indexed="14"/>
      </patternFill>
    </fill>
    <fill>
      <patternFill patternType="solid">
        <fgColor indexed="51"/>
        <bgColor indexed="34"/>
      </patternFill>
    </fill>
    <fill>
      <patternFill patternType="solid">
        <fgColor indexed="47"/>
        <bgColor indexed="45"/>
      </patternFill>
    </fill>
    <fill>
      <patternFill patternType="solid">
        <fgColor indexed="10"/>
        <bgColor indexed="16"/>
      </patternFill>
    </fill>
    <fill>
      <patternFill patternType="solid">
        <fgColor indexed="16"/>
        <bgColor indexed="10"/>
      </patternFill>
    </fill>
    <fill>
      <patternFill patternType="solid">
        <fgColor indexed="8"/>
        <bgColor indexed="18"/>
      </patternFill>
    </fill>
    <fill>
      <patternFill patternType="solid">
        <fgColor indexed="60"/>
        <bgColor indexed="53"/>
      </patternFill>
    </fill>
    <fill>
      <patternFill patternType="solid">
        <fgColor indexed="14"/>
        <bgColor indexed="37"/>
      </patternFill>
    </fill>
    <fill>
      <patternFill patternType="solid">
        <fgColor indexed="13"/>
        <bgColor indexed="51"/>
      </patternFill>
    </fill>
    <fill>
      <patternFill patternType="solid">
        <fgColor indexed="36"/>
        <bgColor indexed="43"/>
      </patternFill>
    </fill>
    <fill>
      <patternFill patternType="solid">
        <fgColor indexed="42"/>
        <bgColor indexed="41"/>
      </patternFill>
    </fill>
    <fill>
      <patternFill patternType="solid">
        <fgColor indexed="11"/>
        <bgColor indexed="58"/>
      </patternFill>
    </fill>
    <fill>
      <patternFill patternType="solid">
        <fgColor indexed="19"/>
        <bgColor indexed="17"/>
      </patternFill>
    </fill>
    <fill>
      <patternFill patternType="solid">
        <fgColor indexed="24"/>
        <bgColor indexed="46"/>
      </patternFill>
    </fill>
    <fill>
      <patternFill patternType="solid">
        <fgColor indexed="38"/>
        <bgColor indexed="49"/>
      </patternFill>
    </fill>
    <fill>
      <patternFill patternType="solid">
        <fgColor indexed="34"/>
        <bgColor indexed="51"/>
      </patternFill>
    </fill>
    <fill>
      <patternFill patternType="solid">
        <fgColor indexed="46"/>
        <bgColor indexed="24"/>
      </patternFill>
    </fill>
    <fill>
      <patternFill patternType="solid">
        <fgColor indexed="26"/>
        <bgColor indexed="42"/>
      </patternFill>
    </fill>
    <fill>
      <patternFill patternType="solid">
        <fgColor theme="0" tint="-9.9978637043366805E-2"/>
        <bgColor indexed="64"/>
      </patternFill>
    </fill>
    <fill>
      <patternFill patternType="solid">
        <fgColor theme="0"/>
        <bgColor indexed="45"/>
      </patternFill>
    </fill>
    <fill>
      <patternFill patternType="solid">
        <fgColor theme="2" tint="-9.9978637043366805E-2"/>
        <bgColor indexed="27"/>
      </patternFill>
    </fill>
    <fill>
      <patternFill patternType="solid">
        <fgColor rgb="FFFFC000"/>
        <bgColor indexed="64"/>
      </patternFill>
    </fill>
    <fill>
      <patternFill patternType="solid">
        <fgColor rgb="FF92D050"/>
        <bgColor indexed="64"/>
      </patternFill>
    </fill>
    <fill>
      <patternFill patternType="solid">
        <fgColor indexed="9"/>
        <bgColor indexed="64"/>
      </patternFill>
    </fill>
    <fill>
      <patternFill patternType="solid">
        <fgColor theme="0"/>
        <bgColor indexed="27"/>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
      <patternFill patternType="solid">
        <fgColor theme="0" tint="-4.9989318521683403E-2"/>
        <bgColor indexed="43"/>
      </patternFill>
    </fill>
    <fill>
      <patternFill patternType="solid">
        <fgColor theme="0" tint="-4.9989318521683403E-2"/>
        <bgColor indexed="41"/>
      </patternFill>
    </fill>
    <fill>
      <patternFill patternType="solid">
        <fgColor theme="5" tint="0.79998168889431442"/>
        <bgColor indexed="64"/>
      </patternFill>
    </fill>
    <fill>
      <patternFill patternType="solid">
        <fgColor theme="5" tint="0.79998168889431442"/>
        <bgColor indexed="43"/>
      </patternFill>
    </fill>
    <fill>
      <patternFill patternType="solid">
        <fgColor theme="5" tint="0.79998168889431442"/>
        <bgColor indexed="41"/>
      </patternFill>
    </fill>
    <fill>
      <patternFill patternType="solid">
        <fgColor theme="0"/>
        <bgColor indexed="64"/>
      </patternFill>
    </fill>
    <fill>
      <patternFill patternType="solid">
        <fgColor theme="0"/>
        <bgColor indexed="34"/>
      </patternFill>
    </fill>
    <fill>
      <patternFill patternType="solid">
        <fgColor rgb="FFFFFF00"/>
        <bgColor indexed="64"/>
      </patternFill>
    </fill>
    <fill>
      <patternFill patternType="solid">
        <fgColor theme="0" tint="-0.14999847407452621"/>
        <bgColor indexed="64"/>
      </patternFill>
    </fill>
  </fills>
  <borders count="38">
    <border>
      <left/>
      <right/>
      <top/>
      <bottom/>
      <diagonal/>
    </border>
    <border>
      <left/>
      <right/>
      <top style="thin">
        <color indexed="53"/>
      </top>
      <bottom style="thin">
        <color indexed="53"/>
      </bottom>
      <diagonal/>
    </border>
    <border>
      <left/>
      <right/>
      <top style="thin">
        <color indexed="53"/>
      </top>
      <bottom/>
      <diagonal/>
    </border>
    <border>
      <left style="thin">
        <color indexed="60"/>
      </left>
      <right style="thin">
        <color indexed="60"/>
      </right>
      <top style="thin">
        <color indexed="60"/>
      </top>
      <bottom style="thin">
        <color indexed="60"/>
      </bottom>
      <diagonal/>
    </border>
    <border>
      <left/>
      <right/>
      <top style="thin">
        <color indexed="8"/>
      </top>
      <bottom style="thin">
        <color indexed="8"/>
      </bottom>
      <diagonal/>
    </border>
    <border>
      <left style="thin">
        <color indexed="53"/>
      </left>
      <right/>
      <top style="thin">
        <color indexed="53"/>
      </top>
      <bottom style="thin">
        <color indexed="53"/>
      </bottom>
      <diagonal/>
    </border>
    <border>
      <left/>
      <right style="thin">
        <color indexed="53"/>
      </right>
      <top style="thin">
        <color indexed="53"/>
      </top>
      <bottom style="thin">
        <color indexed="53"/>
      </bottom>
      <diagonal/>
    </border>
    <border>
      <left style="thin">
        <color indexed="53"/>
      </left>
      <right style="thin">
        <color indexed="53"/>
      </right>
      <top style="thin">
        <color indexed="53"/>
      </top>
      <bottom style="thin">
        <color indexed="53"/>
      </bottom>
      <diagonal/>
    </border>
    <border>
      <left/>
      <right/>
      <top/>
      <bottom style="thin">
        <color indexed="53"/>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thin">
        <color indexed="53"/>
      </left>
      <right/>
      <top/>
      <bottom/>
      <diagonal/>
    </border>
    <border>
      <left/>
      <right/>
      <top/>
      <bottom style="medium">
        <color indexed="8"/>
      </bottom>
      <diagonal/>
    </border>
    <border>
      <left/>
      <right style="medium">
        <color indexed="8"/>
      </right>
      <top/>
      <bottom style="medium">
        <color indexed="8"/>
      </bottom>
      <diagonal/>
    </border>
    <border>
      <left/>
      <right/>
      <top/>
      <bottom style="medium">
        <color indexed="9"/>
      </bottom>
      <diagonal/>
    </border>
    <border>
      <left/>
      <right/>
      <top/>
      <bottom style="thin">
        <color indexed="8"/>
      </bottom>
      <diagonal/>
    </border>
    <border>
      <left/>
      <right/>
      <top style="medium">
        <color indexed="31"/>
      </top>
      <bottom style="medium">
        <color indexed="31"/>
      </bottom>
      <diagonal/>
    </border>
    <border>
      <left/>
      <right/>
      <top/>
      <bottom style="medium">
        <color indexed="31"/>
      </bottom>
      <diagonal/>
    </border>
    <border>
      <left style="hair">
        <color indexed="53"/>
      </left>
      <right/>
      <top/>
      <bottom/>
      <diagonal/>
    </border>
    <border>
      <left/>
      <right/>
      <top/>
      <bottom style="hair">
        <color indexed="53"/>
      </bottom>
      <diagonal/>
    </border>
    <border>
      <left/>
      <right/>
      <top/>
      <bottom style="thin">
        <color indexed="64"/>
      </bottom>
      <diagonal/>
    </border>
    <border>
      <left/>
      <right/>
      <top style="thin">
        <color rgb="FF0070C0"/>
      </top>
      <bottom/>
      <diagonal/>
    </border>
    <border>
      <left/>
      <right/>
      <top style="medium">
        <color indexed="9"/>
      </top>
      <bottom style="thin">
        <color rgb="FF0070C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rgb="FF000000"/>
      </bottom>
      <diagonal/>
    </border>
    <border>
      <left style="thin">
        <color indexed="53"/>
      </left>
      <right style="thin">
        <color indexed="53"/>
      </right>
      <top/>
      <bottom/>
      <diagonal/>
    </border>
    <border>
      <left/>
      <right/>
      <top/>
      <bottom style="medium">
        <color indexed="64"/>
      </bottom>
      <diagonal/>
    </border>
  </borders>
  <cellStyleXfs count="49">
    <xf numFmtId="0" fontId="0" fillId="0" borderId="0"/>
    <xf numFmtId="0" fontId="9" fillId="0" borderId="0"/>
    <xf numFmtId="0" fontId="3" fillId="0" borderId="0"/>
    <xf numFmtId="0" fontId="4" fillId="0" borderId="0"/>
    <xf numFmtId="0" fontId="4" fillId="0" borderId="0"/>
    <xf numFmtId="0" fontId="64" fillId="0" borderId="0" applyNumberFormat="0" applyFill="0" applyBorder="0" applyAlignment="0" applyProtection="0"/>
    <xf numFmtId="0" fontId="65" fillId="0" borderId="26" applyNumberFormat="0" applyFill="0" applyAlignment="0" applyProtection="0"/>
    <xf numFmtId="0" fontId="66" fillId="0" borderId="27" applyNumberFormat="0" applyFill="0" applyAlignment="0" applyProtection="0"/>
    <xf numFmtId="0" fontId="67" fillId="0" borderId="28" applyNumberFormat="0" applyFill="0" applyAlignment="0" applyProtection="0"/>
    <xf numFmtId="0" fontId="67" fillId="0" borderId="0" applyNumberFormat="0" applyFill="0" applyBorder="0" applyAlignment="0" applyProtection="0"/>
    <xf numFmtId="0" fontId="68" fillId="28" borderId="0" applyNumberFormat="0" applyBorder="0" applyAlignment="0" applyProtection="0"/>
    <xf numFmtId="0" fontId="69" fillId="29" borderId="0" applyNumberFormat="0" applyBorder="0" applyAlignment="0" applyProtection="0"/>
    <xf numFmtId="0" fontId="70" fillId="30" borderId="0" applyNumberFormat="0" applyBorder="0" applyAlignment="0" applyProtection="0"/>
    <xf numFmtId="0" fontId="71" fillId="31" borderId="29" applyNumberFormat="0" applyAlignment="0" applyProtection="0"/>
    <xf numFmtId="0" fontId="72" fillId="32" borderId="30" applyNumberFormat="0" applyAlignment="0" applyProtection="0"/>
    <xf numFmtId="0" fontId="73" fillId="32" borderId="29" applyNumberFormat="0" applyAlignment="0" applyProtection="0"/>
    <xf numFmtId="0" fontId="74" fillId="0" borderId="31" applyNumberFormat="0" applyFill="0" applyAlignment="0" applyProtection="0"/>
    <xf numFmtId="0" fontId="75" fillId="33" borderId="32" applyNumberFormat="0" applyAlignment="0" applyProtection="0"/>
    <xf numFmtId="0" fontId="76" fillId="0" borderId="0" applyNumberFormat="0" applyFill="0" applyBorder="0" applyAlignment="0" applyProtection="0"/>
    <xf numFmtId="0" fontId="77" fillId="0" borderId="0" applyNumberFormat="0" applyFill="0" applyBorder="0" applyAlignment="0" applyProtection="0"/>
    <xf numFmtId="0" fontId="78" fillId="0" borderId="34" applyNumberFormat="0" applyFill="0" applyAlignment="0" applyProtection="0"/>
    <xf numFmtId="0" fontId="79"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79" fillId="38" borderId="0" applyNumberFormat="0" applyBorder="0" applyAlignment="0" applyProtection="0"/>
    <xf numFmtId="0" fontId="79" fillId="39" borderId="0" applyNumberFormat="0" applyBorder="0" applyAlignment="0" applyProtection="0"/>
    <xf numFmtId="0" fontId="2" fillId="40" borderId="0" applyNumberFormat="0" applyBorder="0" applyAlignment="0" applyProtection="0"/>
    <xf numFmtId="0" fontId="2" fillId="41" borderId="0" applyNumberFormat="0" applyBorder="0" applyAlignment="0" applyProtection="0"/>
    <xf numFmtId="0" fontId="79" fillId="42" borderId="0" applyNumberFormat="0" applyBorder="0" applyAlignment="0" applyProtection="0"/>
    <xf numFmtId="0" fontId="79" fillId="43"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79" fillId="46" borderId="0" applyNumberFormat="0" applyBorder="0" applyAlignment="0" applyProtection="0"/>
    <xf numFmtId="0" fontId="79" fillId="47" borderId="0" applyNumberFormat="0" applyBorder="0" applyAlignment="0" applyProtection="0"/>
    <xf numFmtId="0" fontId="2" fillId="48" borderId="0" applyNumberFormat="0" applyBorder="0" applyAlignment="0" applyProtection="0"/>
    <xf numFmtId="0" fontId="2" fillId="49" borderId="0" applyNumberFormat="0" applyBorder="0" applyAlignment="0" applyProtection="0"/>
    <xf numFmtId="0" fontId="79" fillId="50" borderId="0" applyNumberFormat="0" applyBorder="0" applyAlignment="0" applyProtection="0"/>
    <xf numFmtId="0" fontId="79" fillId="51" borderId="0" applyNumberFormat="0" applyBorder="0" applyAlignment="0" applyProtection="0"/>
    <xf numFmtId="0" fontId="2" fillId="52" borderId="0" applyNumberFormat="0" applyBorder="0" applyAlignment="0" applyProtection="0"/>
    <xf numFmtId="0" fontId="2" fillId="53" borderId="0" applyNumberFormat="0" applyBorder="0" applyAlignment="0" applyProtection="0"/>
    <xf numFmtId="0" fontId="79" fillId="54" borderId="0" applyNumberFormat="0" applyBorder="0" applyAlignment="0" applyProtection="0"/>
    <xf numFmtId="0" fontId="79" fillId="55" borderId="0" applyNumberFormat="0" applyBorder="0" applyAlignment="0" applyProtection="0"/>
    <xf numFmtId="0" fontId="2" fillId="56" borderId="0" applyNumberFormat="0" applyBorder="0" applyAlignment="0" applyProtection="0"/>
    <xf numFmtId="0" fontId="2" fillId="57" borderId="0" applyNumberFormat="0" applyBorder="0" applyAlignment="0" applyProtection="0"/>
    <xf numFmtId="0" fontId="79" fillId="58" borderId="0" applyNumberFormat="0" applyBorder="0" applyAlignment="0" applyProtection="0"/>
    <xf numFmtId="0" fontId="2" fillId="0" borderId="0"/>
    <xf numFmtId="0" fontId="2" fillId="34" borderId="33" applyNumberFormat="0" applyFont="0" applyAlignment="0" applyProtection="0"/>
    <xf numFmtId="0" fontId="80" fillId="0" borderId="0" applyNumberFormat="0" applyFill="0" applyBorder="0" applyAlignment="0" applyProtection="0">
      <alignment vertical="top"/>
      <protection locked="0"/>
    </xf>
    <xf numFmtId="0" fontId="1" fillId="0" borderId="0"/>
  </cellStyleXfs>
  <cellXfs count="466">
    <xf numFmtId="0" fontId="0" fillId="0" borderId="0" xfId="0"/>
    <xf numFmtId="0" fontId="0" fillId="0" borderId="0" xfId="0" applyFont="1" applyFill="1" applyBorder="1" applyProtection="1"/>
    <xf numFmtId="0" fontId="0" fillId="0" borderId="0" xfId="0" applyFont="1" applyFill="1" applyBorder="1"/>
    <xf numFmtId="0" fontId="5" fillId="2" borderId="0" xfId="0" applyFont="1" applyFill="1" applyBorder="1" applyProtection="1">
      <protection locked="0"/>
    </xf>
    <xf numFmtId="0" fontId="0" fillId="0" borderId="0" xfId="0" applyFont="1" applyFill="1" applyBorder="1" applyProtection="1">
      <protection locked="0"/>
    </xf>
    <xf numFmtId="0" fontId="0" fillId="2" borderId="0" xfId="0" applyFont="1" applyFill="1" applyBorder="1"/>
    <xf numFmtId="0" fontId="6" fillId="2" borderId="0" xfId="0" applyFont="1" applyFill="1" applyBorder="1" applyAlignment="1" applyProtection="1"/>
    <xf numFmtId="0" fontId="6" fillId="2" borderId="0" xfId="0" applyFont="1" applyFill="1" applyBorder="1" applyAlignment="1"/>
    <xf numFmtId="0" fontId="6" fillId="0" borderId="0" xfId="0" applyFont="1" applyFill="1" applyBorder="1" applyAlignment="1"/>
    <xf numFmtId="0" fontId="0" fillId="2" borderId="0" xfId="0" applyFont="1" applyFill="1" applyBorder="1" applyProtection="1">
      <protection locked="0"/>
    </xf>
    <xf numFmtId="0" fontId="0" fillId="2" borderId="0" xfId="0" applyFont="1" applyFill="1" applyBorder="1" applyProtection="1"/>
    <xf numFmtId="0" fontId="7" fillId="2" borderId="0" xfId="0" applyFont="1" applyFill="1" applyBorder="1" applyAlignment="1" applyProtection="1"/>
    <xf numFmtId="0" fontId="0" fillId="2" borderId="0" xfId="0" applyFont="1" applyFill="1" applyBorder="1" applyAlignment="1" applyProtection="1"/>
    <xf numFmtId="0" fontId="7" fillId="3" borderId="1" xfId="0" applyFont="1" applyFill="1" applyBorder="1" applyProtection="1"/>
    <xf numFmtId="0" fontId="0" fillId="3" borderId="1" xfId="0" applyFont="1" applyFill="1" applyBorder="1" applyProtection="1"/>
    <xf numFmtId="0" fontId="7" fillId="3" borderId="1" xfId="0" applyFont="1" applyFill="1" applyBorder="1" applyAlignment="1" applyProtection="1"/>
    <xf numFmtId="0" fontId="0" fillId="3" borderId="1" xfId="0" applyFont="1" applyFill="1" applyBorder="1" applyAlignment="1" applyProtection="1"/>
    <xf numFmtId="0" fontId="7" fillId="3" borderId="2" xfId="0" applyFont="1" applyFill="1" applyBorder="1" applyAlignment="1" applyProtection="1">
      <alignment horizontal="center"/>
    </xf>
    <xf numFmtId="0" fontId="0" fillId="3" borderId="2" xfId="0" applyFont="1" applyFill="1" applyBorder="1" applyAlignment="1" applyProtection="1">
      <alignment horizontal="center" wrapText="1"/>
    </xf>
    <xf numFmtId="0" fontId="0" fillId="3" borderId="0" xfId="0" applyFont="1" applyFill="1" applyBorder="1"/>
    <xf numFmtId="0" fontId="7" fillId="2" borderId="0" xfId="0" applyFont="1" applyFill="1" applyBorder="1" applyProtection="1"/>
    <xf numFmtId="0" fontId="8" fillId="2" borderId="0" xfId="0" applyFont="1" applyFill="1" applyBorder="1" applyProtection="1"/>
    <xf numFmtId="0" fontId="7" fillId="2" borderId="3" xfId="0" applyFont="1" applyFill="1" applyBorder="1" applyAlignment="1" applyProtection="1">
      <alignment horizontal="center" vertical="top" wrapText="1"/>
    </xf>
    <xf numFmtId="0" fontId="7" fillId="2" borderId="0" xfId="0" applyFont="1" applyFill="1" applyBorder="1" applyAlignment="1" applyProtection="1">
      <alignment wrapText="1"/>
    </xf>
    <xf numFmtId="0" fontId="0" fillId="4" borderId="1" xfId="0" applyFont="1" applyFill="1" applyBorder="1" applyProtection="1"/>
    <xf numFmtId="0" fontId="7" fillId="4" borderId="1" xfId="0" applyFont="1" applyFill="1" applyBorder="1" applyAlignment="1" applyProtection="1"/>
    <xf numFmtId="0" fontId="0" fillId="4" borderId="1" xfId="0" applyFont="1" applyFill="1" applyBorder="1" applyAlignment="1" applyProtection="1"/>
    <xf numFmtId="0" fontId="0" fillId="4" borderId="3" xfId="0" applyFont="1" applyFill="1" applyBorder="1" applyAlignment="1" applyProtection="1">
      <alignment horizontal="center"/>
    </xf>
    <xf numFmtId="0" fontId="0" fillId="4" borderId="1" xfId="0" applyFont="1" applyFill="1" applyBorder="1"/>
    <xf numFmtId="0" fontId="0" fillId="4" borderId="4" xfId="0" applyFont="1" applyFill="1" applyBorder="1"/>
    <xf numFmtId="0" fontId="0" fillId="2" borderId="3" xfId="0" applyFont="1" applyFill="1" applyBorder="1" applyAlignment="1" applyProtection="1">
      <alignment horizontal="center"/>
    </xf>
    <xf numFmtId="0" fontId="0" fillId="4" borderId="1" xfId="0" applyFont="1" applyFill="1" applyBorder="1" applyAlignment="1" applyProtection="1">
      <alignment horizontal="center"/>
    </xf>
    <xf numFmtId="0" fontId="0" fillId="2" borderId="0" xfId="0" applyFont="1" applyFill="1" applyBorder="1" applyAlignment="1" applyProtection="1">
      <alignment horizontal="center"/>
    </xf>
    <xf numFmtId="0" fontId="0" fillId="3" borderId="1" xfId="0" applyFont="1" applyFill="1" applyBorder="1" applyProtection="1">
      <protection locked="0"/>
    </xf>
    <xf numFmtId="0" fontId="0" fillId="5" borderId="0" xfId="0" applyFont="1" applyFill="1" applyBorder="1" applyProtection="1">
      <protection locked="0"/>
    </xf>
    <xf numFmtId="1" fontId="0" fillId="2" borderId="0" xfId="0" applyNumberFormat="1" applyFont="1" applyFill="1"/>
    <xf numFmtId="0" fontId="0" fillId="2" borderId="0" xfId="0" applyFont="1" applyFill="1"/>
    <xf numFmtId="0" fontId="0" fillId="2" borderId="0" xfId="0" applyFont="1" applyFill="1" applyAlignment="1">
      <alignment horizontal="left"/>
    </xf>
    <xf numFmtId="0" fontId="0" fillId="2" borderId="0" xfId="0" applyFont="1" applyFill="1" applyAlignment="1">
      <alignment horizontal="center"/>
    </xf>
    <xf numFmtId="0" fontId="0" fillId="2" borderId="0" xfId="0" applyFill="1" applyProtection="1"/>
    <xf numFmtId="0" fontId="0" fillId="0" borderId="0" xfId="0" applyFill="1" applyBorder="1" applyProtection="1"/>
    <xf numFmtId="0" fontId="0" fillId="0" borderId="0" xfId="0" applyFill="1" applyBorder="1" applyAlignment="1" applyProtection="1">
      <alignment horizontal="center"/>
    </xf>
    <xf numFmtId="1" fontId="0" fillId="2" borderId="0" xfId="0" applyNumberFormat="1" applyFont="1" applyFill="1" applyBorder="1"/>
    <xf numFmtId="0" fontId="0" fillId="2" borderId="0" xfId="0" applyFont="1" applyFill="1" applyBorder="1" applyAlignment="1">
      <alignment horizontal="left"/>
    </xf>
    <xf numFmtId="0" fontId="0" fillId="2" borderId="0" xfId="0" applyFont="1" applyFill="1" applyBorder="1" applyAlignment="1">
      <alignment horizontal="center"/>
    </xf>
    <xf numFmtId="0" fontId="0" fillId="2" borderId="0" xfId="0" applyFill="1" applyBorder="1" applyProtection="1"/>
    <xf numFmtId="1" fontId="11" fillId="2" borderId="0" xfId="0" applyNumberFormat="1" applyFont="1" applyFill="1" applyAlignment="1">
      <alignment horizontal="left" vertical="top"/>
    </xf>
    <xf numFmtId="0" fontId="12" fillId="2" borderId="0" xfId="0" applyFont="1" applyFill="1"/>
    <xf numFmtId="0" fontId="0" fillId="2" borderId="0" xfId="0" applyFont="1" applyFill="1" applyAlignment="1" applyProtection="1">
      <alignment horizontal="left"/>
    </xf>
    <xf numFmtId="0" fontId="0" fillId="2" borderId="0" xfId="0" applyFont="1" applyFill="1" applyProtection="1"/>
    <xf numFmtId="0" fontId="0" fillId="2" borderId="0" xfId="0" applyFont="1" applyFill="1" applyAlignment="1" applyProtection="1">
      <alignment wrapText="1"/>
    </xf>
    <xf numFmtId="0" fontId="13" fillId="2" borderId="0" xfId="1" applyNumberFormat="1" applyFont="1" applyFill="1" applyBorder="1" applyAlignment="1" applyProtection="1">
      <alignment horizontal="left" vertical="top"/>
      <protection locked="0"/>
    </xf>
    <xf numFmtId="1" fontId="0" fillId="2" borderId="0" xfId="0" applyNumberFormat="1" applyFont="1" applyFill="1" applyProtection="1"/>
    <xf numFmtId="0" fontId="0" fillId="2" borderId="0" xfId="0" applyFont="1" applyFill="1" applyAlignment="1" applyProtection="1">
      <alignment horizontal="center"/>
    </xf>
    <xf numFmtId="0" fontId="14" fillId="2" borderId="0" xfId="0" applyFont="1" applyFill="1" applyBorder="1" applyAlignment="1" applyProtection="1">
      <alignment horizontal="left" vertical="center"/>
    </xf>
    <xf numFmtId="1" fontId="11" fillId="4" borderId="5" xfId="0" applyNumberFormat="1" applyFont="1" applyFill="1" applyBorder="1" applyAlignment="1"/>
    <xf numFmtId="0" fontId="11" fillId="4" borderId="1" xfId="0" applyFont="1" applyFill="1" applyBorder="1" applyAlignment="1"/>
    <xf numFmtId="1" fontId="11" fillId="4" borderId="1" xfId="0" applyNumberFormat="1" applyFont="1" applyFill="1" applyBorder="1" applyAlignment="1"/>
    <xf numFmtId="0" fontId="11" fillId="4" borderId="6" xfId="0" applyFont="1" applyFill="1" applyBorder="1" applyAlignment="1"/>
    <xf numFmtId="0" fontId="13" fillId="2" borderId="0" xfId="0" applyFont="1" applyFill="1"/>
    <xf numFmtId="0" fontId="11" fillId="4" borderId="7" xfId="0" applyFont="1" applyFill="1" applyBorder="1" applyAlignment="1">
      <alignment horizontal="center"/>
    </xf>
    <xf numFmtId="0" fontId="11" fillId="4" borderId="7" xfId="0" applyFont="1" applyFill="1" applyBorder="1" applyAlignment="1" applyProtection="1">
      <alignment horizontal="left"/>
    </xf>
    <xf numFmtId="0" fontId="11" fillId="4" borderId="7" xfId="0" applyFont="1" applyFill="1" applyBorder="1" applyAlignment="1" applyProtection="1"/>
    <xf numFmtId="0" fontId="11" fillId="4" borderId="7" xfId="0" applyFont="1" applyFill="1" applyBorder="1" applyProtection="1"/>
    <xf numFmtId="1" fontId="13" fillId="2" borderId="7" xfId="0" applyNumberFormat="1" applyFont="1" applyFill="1" applyBorder="1" applyAlignment="1">
      <alignment horizontal="left"/>
    </xf>
    <xf numFmtId="164" fontId="13" fillId="2" borderId="7" xfId="0" applyNumberFormat="1" applyFont="1" applyFill="1" applyBorder="1" applyAlignment="1">
      <alignment horizontal="left"/>
    </xf>
    <xf numFmtId="165" fontId="13" fillId="2" borderId="7" xfId="0" applyNumberFormat="1" applyFont="1" applyFill="1" applyBorder="1" applyAlignment="1">
      <alignment horizontal="left" wrapText="1"/>
    </xf>
    <xf numFmtId="0" fontId="13" fillId="2" borderId="7" xfId="0" applyFont="1" applyFill="1" applyBorder="1" applyAlignment="1"/>
    <xf numFmtId="0" fontId="13" fillId="2" borderId="7" xfId="0" applyFont="1" applyFill="1" applyBorder="1"/>
    <xf numFmtId="1" fontId="13" fillId="2" borderId="7" xfId="0" applyNumberFormat="1" applyFont="1" applyFill="1" applyBorder="1" applyProtection="1">
      <protection locked="0"/>
    </xf>
    <xf numFmtId="0" fontId="13" fillId="2" borderId="7" xfId="0" applyFont="1" applyFill="1" applyBorder="1" applyAlignment="1">
      <alignment horizontal="center"/>
    </xf>
    <xf numFmtId="0" fontId="13" fillId="2" borderId="7" xfId="0" applyFont="1" applyFill="1" applyBorder="1" applyAlignment="1" applyProtection="1">
      <alignment horizontal="left"/>
    </xf>
    <xf numFmtId="0" fontId="13" fillId="2" borderId="7" xfId="0" applyFont="1" applyFill="1" applyBorder="1" applyProtection="1"/>
    <xf numFmtId="1" fontId="13" fillId="5" borderId="7" xfId="0" applyNumberFormat="1" applyFont="1" applyFill="1" applyBorder="1" applyAlignment="1">
      <alignment horizontal="left"/>
    </xf>
    <xf numFmtId="164" fontId="13" fillId="5" borderId="7" xfId="0" applyNumberFormat="1" applyFont="1" applyFill="1" applyBorder="1" applyAlignment="1">
      <alignment horizontal="left"/>
    </xf>
    <xf numFmtId="165" fontId="13" fillId="5" borderId="7" xfId="0" applyNumberFormat="1" applyFont="1" applyFill="1" applyBorder="1" applyAlignment="1">
      <alignment horizontal="left" wrapText="1"/>
    </xf>
    <xf numFmtId="0" fontId="13" fillId="5" borderId="7" xfId="0" applyFont="1" applyFill="1" applyBorder="1" applyAlignment="1"/>
    <xf numFmtId="0" fontId="13" fillId="5" borderId="7" xfId="0" applyFont="1" applyFill="1" applyBorder="1"/>
    <xf numFmtId="1" fontId="13" fillId="5" borderId="7" xfId="0" applyNumberFormat="1" applyFont="1" applyFill="1" applyBorder="1" applyProtection="1">
      <protection locked="0"/>
    </xf>
    <xf numFmtId="0" fontId="13" fillId="5" borderId="7" xfId="0" applyFont="1" applyFill="1" applyBorder="1" applyAlignment="1">
      <alignment horizontal="center"/>
    </xf>
    <xf numFmtId="0" fontId="13" fillId="5" borderId="7" xfId="0" applyFont="1" applyFill="1" applyBorder="1" applyAlignment="1" applyProtection="1">
      <alignment horizontal="left"/>
    </xf>
    <xf numFmtId="0" fontId="13" fillId="5" borderId="7" xfId="0" applyFont="1" applyFill="1" applyBorder="1" applyProtection="1"/>
    <xf numFmtId="0" fontId="15" fillId="2" borderId="0" xfId="0" applyFont="1" applyFill="1" applyAlignment="1" applyProtection="1">
      <alignment horizontal="left"/>
    </xf>
    <xf numFmtId="0" fontId="13" fillId="2" borderId="0" xfId="0" applyFont="1" applyFill="1" applyProtection="1"/>
    <xf numFmtId="0" fontId="13" fillId="2" borderId="0" xfId="0" applyFont="1" applyFill="1" applyAlignment="1" applyProtection="1">
      <alignment horizontal="left"/>
    </xf>
    <xf numFmtId="1" fontId="13" fillId="2" borderId="0" xfId="0" applyNumberFormat="1" applyFont="1" applyFill="1"/>
    <xf numFmtId="0" fontId="13" fillId="2" borderId="0" xfId="0" applyFont="1" applyFill="1" applyAlignment="1">
      <alignment horizontal="left"/>
    </xf>
    <xf numFmtId="0" fontId="13" fillId="2" borderId="0" xfId="0" applyFont="1" applyFill="1" applyAlignment="1"/>
    <xf numFmtId="0" fontId="13" fillId="2" borderId="0" xfId="0" applyFont="1" applyFill="1" applyAlignment="1">
      <alignment horizontal="center"/>
    </xf>
    <xf numFmtId="0" fontId="13" fillId="4" borderId="7" xfId="0" applyFont="1" applyFill="1" applyBorder="1" applyAlignment="1" applyProtection="1"/>
    <xf numFmtId="1" fontId="13" fillId="2" borderId="7" xfId="0" applyNumberFormat="1" applyFont="1" applyFill="1" applyBorder="1" applyAlignment="1" applyProtection="1">
      <alignment horizontal="center"/>
      <protection locked="0"/>
    </xf>
    <xf numFmtId="1" fontId="13" fillId="5" borderId="7" xfId="0" applyNumberFormat="1" applyFont="1" applyFill="1" applyBorder="1" applyAlignment="1" applyProtection="1">
      <alignment horizontal="center"/>
      <protection locked="0"/>
    </xf>
    <xf numFmtId="165" fontId="13" fillId="2" borderId="0" xfId="0" applyNumberFormat="1" applyFont="1" applyFill="1" applyAlignment="1">
      <alignment horizontal="left"/>
    </xf>
    <xf numFmtId="1" fontId="13" fillId="2" borderId="7" xfId="0" applyNumberFormat="1" applyFont="1" applyFill="1" applyBorder="1" applyAlignment="1" applyProtection="1">
      <alignment horizontal="left"/>
    </xf>
    <xf numFmtId="164" fontId="13" fillId="2" borderId="7" xfId="0" applyNumberFormat="1" applyFont="1" applyFill="1" applyBorder="1" applyAlignment="1" applyProtection="1">
      <alignment horizontal="left"/>
    </xf>
    <xf numFmtId="165" fontId="13" fillId="2" borderId="7" xfId="0" applyNumberFormat="1" applyFont="1" applyFill="1" applyBorder="1" applyAlignment="1" applyProtection="1">
      <alignment horizontal="left" wrapText="1"/>
    </xf>
    <xf numFmtId="0" fontId="13" fillId="2" borderId="7" xfId="0" applyFont="1" applyFill="1" applyBorder="1" applyAlignment="1" applyProtection="1"/>
    <xf numFmtId="0" fontId="13" fillId="2" borderId="7" xfId="0" applyFont="1" applyFill="1" applyBorder="1" applyAlignment="1" applyProtection="1">
      <alignment horizontal="center"/>
    </xf>
    <xf numFmtId="1" fontId="13" fillId="5" borderId="7" xfId="0" applyNumberFormat="1" applyFont="1" applyFill="1" applyBorder="1" applyAlignment="1" applyProtection="1">
      <alignment horizontal="left"/>
    </xf>
    <xf numFmtId="164" fontId="13" fillId="5" borderId="7" xfId="0" applyNumberFormat="1" applyFont="1" applyFill="1" applyBorder="1" applyAlignment="1" applyProtection="1">
      <alignment horizontal="left"/>
    </xf>
    <xf numFmtId="165" fontId="13" fillId="5" borderId="7" xfId="0" applyNumberFormat="1" applyFont="1" applyFill="1" applyBorder="1" applyAlignment="1" applyProtection="1">
      <alignment horizontal="left" wrapText="1"/>
    </xf>
    <xf numFmtId="20" fontId="13" fillId="5" borderId="7" xfId="0" applyNumberFormat="1" applyFont="1" applyFill="1" applyBorder="1" applyProtection="1"/>
    <xf numFmtId="0" fontId="13" fillId="5" borderId="7" xfId="0" applyFont="1" applyFill="1" applyBorder="1" applyAlignment="1" applyProtection="1"/>
    <xf numFmtId="0" fontId="13" fillId="5" borderId="7" xfId="0" applyFont="1" applyFill="1" applyBorder="1" applyAlignment="1" applyProtection="1">
      <alignment horizontal="center"/>
    </xf>
    <xf numFmtId="1" fontId="0" fillId="2" borderId="8" xfId="0" applyNumberFormat="1" applyFont="1" applyFill="1" applyBorder="1" applyProtection="1"/>
    <xf numFmtId="0" fontId="0" fillId="2" borderId="8" xfId="0" applyFont="1" applyFill="1" applyBorder="1" applyProtection="1"/>
    <xf numFmtId="0" fontId="0" fillId="2" borderId="8" xfId="0" applyFont="1" applyFill="1" applyBorder="1" applyAlignment="1" applyProtection="1">
      <alignment horizontal="left"/>
    </xf>
    <xf numFmtId="0" fontId="0" fillId="2" borderId="8" xfId="0" applyFont="1" applyFill="1" applyBorder="1" applyAlignment="1" applyProtection="1">
      <alignment horizontal="center"/>
    </xf>
    <xf numFmtId="1" fontId="0" fillId="2" borderId="0" xfId="0" applyNumberFormat="1" applyFont="1" applyFill="1" applyBorder="1" applyProtection="1"/>
    <xf numFmtId="0" fontId="7" fillId="2" borderId="9" xfId="0" applyFont="1" applyFill="1" applyBorder="1" applyProtection="1"/>
    <xf numFmtId="0" fontId="7" fillId="2" borderId="10" xfId="0" applyFont="1" applyFill="1" applyBorder="1" applyProtection="1"/>
    <xf numFmtId="0" fontId="7" fillId="2" borderId="11" xfId="0" applyFont="1" applyFill="1" applyBorder="1" applyProtection="1"/>
    <xf numFmtId="1" fontId="11" fillId="4" borderId="5" xfId="0" applyNumberFormat="1" applyFont="1" applyFill="1" applyBorder="1" applyAlignment="1" applyProtection="1"/>
    <xf numFmtId="0" fontId="11" fillId="4" borderId="1" xfId="0" applyFont="1" applyFill="1" applyBorder="1" applyAlignment="1" applyProtection="1"/>
    <xf numFmtId="1" fontId="11" fillId="4" borderId="1" xfId="0" applyNumberFormat="1" applyFont="1" applyFill="1" applyBorder="1" applyAlignment="1" applyProtection="1"/>
    <xf numFmtId="0" fontId="11" fillId="4" borderId="6" xfId="0" applyFont="1" applyFill="1" applyBorder="1" applyAlignment="1" applyProtection="1"/>
    <xf numFmtId="0" fontId="11" fillId="4" borderId="7" xfId="0" applyFont="1" applyFill="1" applyBorder="1" applyAlignment="1" applyProtection="1">
      <alignment horizontal="center"/>
    </xf>
    <xf numFmtId="0" fontId="11" fillId="2" borderId="0" xfId="0" applyFont="1" applyFill="1" applyBorder="1" applyAlignment="1" applyProtection="1">
      <alignment horizontal="center"/>
    </xf>
    <xf numFmtId="0" fontId="0" fillId="2" borderId="12" xfId="0" applyFill="1" applyBorder="1" applyProtection="1"/>
    <xf numFmtId="0" fontId="0" fillId="2" borderId="13" xfId="0" applyFill="1" applyBorder="1" applyProtection="1"/>
    <xf numFmtId="1" fontId="17" fillId="2" borderId="7" xfId="0" applyNumberFormat="1" applyFont="1" applyFill="1" applyBorder="1" applyProtection="1"/>
    <xf numFmtId="1" fontId="13" fillId="2" borderId="7" xfId="0" applyNumberFormat="1" applyFont="1" applyFill="1" applyBorder="1" applyProtection="1"/>
    <xf numFmtId="0" fontId="17" fillId="2" borderId="7" xfId="0" applyFont="1" applyFill="1" applyBorder="1" applyAlignment="1" applyProtection="1"/>
    <xf numFmtId="0" fontId="18" fillId="2" borderId="0" xfId="0" applyFont="1" applyFill="1" applyAlignment="1" applyProtection="1">
      <alignment horizontal="center"/>
    </xf>
    <xf numFmtId="0" fontId="13" fillId="2" borderId="7" xfId="0" applyFont="1" applyFill="1" applyBorder="1" applyAlignment="1" applyProtection="1">
      <alignment horizontal="center"/>
      <protection locked="0"/>
    </xf>
    <xf numFmtId="0" fontId="13" fillId="2" borderId="0" xfId="0" applyFont="1" applyFill="1" applyBorder="1" applyAlignment="1" applyProtection="1">
      <alignment horizontal="center"/>
    </xf>
    <xf numFmtId="0" fontId="13" fillId="2" borderId="0" xfId="0" applyFont="1" applyFill="1" applyBorder="1" applyAlignment="1" applyProtection="1"/>
    <xf numFmtId="1" fontId="0" fillId="2" borderId="12" xfId="0" applyNumberFormat="1" applyFill="1" applyBorder="1" applyProtection="1"/>
    <xf numFmtId="1" fontId="19" fillId="5" borderId="7" xfId="0" applyNumberFormat="1" applyFont="1" applyFill="1" applyBorder="1" applyProtection="1"/>
    <xf numFmtId="1" fontId="13" fillId="5" borderId="7" xfId="0" applyNumberFormat="1" applyFont="1" applyFill="1" applyBorder="1" applyProtection="1"/>
    <xf numFmtId="0" fontId="19" fillId="5" borderId="7" xfId="0" applyFont="1" applyFill="1" applyBorder="1" applyAlignment="1" applyProtection="1"/>
    <xf numFmtId="0" fontId="13" fillId="5" borderId="7" xfId="0" applyFont="1" applyFill="1" applyBorder="1" applyAlignment="1" applyProtection="1">
      <alignment horizontal="center"/>
      <protection locked="0"/>
    </xf>
    <xf numFmtId="0" fontId="0" fillId="2" borderId="8" xfId="0" applyFont="1" applyFill="1" applyBorder="1" applyAlignment="1" applyProtection="1"/>
    <xf numFmtId="0" fontId="0" fillId="0" borderId="0" xfId="0" applyFont="1" applyFill="1" applyBorder="1" applyAlignment="1" applyProtection="1">
      <alignment horizontal="center"/>
    </xf>
    <xf numFmtId="0" fontId="0" fillId="2" borderId="0" xfId="0" applyFill="1" applyBorder="1" applyAlignment="1" applyProtection="1">
      <alignment horizontal="center"/>
    </xf>
    <xf numFmtId="1" fontId="13" fillId="2" borderId="7" xfId="0" applyNumberFormat="1" applyFont="1" applyFill="1" applyBorder="1" applyAlignment="1" applyProtection="1">
      <protection locked="0"/>
    </xf>
    <xf numFmtId="1" fontId="13" fillId="5" borderId="7" xfId="0" applyNumberFormat="1" applyFont="1" applyFill="1" applyBorder="1" applyAlignment="1" applyProtection="1">
      <protection locked="0"/>
    </xf>
    <xf numFmtId="0" fontId="18" fillId="2" borderId="0" xfId="0" applyFont="1" applyFill="1" applyBorder="1" applyAlignment="1" applyProtection="1">
      <alignment horizontal="center"/>
    </xf>
    <xf numFmtId="0" fontId="18" fillId="2" borderId="8" xfId="0" applyFont="1" applyFill="1" applyBorder="1" applyProtection="1"/>
    <xf numFmtId="0" fontId="0" fillId="2" borderId="0" xfId="0" applyFont="1" applyFill="1" applyBorder="1" applyAlignment="1" applyProtection="1">
      <alignment horizontal="left"/>
    </xf>
    <xf numFmtId="0" fontId="18" fillId="2" borderId="0" xfId="0" applyFont="1" applyFill="1" applyProtection="1"/>
    <xf numFmtId="20" fontId="17" fillId="2" borderId="7" xfId="0" applyNumberFormat="1" applyFont="1" applyFill="1" applyBorder="1"/>
    <xf numFmtId="0" fontId="11" fillId="4" borderId="5" xfId="0" applyFont="1" applyFill="1" applyBorder="1" applyAlignment="1">
      <alignment horizontal="center"/>
    </xf>
    <xf numFmtId="0" fontId="13" fillId="2" borderId="5" xfId="0" applyFont="1" applyFill="1" applyBorder="1" applyAlignment="1">
      <alignment horizontal="center"/>
    </xf>
    <xf numFmtId="0" fontId="0" fillId="2" borderId="15" xfId="0" applyFill="1" applyBorder="1" applyProtection="1"/>
    <xf numFmtId="0" fontId="0" fillId="2" borderId="16" xfId="0" applyFill="1" applyBorder="1" applyProtection="1"/>
    <xf numFmtId="1" fontId="20" fillId="6" borderId="0" xfId="0" applyNumberFormat="1" applyFont="1" applyFill="1" applyProtection="1"/>
    <xf numFmtId="1" fontId="0" fillId="7" borderId="0" xfId="0" applyNumberFormat="1" applyFont="1" applyFill="1" applyProtection="1"/>
    <xf numFmtId="0" fontId="0" fillId="7" borderId="0" xfId="0" applyFont="1" applyFill="1" applyAlignment="1" applyProtection="1">
      <alignment horizontal="center"/>
    </xf>
    <xf numFmtId="1" fontId="0" fillId="0" borderId="0" xfId="0" applyNumberFormat="1" applyFill="1" applyBorder="1" applyAlignment="1" applyProtection="1">
      <alignment horizontal="center"/>
    </xf>
    <xf numFmtId="1" fontId="0" fillId="2" borderId="0" xfId="0" applyNumberFormat="1" applyFont="1" applyFill="1" applyProtection="1">
      <protection locked="0"/>
    </xf>
    <xf numFmtId="0" fontId="0" fillId="2" borderId="0" xfId="0" applyFont="1" applyFill="1" applyProtection="1">
      <protection locked="0"/>
    </xf>
    <xf numFmtId="0" fontId="0" fillId="2" borderId="0" xfId="0" applyFont="1" applyFill="1" applyAlignment="1" applyProtection="1">
      <alignment horizontal="left"/>
      <protection locked="0"/>
    </xf>
    <xf numFmtId="0" fontId="0" fillId="2" borderId="0" xfId="0" applyFont="1" applyFill="1" applyAlignment="1" applyProtection="1">
      <alignment horizontal="center"/>
      <protection locked="0"/>
    </xf>
    <xf numFmtId="0" fontId="21" fillId="0" borderId="0" xfId="0" applyFont="1"/>
    <xf numFmtId="0" fontId="22" fillId="0" borderId="0" xfId="0" applyFont="1"/>
    <xf numFmtId="0" fontId="23" fillId="8" borderId="17" xfId="0" applyFont="1" applyFill="1" applyBorder="1"/>
    <xf numFmtId="0" fontId="24" fillId="9" borderId="0" xfId="0" applyFont="1" applyFill="1"/>
    <xf numFmtId="0" fontId="24" fillId="10" borderId="0" xfId="0" applyFont="1" applyFill="1"/>
    <xf numFmtId="0" fontId="25" fillId="0" borderId="0" xfId="0" applyFont="1"/>
    <xf numFmtId="0" fontId="23" fillId="9" borderId="0" xfId="0" applyFont="1" applyFill="1"/>
    <xf numFmtId="0" fontId="26" fillId="0" borderId="0" xfId="0" applyFont="1"/>
    <xf numFmtId="0" fontId="23" fillId="10" borderId="0" xfId="0" applyFont="1" applyFill="1"/>
    <xf numFmtId="0" fontId="21" fillId="0" borderId="0" xfId="0" applyFont="1" applyFill="1"/>
    <xf numFmtId="0" fontId="22" fillId="0" borderId="0" xfId="0" applyFont="1" applyFill="1"/>
    <xf numFmtId="1" fontId="22" fillId="0" borderId="0" xfId="0" applyNumberFormat="1" applyFont="1"/>
    <xf numFmtId="0" fontId="27" fillId="0" borderId="0" xfId="0" applyFont="1" applyFill="1" applyBorder="1"/>
    <xf numFmtId="0" fontId="22" fillId="0" borderId="18" xfId="0" applyFont="1" applyBorder="1"/>
    <xf numFmtId="0" fontId="23" fillId="10" borderId="0" xfId="0" applyNumberFormat="1" applyFont="1" applyFill="1"/>
    <xf numFmtId="0" fontId="21" fillId="12" borderId="0" xfId="0" applyFont="1" applyFill="1"/>
    <xf numFmtId="0" fontId="22" fillId="12" borderId="0" xfId="0" applyFont="1" applyFill="1"/>
    <xf numFmtId="0" fontId="21" fillId="13" borderId="0" xfId="0" applyFont="1" applyFill="1"/>
    <xf numFmtId="0" fontId="22" fillId="13" borderId="0" xfId="0" applyFont="1" applyFill="1"/>
    <xf numFmtId="0" fontId="28" fillId="0" borderId="0" xfId="0" applyFont="1"/>
    <xf numFmtId="0" fontId="29" fillId="0" borderId="0" xfId="0" applyFont="1"/>
    <xf numFmtId="49" fontId="28" fillId="0" borderId="0" xfId="0" applyNumberFormat="1" applyFont="1"/>
    <xf numFmtId="49" fontId="23" fillId="8" borderId="17" xfId="0" applyNumberFormat="1" applyFont="1" applyFill="1" applyBorder="1"/>
    <xf numFmtId="49" fontId="22" fillId="0" borderId="0" xfId="0" applyNumberFormat="1" applyFont="1"/>
    <xf numFmtId="166" fontId="29" fillId="0" borderId="0" xfId="0" applyNumberFormat="1" applyFont="1"/>
    <xf numFmtId="166" fontId="22" fillId="0" borderId="0" xfId="0" applyNumberFormat="1" applyFont="1"/>
    <xf numFmtId="1" fontId="28" fillId="0" borderId="0" xfId="0" applyNumberFormat="1" applyFont="1" applyFill="1"/>
    <xf numFmtId="1" fontId="22" fillId="0" borderId="0" xfId="0" applyNumberFormat="1" applyFont="1" applyFill="1"/>
    <xf numFmtId="166" fontId="22" fillId="0" borderId="0" xfId="0" applyNumberFormat="1" applyFont="1" applyFill="1"/>
    <xf numFmtId="0" fontId="24" fillId="14" borderId="0" xfId="0" applyFont="1" applyFill="1"/>
    <xf numFmtId="0" fontId="24" fillId="15" borderId="0" xfId="0" applyFont="1" applyFill="1"/>
    <xf numFmtId="0" fontId="24" fillId="16" borderId="0" xfId="0" applyFont="1" applyFill="1"/>
    <xf numFmtId="0" fontId="24" fillId="17" borderId="0" xfId="0" applyFont="1" applyFill="1"/>
    <xf numFmtId="0" fontId="22" fillId="11" borderId="0" xfId="0" applyFont="1" applyFill="1"/>
    <xf numFmtId="0" fontId="30" fillId="0" borderId="0" xfId="4" applyFont="1" applyAlignment="1">
      <alignment horizontal="left"/>
    </xf>
    <xf numFmtId="0" fontId="4" fillId="0" borderId="0" xfId="4" applyAlignment="1"/>
    <xf numFmtId="0" fontId="31" fillId="0" borderId="0" xfId="4" applyFont="1" applyAlignment="1"/>
    <xf numFmtId="0" fontId="32" fillId="0" borderId="0" xfId="4" applyFont="1" applyAlignment="1">
      <alignment horizontal="left"/>
    </xf>
    <xf numFmtId="0" fontId="33" fillId="0" borderId="0" xfId="4" applyFont="1" applyAlignment="1"/>
    <xf numFmtId="0" fontId="32" fillId="0" borderId="0" xfId="4" applyFont="1" applyAlignment="1"/>
    <xf numFmtId="0" fontId="34" fillId="0" borderId="0" xfId="4" applyFont="1" applyAlignment="1"/>
    <xf numFmtId="0" fontId="4" fillId="0" borderId="0" xfId="4" applyAlignment="1">
      <alignment horizontal="left"/>
    </xf>
    <xf numFmtId="0" fontId="35" fillId="0" borderId="0" xfId="4" applyFont="1" applyAlignment="1">
      <alignment horizontal="left"/>
    </xf>
    <xf numFmtId="0" fontId="31" fillId="0" borderId="0" xfId="4" applyFont="1" applyAlignment="1">
      <alignment horizontal="left"/>
    </xf>
    <xf numFmtId="0" fontId="36" fillId="18" borderId="0" xfId="4" applyFont="1" applyFill="1" applyAlignment="1">
      <alignment horizontal="left"/>
    </xf>
    <xf numFmtId="0" fontId="37" fillId="18" borderId="0" xfId="4" applyFont="1" applyFill="1" applyAlignment="1">
      <alignment horizontal="left"/>
    </xf>
    <xf numFmtId="1" fontId="37" fillId="18" borderId="0" xfId="4" applyNumberFormat="1" applyFont="1" applyFill="1" applyAlignment="1">
      <alignment horizontal="center"/>
    </xf>
    <xf numFmtId="0" fontId="38" fillId="0" borderId="0" xfId="4" applyFont="1" applyAlignment="1"/>
    <xf numFmtId="0" fontId="38" fillId="11" borderId="0" xfId="4" applyFont="1" applyFill="1" applyAlignment="1"/>
    <xf numFmtId="0" fontId="39" fillId="0" borderId="0" xfId="4" applyFont="1" applyAlignment="1"/>
    <xf numFmtId="0" fontId="38" fillId="0" borderId="0" xfId="4" applyFont="1" applyAlignment="1">
      <alignment horizontal="left"/>
    </xf>
    <xf numFmtId="0" fontId="38" fillId="0" borderId="0" xfId="4" applyFont="1" applyAlignment="1">
      <alignment horizontal="right"/>
    </xf>
    <xf numFmtId="0" fontId="38" fillId="0" borderId="0" xfId="4" applyFont="1" applyAlignment="1">
      <alignment horizontal="center"/>
    </xf>
    <xf numFmtId="0" fontId="39" fillId="0" borderId="0" xfId="4" applyFont="1" applyAlignment="1">
      <alignment horizontal="center"/>
    </xf>
    <xf numFmtId="0" fontId="4" fillId="0" borderId="0" xfId="4" applyFont="1" applyAlignment="1">
      <alignment horizontal="right"/>
    </xf>
    <xf numFmtId="0" fontId="4" fillId="0" borderId="0" xfId="4" applyFont="1" applyAlignment="1">
      <alignment horizontal="center"/>
    </xf>
    <xf numFmtId="1" fontId="31" fillId="0" borderId="0" xfId="4" applyNumberFormat="1" applyFont="1" applyAlignment="1">
      <alignment horizontal="center"/>
    </xf>
    <xf numFmtId="1" fontId="4" fillId="0" borderId="0" xfId="4" applyNumberFormat="1" applyAlignment="1">
      <alignment horizontal="center"/>
    </xf>
    <xf numFmtId="0" fontId="4" fillId="19" borderId="0" xfId="4" applyFill="1" applyAlignment="1">
      <alignment horizontal="center"/>
    </xf>
    <xf numFmtId="0" fontId="4" fillId="0" borderId="0" xfId="4" applyFill="1" applyAlignment="1">
      <alignment horizontal="center"/>
    </xf>
    <xf numFmtId="0" fontId="31" fillId="0" borderId="0" xfId="4" applyFont="1" applyAlignment="1">
      <alignment horizontal="right"/>
    </xf>
    <xf numFmtId="0" fontId="38" fillId="0" borderId="19" xfId="4" applyFont="1" applyBorder="1" applyAlignment="1"/>
    <xf numFmtId="0" fontId="4" fillId="20" borderId="20" xfId="4" applyFont="1" applyFill="1" applyBorder="1" applyAlignment="1"/>
    <xf numFmtId="0" fontId="4" fillId="0" borderId="20" xfId="4" applyFont="1" applyBorder="1" applyAlignment="1"/>
    <xf numFmtId="0" fontId="4" fillId="0" borderId="18" xfId="4" applyBorder="1" applyAlignment="1"/>
    <xf numFmtId="0" fontId="31" fillId="0" borderId="18" xfId="4" applyFont="1" applyBorder="1" applyAlignment="1"/>
    <xf numFmtId="0" fontId="3" fillId="0" borderId="0" xfId="2" applyNumberFormat="1" applyFont="1" applyFill="1" applyBorder="1" applyAlignment="1" applyProtection="1"/>
    <xf numFmtId="0" fontId="3" fillId="0" borderId="0" xfId="2" applyNumberFormat="1" applyFont="1" applyFill="1" applyBorder="1" applyAlignment="1" applyProtection="1">
      <alignment horizontal="left"/>
    </xf>
    <xf numFmtId="0" fontId="40" fillId="0" borderId="0" xfId="4" applyFont="1" applyAlignment="1">
      <alignment horizontal="center"/>
    </xf>
    <xf numFmtId="49" fontId="4" fillId="0" borderId="0" xfId="4" applyNumberFormat="1" applyFont="1" applyAlignment="1">
      <alignment horizontal="left"/>
    </xf>
    <xf numFmtId="49" fontId="4" fillId="0" borderId="0" xfId="4" applyNumberFormat="1" applyAlignment="1">
      <alignment horizontal="left"/>
    </xf>
    <xf numFmtId="0" fontId="37" fillId="18" borderId="0" xfId="4" applyFont="1" applyFill="1" applyAlignment="1">
      <alignment horizontal="center"/>
    </xf>
    <xf numFmtId="0" fontId="41" fillId="11" borderId="0" xfId="4" applyFont="1" applyFill="1" applyAlignment="1">
      <alignment horizontal="center"/>
    </xf>
    <xf numFmtId="0" fontId="42" fillId="0" borderId="0" xfId="4" applyFont="1" applyAlignment="1">
      <alignment horizontal="left"/>
    </xf>
    <xf numFmtId="0" fontId="43" fillId="0" borderId="0" xfId="4" applyFont="1" applyAlignment="1"/>
    <xf numFmtId="0" fontId="44" fillId="0" borderId="0" xfId="4" applyFont="1" applyAlignment="1"/>
    <xf numFmtId="0" fontId="45" fillId="0" borderId="0" xfId="4" applyFont="1" applyAlignment="1"/>
    <xf numFmtId="0" fontId="46" fillId="0" borderId="0" xfId="4" applyFont="1" applyAlignment="1"/>
    <xf numFmtId="0" fontId="47" fillId="0" borderId="0" xfId="4" applyFont="1" applyAlignment="1">
      <alignment horizontal="center"/>
    </xf>
    <xf numFmtId="0" fontId="48" fillId="0" borderId="0" xfId="4" applyFont="1" applyAlignment="1">
      <alignment horizontal="center"/>
    </xf>
    <xf numFmtId="0" fontId="43" fillId="19" borderId="0" xfId="4" applyFont="1" applyFill="1" applyAlignment="1">
      <alignment horizontal="center"/>
    </xf>
    <xf numFmtId="1" fontId="44" fillId="0" borderId="0" xfId="4" applyNumberFormat="1" applyFont="1" applyAlignment="1">
      <alignment horizontal="center"/>
    </xf>
    <xf numFmtId="0" fontId="43" fillId="0" borderId="0" xfId="4" applyFont="1" applyFill="1" applyAlignment="1">
      <alignment horizontal="center"/>
    </xf>
    <xf numFmtId="0" fontId="43" fillId="0" borderId="0" xfId="4" applyFont="1" applyAlignment="1">
      <alignment horizontal="right"/>
    </xf>
    <xf numFmtId="0" fontId="44" fillId="0" borderId="0" xfId="4" applyFont="1" applyAlignment="1">
      <alignment horizontal="right"/>
    </xf>
    <xf numFmtId="0" fontId="43" fillId="0" borderId="18" xfId="4" applyFont="1" applyBorder="1" applyAlignment="1"/>
    <xf numFmtId="0" fontId="44" fillId="0" borderId="18" xfId="4" applyFont="1" applyBorder="1" applyAlignment="1"/>
    <xf numFmtId="0" fontId="49" fillId="0" borderId="0" xfId="4" applyFont="1" applyAlignment="1">
      <alignment horizontal="left"/>
    </xf>
    <xf numFmtId="0" fontId="0" fillId="2" borderId="0" xfId="0" applyFill="1"/>
    <xf numFmtId="0" fontId="11" fillId="4" borderId="7" xfId="0" applyFont="1" applyFill="1" applyBorder="1" applyAlignment="1"/>
    <xf numFmtId="0" fontId="11" fillId="4" borderId="7" xfId="0" applyFont="1" applyFill="1" applyBorder="1" applyAlignment="1" applyProtection="1">
      <protection hidden="1"/>
    </xf>
    <xf numFmtId="1" fontId="13" fillId="5" borderId="7" xfId="0" applyNumberFormat="1" applyFont="1" applyFill="1" applyBorder="1" applyAlignment="1" applyProtection="1">
      <alignment horizontal="left"/>
      <protection locked="0"/>
    </xf>
    <xf numFmtId="1" fontId="13" fillId="2" borderId="7" xfId="0" applyNumberFormat="1" applyFont="1" applyFill="1" applyBorder="1" applyAlignment="1" applyProtection="1">
      <alignment horizontal="left"/>
      <protection locked="0"/>
    </xf>
    <xf numFmtId="0" fontId="13" fillId="2" borderId="21" xfId="0" applyFont="1" applyFill="1" applyBorder="1"/>
    <xf numFmtId="0" fontId="13" fillId="2" borderId="0" xfId="0" applyFont="1" applyFill="1" applyProtection="1">
      <protection locked="0"/>
    </xf>
    <xf numFmtId="0" fontId="13" fillId="2" borderId="21" xfId="0" applyFont="1" applyFill="1" applyBorder="1" applyProtection="1">
      <protection locked="0"/>
    </xf>
    <xf numFmtId="0" fontId="11" fillId="2" borderId="7" xfId="0" applyFont="1" applyFill="1" applyBorder="1" applyProtection="1"/>
    <xf numFmtId="0" fontId="11" fillId="5" borderId="7" xfId="0" applyFont="1" applyFill="1" applyBorder="1" applyProtection="1"/>
    <xf numFmtId="0" fontId="11" fillId="2" borderId="0" xfId="0" applyFont="1" applyFill="1" applyAlignment="1">
      <alignment horizontal="center"/>
    </xf>
    <xf numFmtId="0" fontId="11" fillId="2" borderId="0" xfId="0" applyFont="1" applyFill="1"/>
    <xf numFmtId="0" fontId="11" fillId="2" borderId="0" xfId="0" applyFont="1" applyFill="1" applyAlignment="1"/>
    <xf numFmtId="0" fontId="11" fillId="4" borderId="7" xfId="0" applyFont="1" applyFill="1" applyBorder="1"/>
    <xf numFmtId="0" fontId="13" fillId="4" borderId="7" xfId="0" applyFont="1" applyFill="1" applyBorder="1"/>
    <xf numFmtId="0" fontId="13" fillId="2" borderId="0" xfId="0" applyNumberFormat="1" applyFont="1" applyFill="1" applyBorder="1" applyAlignment="1">
      <alignment horizontal="left" vertical="center"/>
    </xf>
    <xf numFmtId="0" fontId="13" fillId="2" borderId="0" xfId="0" applyFont="1" applyFill="1" applyBorder="1"/>
    <xf numFmtId="0" fontId="11" fillId="4" borderId="7" xfId="0" applyFont="1" applyFill="1" applyBorder="1" applyProtection="1">
      <protection locked="0"/>
    </xf>
    <xf numFmtId="1" fontId="12" fillId="2" borderId="0" xfId="0" applyNumberFormat="1" applyFont="1" applyFill="1" applyProtection="1"/>
    <xf numFmtId="0" fontId="12" fillId="2" borderId="0" xfId="0" applyFont="1" applyFill="1" applyProtection="1"/>
    <xf numFmtId="0" fontId="0" fillId="2" borderId="0" xfId="0" applyFont="1" applyFill="1" applyAlignment="1" applyProtection="1">
      <alignment wrapText="1"/>
      <protection locked="0"/>
    </xf>
    <xf numFmtId="0" fontId="0" fillId="2" borderId="0" xfId="0" applyFont="1" applyFill="1" applyBorder="1" applyAlignment="1" applyProtection="1">
      <alignment horizontal="center"/>
      <protection locked="0"/>
    </xf>
    <xf numFmtId="0" fontId="50" fillId="2" borderId="0" xfId="1" applyNumberFormat="1" applyFont="1" applyFill="1" applyBorder="1" applyAlignment="1" applyProtection="1">
      <alignment horizontal="right"/>
      <protection locked="0" hidden="1"/>
    </xf>
    <xf numFmtId="0" fontId="50" fillId="2" borderId="0" xfId="1" applyNumberFormat="1" applyFont="1" applyFill="1" applyBorder="1" applyAlignment="1" applyProtection="1">
      <protection locked="0" hidden="1"/>
    </xf>
    <xf numFmtId="0" fontId="13" fillId="2" borderId="0" xfId="0" applyFont="1" applyFill="1" applyBorder="1" applyProtection="1">
      <protection locked="0"/>
    </xf>
    <xf numFmtId="0" fontId="11" fillId="2" borderId="0" xfId="0" applyFont="1" applyFill="1" applyBorder="1" applyAlignment="1" applyProtection="1">
      <alignment horizontal="center"/>
      <protection locked="0"/>
    </xf>
    <xf numFmtId="0" fontId="11" fillId="2" borderId="0" xfId="0" applyFont="1" applyFill="1" applyBorder="1" applyAlignment="1" applyProtection="1">
      <protection locked="0"/>
    </xf>
    <xf numFmtId="0" fontId="11" fillId="0" borderId="0" xfId="0" applyFont="1" applyFill="1" applyBorder="1" applyProtection="1">
      <protection locked="0"/>
    </xf>
    <xf numFmtId="0" fontId="13" fillId="0" borderId="0" xfId="0" applyFont="1" applyFill="1" applyBorder="1" applyProtection="1">
      <protection locked="0"/>
    </xf>
    <xf numFmtId="167" fontId="13" fillId="2" borderId="7" xfId="0" applyNumberFormat="1" applyFont="1" applyFill="1" applyBorder="1" applyAlignment="1" applyProtection="1">
      <alignment horizontal="left"/>
      <protection locked="0"/>
    </xf>
    <xf numFmtId="165" fontId="13" fillId="2" borderId="7" xfId="0" applyNumberFormat="1" applyFont="1" applyFill="1" applyBorder="1" applyAlignment="1" applyProtection="1">
      <alignment horizontal="left" wrapText="1"/>
      <protection locked="0"/>
    </xf>
    <xf numFmtId="20" fontId="13" fillId="2" borderId="7" xfId="0" applyNumberFormat="1" applyFont="1" applyFill="1" applyBorder="1" applyProtection="1">
      <protection locked="0"/>
    </xf>
    <xf numFmtId="0" fontId="13" fillId="2" borderId="7" xfId="0" applyFont="1" applyFill="1" applyBorder="1" applyAlignment="1" applyProtection="1">
      <protection locked="0"/>
    </xf>
    <xf numFmtId="0" fontId="13" fillId="2" borderId="0" xfId="0" applyFont="1" applyFill="1" applyBorder="1" applyAlignment="1" applyProtection="1">
      <alignment horizontal="center"/>
      <protection locked="0"/>
    </xf>
    <xf numFmtId="0" fontId="13" fillId="2" borderId="7" xfId="0" applyFont="1" applyFill="1" applyBorder="1" applyProtection="1">
      <protection locked="0"/>
    </xf>
    <xf numFmtId="167" fontId="13" fillId="5" borderId="7" xfId="0" applyNumberFormat="1" applyFont="1" applyFill="1" applyBorder="1" applyAlignment="1" applyProtection="1">
      <alignment horizontal="left"/>
      <protection locked="0"/>
    </xf>
    <xf numFmtId="165" fontId="13" fillId="5" borderId="7" xfId="0" applyNumberFormat="1" applyFont="1" applyFill="1" applyBorder="1" applyAlignment="1" applyProtection="1">
      <alignment horizontal="left" wrapText="1"/>
      <protection locked="0"/>
    </xf>
    <xf numFmtId="20" fontId="13" fillId="5" borderId="7" xfId="0" applyNumberFormat="1" applyFont="1" applyFill="1" applyBorder="1" applyProtection="1">
      <protection locked="0"/>
    </xf>
    <xf numFmtId="0" fontId="13" fillId="5" borderId="7" xfId="0" applyFont="1" applyFill="1" applyBorder="1" applyAlignment="1" applyProtection="1">
      <protection locked="0"/>
    </xf>
    <xf numFmtId="0" fontId="13" fillId="5" borderId="7" xfId="0" applyFont="1" applyFill="1" applyBorder="1" applyProtection="1">
      <protection locked="0"/>
    </xf>
    <xf numFmtId="1" fontId="13" fillId="2" borderId="0" xfId="0" applyNumberFormat="1" applyFont="1" applyFill="1" applyBorder="1" applyProtection="1"/>
    <xf numFmtId="0" fontId="13" fillId="2" borderId="0" xfId="0" applyFont="1" applyFill="1" applyBorder="1" applyProtection="1"/>
    <xf numFmtId="0" fontId="13" fillId="2" borderId="0" xfId="0" applyFont="1" applyFill="1" applyBorder="1" applyAlignment="1" applyProtection="1">
      <alignment horizontal="left"/>
    </xf>
    <xf numFmtId="20" fontId="13" fillId="2" borderId="0" xfId="0" applyNumberFormat="1" applyFont="1" applyFill="1" applyBorder="1" applyProtection="1"/>
    <xf numFmtId="165" fontId="13" fillId="2" borderId="0" xfId="0" applyNumberFormat="1" applyFont="1" applyFill="1" applyBorder="1" applyAlignment="1" applyProtection="1">
      <alignment horizontal="left"/>
    </xf>
    <xf numFmtId="0" fontId="0" fillId="2" borderId="8" xfId="0" applyFont="1" applyFill="1" applyBorder="1" applyProtection="1">
      <protection locked="0"/>
    </xf>
    <xf numFmtId="1" fontId="0" fillId="2" borderId="8" xfId="0" applyNumberFormat="1" applyFont="1" applyFill="1" applyBorder="1" applyProtection="1">
      <protection locked="0"/>
    </xf>
    <xf numFmtId="0" fontId="0" fillId="2" borderId="8" xfId="0" applyFont="1" applyFill="1" applyBorder="1" applyAlignment="1" applyProtection="1">
      <alignment horizontal="left"/>
      <protection locked="0"/>
    </xf>
    <xf numFmtId="0" fontId="0" fillId="2" borderId="8" xfId="0" applyFont="1" applyFill="1" applyBorder="1" applyAlignment="1" applyProtection="1">
      <protection locked="0"/>
    </xf>
    <xf numFmtId="0" fontId="0" fillId="2" borderId="8" xfId="0" applyFont="1" applyFill="1" applyBorder="1" applyAlignment="1" applyProtection="1">
      <alignment horizontal="center"/>
      <protection locked="0"/>
    </xf>
    <xf numFmtId="0" fontId="0" fillId="2" borderId="22" xfId="0" applyFont="1" applyFill="1" applyBorder="1" applyProtection="1">
      <protection locked="0"/>
    </xf>
    <xf numFmtId="0" fontId="51" fillId="0" borderId="0" xfId="0" applyFont="1"/>
    <xf numFmtId="0" fontId="52" fillId="0" borderId="0" xfId="0" applyFont="1"/>
    <xf numFmtId="0" fontId="52" fillId="0" borderId="0" xfId="0" applyFont="1" applyFill="1"/>
    <xf numFmtId="0" fontId="0" fillId="21" borderId="0" xfId="0" applyFill="1"/>
    <xf numFmtId="0" fontId="0" fillId="0" borderId="0" xfId="0" applyFont="1"/>
    <xf numFmtId="1" fontId="24" fillId="9" borderId="0" xfId="0" applyNumberFormat="1" applyFont="1" applyFill="1"/>
    <xf numFmtId="1" fontId="24" fillId="10" borderId="0" xfId="0" applyNumberFormat="1" applyFont="1" applyFill="1"/>
    <xf numFmtId="1" fontId="24" fillId="14" borderId="0" xfId="0" applyNumberFormat="1" applyFont="1" applyFill="1"/>
    <xf numFmtId="1" fontId="24" fillId="15" borderId="0" xfId="0" applyNumberFormat="1" applyFont="1" applyFill="1"/>
    <xf numFmtId="1" fontId="24" fillId="16" borderId="0" xfId="0" applyNumberFormat="1" applyFont="1" applyFill="1"/>
    <xf numFmtId="1" fontId="24" fillId="17" borderId="0" xfId="0" applyNumberFormat="1" applyFont="1" applyFill="1"/>
    <xf numFmtId="1" fontId="22" fillId="11" borderId="0" xfId="0" applyNumberFormat="1" applyFont="1" applyFill="1"/>
    <xf numFmtId="0" fontId="53" fillId="0" borderId="0" xfId="0" applyFont="1"/>
    <xf numFmtId="1" fontId="53" fillId="0" borderId="0" xfId="0" applyNumberFormat="1" applyFont="1"/>
    <xf numFmtId="0" fontId="22" fillId="0" borderId="0" xfId="0" applyNumberFormat="1" applyFont="1"/>
    <xf numFmtId="0" fontId="29" fillId="0" borderId="0" xfId="0" applyNumberFormat="1" applyFont="1"/>
    <xf numFmtId="0" fontId="54" fillId="0" borderId="0" xfId="0" applyFont="1"/>
    <xf numFmtId="0" fontId="9" fillId="0" borderId="0" xfId="1"/>
    <xf numFmtId="20" fontId="13" fillId="5" borderId="7" xfId="0" applyNumberFormat="1" applyFont="1" applyFill="1" applyBorder="1" applyAlignment="1" applyProtection="1">
      <alignment horizontal="right"/>
      <protection locked="0"/>
    </xf>
    <xf numFmtId="20" fontId="13" fillId="2" borderId="7" xfId="0" applyNumberFormat="1" applyFont="1" applyFill="1" applyBorder="1" applyAlignment="1" applyProtection="1">
      <alignment horizontal="right"/>
      <protection locked="0"/>
    </xf>
    <xf numFmtId="20" fontId="13" fillId="5" borderId="7" xfId="0" applyNumberFormat="1" applyFont="1" applyFill="1" applyBorder="1" applyAlignment="1">
      <alignment horizontal="right"/>
    </xf>
    <xf numFmtId="20" fontId="13" fillId="2" borderId="7" xfId="0" applyNumberFormat="1" applyFont="1" applyFill="1" applyBorder="1" applyAlignment="1">
      <alignment horizontal="right"/>
    </xf>
    <xf numFmtId="20" fontId="13" fillId="2" borderId="0" xfId="0" applyNumberFormat="1" applyFont="1" applyFill="1" applyAlignment="1">
      <alignment horizontal="right"/>
    </xf>
    <xf numFmtId="0" fontId="11" fillId="4" borderId="1" xfId="0" applyFont="1" applyFill="1" applyBorder="1" applyAlignment="1">
      <alignment horizontal="right"/>
    </xf>
    <xf numFmtId="20" fontId="13" fillId="2" borderId="7" xfId="0" applyNumberFormat="1" applyFont="1" applyFill="1" applyBorder="1" applyAlignment="1" applyProtection="1">
      <alignment horizontal="right"/>
    </xf>
    <xf numFmtId="20" fontId="13" fillId="5" borderId="7" xfId="0" applyNumberFormat="1" applyFont="1" applyFill="1" applyBorder="1" applyAlignment="1" applyProtection="1">
      <alignment horizontal="right"/>
    </xf>
    <xf numFmtId="0" fontId="0" fillId="2" borderId="8" xfId="0" applyFont="1" applyFill="1" applyBorder="1" applyAlignment="1" applyProtection="1">
      <alignment horizontal="right"/>
    </xf>
    <xf numFmtId="0" fontId="0" fillId="2" borderId="0" xfId="0" applyFont="1" applyFill="1" applyAlignment="1" applyProtection="1">
      <alignment horizontal="right"/>
    </xf>
    <xf numFmtId="0" fontId="11" fillId="4" borderId="1" xfId="0" applyFont="1" applyFill="1" applyBorder="1" applyAlignment="1" applyProtection="1">
      <alignment horizontal="right"/>
    </xf>
    <xf numFmtId="0" fontId="0" fillId="2" borderId="0" xfId="0" applyFont="1" applyFill="1" applyBorder="1" applyAlignment="1" applyProtection="1">
      <alignment horizontal="right"/>
    </xf>
    <xf numFmtId="0" fontId="0" fillId="0" borderId="0" xfId="0" applyFill="1" applyBorder="1" applyProtection="1">
      <protection locked="0"/>
    </xf>
    <xf numFmtId="0" fontId="55" fillId="0" borderId="0" xfId="0" applyFont="1" applyFill="1"/>
    <xf numFmtId="49" fontId="13" fillId="0" borderId="0" xfId="0" applyNumberFormat="1" applyFont="1" applyFill="1" applyBorder="1" applyProtection="1">
      <protection locked="0"/>
    </xf>
    <xf numFmtId="49" fontId="0" fillId="0" borderId="0" xfId="0" applyNumberFormat="1" applyFont="1" applyFill="1" applyBorder="1" applyProtection="1">
      <protection locked="0"/>
    </xf>
    <xf numFmtId="49" fontId="11" fillId="0" borderId="0" xfId="0" applyNumberFormat="1" applyFont="1" applyFill="1" applyBorder="1" applyProtection="1">
      <protection locked="0"/>
    </xf>
    <xf numFmtId="20" fontId="13" fillId="22" borderId="7" xfId="0" applyNumberFormat="1" applyFont="1" applyFill="1" applyBorder="1" applyAlignment="1" applyProtection="1">
      <alignment horizontal="right"/>
      <protection locked="0"/>
    </xf>
    <xf numFmtId="0" fontId="0" fillId="0" borderId="0" xfId="0" applyAlignment="1">
      <alignment horizontal="right"/>
    </xf>
    <xf numFmtId="0" fontId="0" fillId="0" borderId="0" xfId="0" quotePrefix="1"/>
    <xf numFmtId="166" fontId="56" fillId="0" borderId="0" xfId="0" applyNumberFormat="1" applyFont="1"/>
    <xf numFmtId="14" fontId="4" fillId="0" borderId="0" xfId="4" applyNumberFormat="1" applyAlignment="1"/>
    <xf numFmtId="20" fontId="4" fillId="0" borderId="0" xfId="4" applyNumberFormat="1" applyAlignment="1"/>
    <xf numFmtId="0" fontId="4" fillId="0" borderId="0" xfId="4" applyBorder="1" applyAlignment="1"/>
    <xf numFmtId="0" fontId="31" fillId="0" borderId="0" xfId="4" applyFont="1" applyBorder="1" applyAlignment="1"/>
    <xf numFmtId="14" fontId="57" fillId="0" borderId="0" xfId="4" applyNumberFormat="1" applyFont="1" applyAlignment="1"/>
    <xf numFmtId="0" fontId="57" fillId="0" borderId="0" xfId="4" applyFont="1" applyAlignment="1"/>
    <xf numFmtId="20" fontId="57" fillId="0" borderId="0" xfId="4" applyNumberFormat="1" applyFont="1" applyAlignment="1"/>
    <xf numFmtId="0" fontId="58" fillId="0" borderId="0" xfId="4" applyFont="1" applyAlignment="1">
      <alignment horizontal="left"/>
    </xf>
    <xf numFmtId="0" fontId="23" fillId="10" borderId="0" xfId="0" applyFont="1" applyFill="1" applyAlignment="1">
      <alignment horizontal="center"/>
    </xf>
    <xf numFmtId="20" fontId="11" fillId="5" borderId="7" xfId="0" applyNumberFormat="1" applyFont="1" applyFill="1" applyBorder="1" applyProtection="1"/>
    <xf numFmtId="1" fontId="11" fillId="5" borderId="7" xfId="0" applyNumberFormat="1" applyFont="1" applyFill="1" applyBorder="1" applyAlignment="1" applyProtection="1">
      <protection locked="0"/>
    </xf>
    <xf numFmtId="0" fontId="11" fillId="5" borderId="7" xfId="0" applyFont="1" applyFill="1" applyBorder="1" applyAlignment="1" applyProtection="1">
      <alignment horizontal="center"/>
    </xf>
    <xf numFmtId="1" fontId="11" fillId="5" borderId="7" xfId="0" applyNumberFormat="1" applyFont="1" applyFill="1" applyBorder="1" applyProtection="1">
      <protection locked="0"/>
    </xf>
    <xf numFmtId="0" fontId="11" fillId="5" borderId="7" xfId="0" applyFont="1" applyFill="1" applyBorder="1" applyAlignment="1" applyProtection="1"/>
    <xf numFmtId="1" fontId="59" fillId="6" borderId="0" xfId="0" applyNumberFormat="1" applyFont="1" applyFill="1" applyProtection="1"/>
    <xf numFmtId="1" fontId="0" fillId="0" borderId="0" xfId="0" applyNumberFormat="1" applyFill="1" applyBorder="1" applyProtection="1"/>
    <xf numFmtId="1" fontId="50" fillId="0" borderId="0" xfId="0" applyNumberFormat="1" applyFont="1" applyFill="1" applyBorder="1" applyAlignment="1" applyProtection="1">
      <alignment horizontal="center"/>
    </xf>
    <xf numFmtId="0" fontId="27" fillId="0" borderId="25" xfId="0" applyFont="1" applyFill="1" applyBorder="1"/>
    <xf numFmtId="0" fontId="60" fillId="0" borderId="0" xfId="0" applyFont="1" applyFill="1" applyBorder="1"/>
    <xf numFmtId="0" fontId="60" fillId="0" borderId="25" xfId="0" applyFont="1" applyFill="1" applyBorder="1"/>
    <xf numFmtId="0" fontId="60" fillId="0" borderId="24" xfId="0" applyFont="1" applyFill="1" applyBorder="1"/>
    <xf numFmtId="0" fontId="13" fillId="23" borderId="0" xfId="0" applyFont="1" applyFill="1" applyAlignment="1" applyProtection="1">
      <alignment horizontal="right"/>
      <protection locked="0"/>
    </xf>
    <xf numFmtId="0" fontId="13" fillId="23" borderId="0" xfId="0" applyFont="1" applyFill="1" applyProtection="1">
      <protection locked="0"/>
    </xf>
    <xf numFmtId="0" fontId="63" fillId="24" borderId="0" xfId="0" applyFont="1" applyFill="1"/>
    <xf numFmtId="0" fontId="63" fillId="25" borderId="0" xfId="0" applyFont="1" applyFill="1"/>
    <xf numFmtId="0" fontId="63" fillId="26" borderId="0" xfId="0" applyFont="1" applyFill="1"/>
    <xf numFmtId="0" fontId="63" fillId="0" borderId="0" xfId="0" applyFont="1" applyFill="1" applyBorder="1"/>
    <xf numFmtId="0" fontId="1" fillId="0" borderId="0" xfId="48"/>
    <xf numFmtId="0" fontId="1" fillId="0" borderId="0" xfId="48" applyAlignment="1"/>
    <xf numFmtId="0" fontId="1" fillId="0" borderId="35" xfId="48" applyBorder="1" applyAlignment="1"/>
    <xf numFmtId="0" fontId="0" fillId="0" borderId="0" xfId="0" applyAlignment="1">
      <alignment horizontal="center" wrapText="1"/>
    </xf>
    <xf numFmtId="0" fontId="0" fillId="0" borderId="0" xfId="0" applyAlignment="1"/>
    <xf numFmtId="0" fontId="0" fillId="0" borderId="35" xfId="0" applyBorder="1" applyAlignment="1"/>
    <xf numFmtId="0" fontId="78" fillId="0" borderId="0" xfId="0" applyFont="1" applyAlignment="1">
      <alignment horizontal="center"/>
    </xf>
    <xf numFmtId="0" fontId="0" fillId="0" borderId="0" xfId="0" applyAlignment="1">
      <alignment horizontal="center"/>
    </xf>
    <xf numFmtId="0" fontId="78" fillId="0" borderId="0" xfId="0" applyFont="1" applyAlignment="1"/>
    <xf numFmtId="166" fontId="0" fillId="0" borderId="0" xfId="0" applyNumberFormat="1" applyAlignment="1">
      <alignment horizontal="center" wrapText="1"/>
    </xf>
    <xf numFmtId="0" fontId="81" fillId="0" borderId="0" xfId="4" applyFont="1" applyAlignment="1"/>
    <xf numFmtId="0" fontId="82" fillId="2" borderId="7" xfId="0" applyFont="1" applyFill="1" applyBorder="1" applyProtection="1"/>
    <xf numFmtId="0" fontId="82" fillId="5" borderId="7" xfId="0" applyFont="1" applyFill="1" applyBorder="1" applyProtection="1"/>
    <xf numFmtId="0" fontId="78" fillId="0" borderId="0" xfId="48" applyFont="1" applyAlignment="1">
      <alignment horizontal="center"/>
    </xf>
    <xf numFmtId="0" fontId="1" fillId="0" borderId="0" xfId="48" applyAlignment="1">
      <alignment horizontal="center"/>
    </xf>
    <xf numFmtId="0" fontId="22" fillId="0" borderId="0" xfId="0" applyFont="1" applyAlignment="1">
      <alignment horizontal="right"/>
    </xf>
    <xf numFmtId="0" fontId="83" fillId="0" borderId="0" xfId="0" applyFont="1"/>
    <xf numFmtId="0" fontId="26" fillId="0" borderId="0" xfId="0" applyFont="1" applyAlignment="1">
      <alignment horizontal="right"/>
    </xf>
    <xf numFmtId="0" fontId="84" fillId="0" borderId="0" xfId="0" applyFont="1"/>
    <xf numFmtId="0" fontId="85" fillId="0" borderId="0" xfId="0" applyFont="1"/>
    <xf numFmtId="0" fontId="84" fillId="0" borderId="0" xfId="0" applyFont="1" applyAlignment="1">
      <alignment horizontal="right"/>
    </xf>
    <xf numFmtId="0" fontId="55" fillId="0" borderId="0" xfId="0" applyFont="1" applyAlignment="1">
      <alignment horizontal="right"/>
    </xf>
    <xf numFmtId="0" fontId="55" fillId="0" borderId="0" xfId="0" applyFont="1"/>
    <xf numFmtId="0" fontId="86" fillId="0" borderId="0" xfId="0" applyFont="1"/>
    <xf numFmtId="0" fontId="86" fillId="0" borderId="0" xfId="0" applyFont="1" applyAlignment="1">
      <alignment horizontal="right"/>
    </xf>
    <xf numFmtId="0" fontId="22" fillId="59" borderId="0" xfId="0" applyFont="1" applyFill="1"/>
    <xf numFmtId="0" fontId="26" fillId="59" borderId="0" xfId="0" applyFont="1" applyFill="1"/>
    <xf numFmtId="0" fontId="22" fillId="62" borderId="0" xfId="0" applyFont="1" applyFill="1"/>
    <xf numFmtId="0" fontId="26" fillId="62" borderId="0" xfId="0" applyFont="1" applyFill="1"/>
    <xf numFmtId="49" fontId="26" fillId="59" borderId="0" xfId="0" applyNumberFormat="1" applyFont="1" applyFill="1"/>
    <xf numFmtId="49" fontId="26" fillId="0" borderId="0" xfId="0" applyNumberFormat="1" applyFont="1"/>
    <xf numFmtId="49" fontId="26" fillId="62" borderId="0" xfId="0" applyNumberFormat="1" applyFont="1" applyFill="1"/>
    <xf numFmtId="0" fontId="22" fillId="59" borderId="0" xfId="0" applyFont="1" applyFill="1" applyAlignment="1">
      <alignment horizontal="center"/>
    </xf>
    <xf numFmtId="0" fontId="22" fillId="0" borderId="0" xfId="0" applyFont="1" applyAlignment="1">
      <alignment horizontal="center"/>
    </xf>
    <xf numFmtId="0" fontId="22" fillId="62" borderId="0" xfId="0" applyFont="1" applyFill="1" applyAlignment="1">
      <alignment horizontal="center"/>
    </xf>
    <xf numFmtId="0" fontId="22" fillId="0" borderId="0" xfId="0" applyFont="1" applyFill="1" applyAlignment="1">
      <alignment horizontal="center"/>
    </xf>
    <xf numFmtId="0" fontId="22" fillId="60" borderId="0" xfId="0" applyFont="1" applyFill="1" applyAlignment="1">
      <alignment horizontal="center"/>
    </xf>
    <xf numFmtId="0" fontId="22" fillId="12" borderId="0" xfId="0" applyFont="1" applyFill="1" applyAlignment="1">
      <alignment horizontal="center"/>
    </xf>
    <xf numFmtId="0" fontId="22" fillId="63" borderId="0" xfId="0" applyFont="1" applyFill="1" applyAlignment="1">
      <alignment horizontal="center"/>
    </xf>
    <xf numFmtId="0" fontId="22" fillId="61" borderId="0" xfId="0" applyFont="1" applyFill="1" applyAlignment="1">
      <alignment horizontal="center"/>
    </xf>
    <xf numFmtId="0" fontId="22" fillId="13" borderId="0" xfId="0" applyFont="1" applyFill="1" applyAlignment="1">
      <alignment horizontal="center"/>
    </xf>
    <xf numFmtId="0" fontId="22" fillId="64" borderId="0" xfId="0" applyFont="1" applyFill="1" applyAlignment="1">
      <alignment horizontal="center"/>
    </xf>
    <xf numFmtId="0" fontId="26" fillId="59" borderId="0" xfId="0" applyFont="1" applyFill="1" applyAlignment="1">
      <alignment horizontal="center"/>
    </xf>
    <xf numFmtId="0" fontId="26" fillId="0" borderId="0" xfId="0" applyFont="1" applyAlignment="1">
      <alignment horizontal="center"/>
    </xf>
    <xf numFmtId="0" fontId="26" fillId="62" borderId="0" xfId="0" applyFont="1" applyFill="1" applyAlignment="1">
      <alignment horizontal="center"/>
    </xf>
    <xf numFmtId="0" fontId="24" fillId="9" borderId="0" xfId="0" applyFont="1" applyFill="1" applyAlignment="1">
      <alignment horizontal="center"/>
    </xf>
    <xf numFmtId="0" fontId="24" fillId="10" borderId="0" xfId="0" applyFont="1" applyFill="1" applyAlignment="1">
      <alignment horizontal="center"/>
    </xf>
    <xf numFmtId="0" fontId="24" fillId="10" borderId="0" xfId="0" applyFont="1" applyFill="1" applyBorder="1" applyAlignment="1">
      <alignment horizontal="center"/>
    </xf>
    <xf numFmtId="0" fontId="0" fillId="0" borderId="0" xfId="0" applyAlignment="1">
      <alignment horizontal="center"/>
    </xf>
    <xf numFmtId="0" fontId="87" fillId="4" borderId="7" xfId="0" applyFont="1" applyFill="1" applyBorder="1"/>
    <xf numFmtId="0" fontId="11" fillId="2" borderId="7" xfId="0" applyFont="1" applyFill="1" applyBorder="1"/>
    <xf numFmtId="0" fontId="11" fillId="5" borderId="7" xfId="0" applyFont="1" applyFill="1" applyBorder="1"/>
    <xf numFmtId="0" fontId="0" fillId="65" borderId="0" xfId="0" applyFill="1"/>
    <xf numFmtId="0" fontId="0" fillId="65" borderId="0" xfId="0" applyFill="1" applyAlignment="1"/>
    <xf numFmtId="0" fontId="88" fillId="65" borderId="0" xfId="0" applyFont="1" applyFill="1"/>
    <xf numFmtId="0" fontId="88" fillId="65" borderId="0" xfId="0" applyFont="1" applyFill="1" applyBorder="1"/>
    <xf numFmtId="0" fontId="88" fillId="24" borderId="0" xfId="0" applyFont="1" applyFill="1"/>
    <xf numFmtId="0" fontId="13" fillId="2" borderId="0" xfId="0" applyFont="1" applyFill="1" applyAlignment="1" applyProtection="1">
      <alignment horizontal="center"/>
      <protection locked="0"/>
    </xf>
    <xf numFmtId="0" fontId="13" fillId="4" borderId="7" xfId="0" applyFont="1" applyFill="1" applyBorder="1" applyAlignment="1">
      <alignment horizontal="center"/>
    </xf>
    <xf numFmtId="1" fontId="13" fillId="2" borderId="7" xfId="0" applyNumberFormat="1" applyFont="1" applyFill="1" applyBorder="1" applyAlignment="1">
      <alignment horizontal="center"/>
    </xf>
    <xf numFmtId="1" fontId="13" fillId="5" borderId="7" xfId="0" applyNumberFormat="1" applyFont="1" applyFill="1" applyBorder="1" applyAlignment="1">
      <alignment horizontal="center"/>
    </xf>
    <xf numFmtId="1" fontId="13" fillId="2" borderId="0" xfId="0" applyNumberFormat="1" applyFont="1" applyFill="1" applyAlignment="1">
      <alignment horizontal="center"/>
    </xf>
    <xf numFmtId="0" fontId="13" fillId="27" borderId="0" xfId="0" applyFont="1" applyFill="1" applyBorder="1" applyAlignment="1" applyProtection="1">
      <alignment horizontal="center"/>
      <protection locked="0"/>
    </xf>
    <xf numFmtId="0" fontId="13" fillId="27" borderId="0" xfId="0" applyFont="1" applyFill="1" applyBorder="1" applyAlignment="1">
      <alignment horizontal="center"/>
    </xf>
    <xf numFmtId="0" fontId="13" fillId="66" borderId="36" xfId="0" applyFont="1" applyFill="1" applyBorder="1" applyAlignment="1">
      <alignment horizontal="center"/>
    </xf>
    <xf numFmtId="1" fontId="13" fillId="27" borderId="36" xfId="0" applyNumberFormat="1" applyFont="1" applyFill="1" applyBorder="1" applyAlignment="1">
      <alignment horizontal="center"/>
    </xf>
    <xf numFmtId="1" fontId="13" fillId="22" borderId="36" xfId="0" applyNumberFormat="1" applyFont="1" applyFill="1" applyBorder="1" applyAlignment="1">
      <alignment horizontal="center"/>
    </xf>
    <xf numFmtId="1" fontId="13" fillId="27" borderId="0" xfId="0" applyNumberFormat="1" applyFont="1" applyFill="1" applyBorder="1" applyAlignment="1">
      <alignment horizontal="center"/>
    </xf>
    <xf numFmtId="0" fontId="13" fillId="2" borderId="0" xfId="0" applyFont="1" applyFill="1" applyAlignment="1" applyProtection="1">
      <alignment horizontal="right"/>
      <protection locked="0"/>
    </xf>
    <xf numFmtId="1" fontId="89" fillId="0" borderId="0" xfId="0" applyNumberFormat="1" applyFont="1"/>
    <xf numFmtId="0" fontId="21" fillId="0" borderId="23" xfId="0" applyFont="1" applyBorder="1"/>
    <xf numFmtId="0" fontId="24" fillId="10" borderId="23" xfId="0" applyFont="1" applyFill="1" applyBorder="1"/>
    <xf numFmtId="0" fontId="24" fillId="10" borderId="23" xfId="0" applyFont="1" applyFill="1" applyBorder="1" applyAlignment="1">
      <alignment horizontal="center"/>
    </xf>
    <xf numFmtId="0" fontId="22" fillId="0" borderId="23" xfId="0" applyFont="1" applyBorder="1"/>
    <xf numFmtId="0" fontId="22" fillId="59" borderId="23" xfId="0" applyFont="1" applyFill="1" applyBorder="1" applyAlignment="1">
      <alignment horizontal="center"/>
    </xf>
    <xf numFmtId="0" fontId="22" fillId="0" borderId="23" xfId="0" applyFont="1" applyBorder="1" applyAlignment="1">
      <alignment horizontal="center"/>
    </xf>
    <xf numFmtId="0" fontId="22" fillId="62" borderId="23" xfId="0" applyFont="1" applyFill="1" applyBorder="1" applyAlignment="1">
      <alignment horizontal="center"/>
    </xf>
    <xf numFmtId="0" fontId="90" fillId="0" borderId="0" xfId="0" applyFont="1" applyFill="1" applyBorder="1"/>
    <xf numFmtId="0" fontId="90" fillId="0" borderId="23" xfId="0" applyFont="1" applyFill="1" applyBorder="1"/>
    <xf numFmtId="0" fontId="21" fillId="12" borderId="37" xfId="0" applyFont="1" applyFill="1" applyBorder="1"/>
    <xf numFmtId="0" fontId="22" fillId="12" borderId="37" xfId="0" applyFont="1" applyFill="1" applyBorder="1"/>
    <xf numFmtId="0" fontId="90" fillId="0" borderId="37" xfId="0" applyFont="1" applyFill="1" applyBorder="1"/>
    <xf numFmtId="0" fontId="0" fillId="65" borderId="0" xfId="0" applyFill="1" applyBorder="1" applyProtection="1"/>
    <xf numFmtId="0" fontId="0" fillId="65" borderId="0" xfId="0" applyNumberFormat="1" applyFill="1" applyBorder="1" applyProtection="1"/>
    <xf numFmtId="0" fontId="0" fillId="65" borderId="0" xfId="0" applyFont="1" applyFill="1" applyBorder="1" applyProtection="1"/>
    <xf numFmtId="0" fontId="4" fillId="0" borderId="0" xfId="4" applyAlignment="1">
      <alignment horizontal="right"/>
    </xf>
    <xf numFmtId="0" fontId="27" fillId="67" borderId="0" xfId="0" applyFont="1" applyFill="1" applyBorder="1"/>
    <xf numFmtId="0" fontId="90" fillId="67" borderId="0" xfId="0" applyFont="1" applyFill="1" applyBorder="1"/>
    <xf numFmtId="0" fontId="6" fillId="2" borderId="0" xfId="0" applyFont="1" applyFill="1" applyBorder="1" applyAlignment="1" applyProtection="1"/>
    <xf numFmtId="0" fontId="0" fillId="2" borderId="0" xfId="0" applyFont="1" applyFill="1" applyBorder="1" applyAlignment="1" applyProtection="1"/>
    <xf numFmtId="0" fontId="10" fillId="3" borderId="1" xfId="1" applyNumberFormat="1" applyFont="1" applyFill="1" applyBorder="1" applyAlignment="1" applyProtection="1">
      <protection locked="0"/>
    </xf>
    <xf numFmtId="0" fontId="13" fillId="5" borderId="7" xfId="0" applyFont="1" applyFill="1" applyBorder="1" applyAlignment="1" applyProtection="1">
      <alignment horizontal="center"/>
      <protection locked="0"/>
    </xf>
    <xf numFmtId="0" fontId="16" fillId="2" borderId="1" xfId="0" applyFont="1" applyFill="1" applyBorder="1" applyAlignment="1" applyProtection="1">
      <alignment horizontal="center"/>
    </xf>
    <xf numFmtId="0" fontId="11" fillId="4" borderId="7" xfId="0" applyFont="1" applyFill="1" applyBorder="1" applyAlignment="1" applyProtection="1">
      <alignment horizontal="center"/>
    </xf>
    <xf numFmtId="0" fontId="13" fillId="2" borderId="7" xfId="0" applyFont="1" applyFill="1" applyBorder="1" applyAlignment="1" applyProtection="1">
      <alignment horizontal="center"/>
      <protection locked="0"/>
    </xf>
    <xf numFmtId="0" fontId="11" fillId="2" borderId="14" xfId="0" applyFont="1" applyFill="1" applyBorder="1" applyAlignment="1" applyProtection="1">
      <alignment horizontal="center"/>
    </xf>
    <xf numFmtId="0" fontId="18" fillId="2" borderId="14" xfId="0" applyFont="1" applyFill="1" applyBorder="1" applyAlignment="1" applyProtection="1">
      <alignment horizontal="center"/>
    </xf>
    <xf numFmtId="0" fontId="11" fillId="4" borderId="7" xfId="0" applyFont="1" applyFill="1" applyBorder="1" applyAlignment="1" applyProtection="1"/>
    <xf numFmtId="1" fontId="11" fillId="4" borderId="7" xfId="0" applyNumberFormat="1" applyFont="1" applyFill="1" applyBorder="1" applyAlignment="1" applyProtection="1"/>
    <xf numFmtId="0" fontId="78" fillId="0" borderId="0" xfId="0" applyFont="1" applyAlignment="1">
      <alignment horizontal="center" wrapText="1"/>
    </xf>
    <xf numFmtId="0" fontId="92" fillId="0" borderId="0" xfId="0" applyFont="1"/>
    <xf numFmtId="9" fontId="22" fillId="0" borderId="0" xfId="0" applyNumberFormat="1" applyFont="1"/>
    <xf numFmtId="169" fontId="22" fillId="0" borderId="0" xfId="0" applyNumberFormat="1" applyFont="1"/>
    <xf numFmtId="0" fontId="22" fillId="0" borderId="23" xfId="0" applyFont="1" applyFill="1" applyBorder="1"/>
    <xf numFmtId="1" fontId="91" fillId="68" borderId="37" xfId="0" applyNumberFormat="1" applyFont="1" applyFill="1" applyBorder="1"/>
    <xf numFmtId="0" fontId="22" fillId="0" borderId="37" xfId="0" applyFont="1" applyBorder="1"/>
    <xf numFmtId="169" fontId="22" fillId="68" borderId="0" xfId="0" applyNumberFormat="1" applyFont="1" applyFill="1"/>
  </cellXfs>
  <cellStyles count="49">
    <cellStyle name="20% - Accent1" xfId="22" builtinId="30" customBuiltin="1"/>
    <cellStyle name="20% - Accent2" xfId="26" builtinId="34" customBuiltin="1"/>
    <cellStyle name="20% - Accent3" xfId="30" builtinId="38" customBuiltin="1"/>
    <cellStyle name="20% - Accent4" xfId="34" builtinId="42" customBuiltin="1"/>
    <cellStyle name="20% - Accent5" xfId="38" builtinId="46" customBuiltin="1"/>
    <cellStyle name="20% - Accent6" xfId="42" builtinId="50" customBuiltin="1"/>
    <cellStyle name="40% - Accent1" xfId="23" builtinId="31" customBuiltin="1"/>
    <cellStyle name="40% - Accent2" xfId="27" builtinId="35" customBuiltin="1"/>
    <cellStyle name="40% - Accent3" xfId="31" builtinId="39" customBuiltin="1"/>
    <cellStyle name="40% - Accent4" xfId="35" builtinId="43" customBuiltin="1"/>
    <cellStyle name="40% - Accent5" xfId="39" builtinId="47" customBuiltin="1"/>
    <cellStyle name="40% - Accent6" xfId="43" builtinId="51" customBuiltin="1"/>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erekening" xfId="15" builtinId="22" customBuiltin="1"/>
    <cellStyle name="Controlecel" xfId="17" builtinId="23" customBuiltin="1"/>
    <cellStyle name="Gekoppelde cel" xfId="16" builtinId="24" customBuiltin="1"/>
    <cellStyle name="Goed" xfId="10" builtinId="26" customBuiltin="1"/>
    <cellStyle name="Hyperlink" xfId="1" builtinId="8"/>
    <cellStyle name="Hyperlink 2" xfId="2"/>
    <cellStyle name="Hyperlink 3" xfId="47"/>
    <cellStyle name="Invoer" xfId="13" builtinId="20" customBuiltin="1"/>
    <cellStyle name="Kop 1" xfId="6" builtinId="16" customBuiltin="1"/>
    <cellStyle name="Kop 2" xfId="7" builtinId="17" customBuiltin="1"/>
    <cellStyle name="Kop 3" xfId="8" builtinId="18" customBuiltin="1"/>
    <cellStyle name="Kop 4" xfId="9" builtinId="19" customBuiltin="1"/>
    <cellStyle name="Neutraal" xfId="12" builtinId="28" customBuiltin="1"/>
    <cellStyle name="Notitie 2" xfId="46"/>
    <cellStyle name="Ongeldig" xfId="11" builtinId="27" customBuiltin="1"/>
    <cellStyle name="Standaard" xfId="0" builtinId="0"/>
    <cellStyle name="Standaard 2" xfId="3"/>
    <cellStyle name="Standaard 2 2" xfId="4"/>
    <cellStyle name="Standaard 3" xfId="45"/>
    <cellStyle name="Standaard 4" xfId="48"/>
    <cellStyle name="Titel" xfId="5" builtinId="15" customBuiltin="1"/>
    <cellStyle name="Totaal" xfId="20" builtinId="25" customBuiltin="1"/>
    <cellStyle name="Uitvoer" xfId="14" builtinId="21" customBuiltin="1"/>
    <cellStyle name="Verklarende tekst" xfId="19" builtinId="53" customBuiltin="1"/>
    <cellStyle name="Waarschuwingstekst" xfId="18" builtinId="11" customBuiltin="1"/>
  </cellStyles>
  <dxfs count="25">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val="0"/>
        <color theme="0" tint="-0.24994659260841701"/>
      </font>
      <fill>
        <patternFill>
          <bgColor rgb="FFFF0000"/>
        </patternFill>
      </fill>
    </dxf>
    <dxf>
      <font>
        <strike/>
        <color theme="0" tint="-0.24994659260841701"/>
      </font>
      <fill>
        <patternFill>
          <bgColor rgb="FFFF0000"/>
        </patternFill>
      </fill>
    </dxf>
    <dxf>
      <font>
        <strike val="0"/>
        <color theme="0" tint="-0.24994659260841701"/>
      </font>
      <fill>
        <patternFill>
          <bgColor rgb="FFFF0000"/>
        </patternFill>
      </fill>
    </dxf>
    <dxf>
      <font>
        <b val="0"/>
        <i val="0"/>
        <strike val="0"/>
        <condense val="0"/>
        <extend val="0"/>
        <u val="none"/>
        <sz val="10"/>
        <color indexed="10"/>
      </font>
      <fill>
        <patternFill patternType="none">
          <fgColor indexed="64"/>
          <bgColor indexed="65"/>
        </patternFill>
      </fill>
      <border>
        <left/>
        <right/>
        <top/>
        <bottom/>
      </border>
    </dxf>
    <dxf>
      <font>
        <b/>
        <i val="0"/>
        <strike val="0"/>
        <condense val="0"/>
        <extend val="0"/>
        <u val="none"/>
        <sz val="10"/>
        <color indexed="9"/>
      </font>
      <fill>
        <patternFill patternType="solid">
          <fgColor indexed="16"/>
          <bgColor indexed="10"/>
        </patternFill>
      </fill>
      <border>
        <left/>
        <right/>
        <top/>
        <bottom/>
      </border>
    </dxf>
    <dxf>
      <font>
        <b val="0"/>
        <i val="0"/>
        <strike val="0"/>
        <condense val="0"/>
        <extend val="0"/>
        <u val="none"/>
        <sz val="10"/>
        <color indexed="0"/>
      </font>
      <fill>
        <patternFill patternType="solid">
          <fgColor indexed="16"/>
          <bgColor indexed="10"/>
        </patternFill>
      </fill>
      <border>
        <left/>
        <right/>
        <top/>
        <bottom/>
      </border>
    </dxf>
    <dxf>
      <font>
        <b val="0"/>
        <i val="0"/>
        <strike val="0"/>
        <condense val="0"/>
        <extend val="0"/>
        <u val="none"/>
        <sz val="10"/>
        <color indexed="10"/>
      </font>
      <fill>
        <patternFill patternType="none">
          <fgColor indexed="64"/>
          <bgColor indexed="65"/>
        </patternFill>
      </fill>
      <border>
        <left/>
        <right/>
        <top/>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2D050"/>
      <rgbColor rgb="000000FF"/>
      <rgbColor rgb="00FFFF00"/>
      <rgbColor rgb="00F79646"/>
      <rgbColor rgb="0077B6CC"/>
      <rgbColor rgb="00C00000"/>
      <rgbColor rgb="00789142"/>
      <rgbColor rgb="00000080"/>
      <rgbColor rgb="0077933C"/>
      <rgbColor rgb="00C77978"/>
      <rgbColor rgb="003A6293"/>
      <rgbColor rgb="00BDB4CB"/>
      <rgbColor rgb="00808080"/>
      <rgbColor rgb="008EB4E3"/>
      <rgbColor rgb="00953B38"/>
      <rgbColor rgb="00E8F6C0"/>
      <rgbColor rgb="00E6E6E6"/>
      <rgbColor rgb="00660066"/>
      <rgbColor rgb="00FF8080"/>
      <rgbColor rgb="000070C0"/>
      <rgbColor rgb="00CCCCCC"/>
      <rgbColor rgb="00000080"/>
      <rgbColor rgb="00F5A574"/>
      <rgbColor rgb="00FFC000"/>
      <rgbColor rgb="007997C4"/>
      <rgbColor rgb="00C3D69B"/>
      <rgbColor rgb="00E5883B"/>
      <rgbColor rgb="00558ED5"/>
      <rgbColor rgb="000000FF"/>
      <rgbColor rgb="0000B0F0"/>
      <rgbColor rgb="00D9D9D9"/>
      <rgbColor rgb="00D7E4BD"/>
      <rgbColor rgb="00C7D6B1"/>
      <rgbColor rgb="00B0BED7"/>
      <rgbColor rgb="00D9B0B0"/>
      <rgbColor rgb="0095B3D7"/>
      <rgbColor rgb="00FFCC99"/>
      <rgbColor rgb="004475B0"/>
      <rgbColor rgb="00419FB7"/>
      <rgbColor rgb="0099CC00"/>
      <rgbColor rgb="00FFCC00"/>
      <rgbColor rgb="00FF9900"/>
      <rgbColor rgb="00FF6600"/>
      <rgbColor rgb="00745994"/>
      <rgbColor rgb="00A6A6A6"/>
      <rgbColor rgb="008EAD4F"/>
      <rgbColor rgb="0037859A"/>
      <rgbColor rgb="00A9C37E"/>
      <rgbColor rgb="009684AF"/>
      <rgbColor rgb="00E46C0A"/>
      <rgbColor rgb="00B24543"/>
      <rgbColor rgb="00624B7D"/>
      <rgbColor rgb="00404040"/>
    </indexedColors>
    <mruColors>
      <color rgb="FFFF6600"/>
      <color rgb="FFFF505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harts/chart1.xml><?xml version="1.0" encoding="utf-8"?>
<c:chartSpace xmlns:c="http://schemas.openxmlformats.org/drawingml/2006/chart" xmlns:a="http://schemas.openxmlformats.org/drawingml/2006/main" xmlns:r="http://schemas.openxmlformats.org/officeDocument/2006/relationships">
  <c:lang val="nl-NL"/>
  <c:chart>
    <c:title>
      <c:tx>
        <c:rich>
          <a:bodyPr/>
          <a:lstStyle/>
          <a:p>
            <a:pPr>
              <a:defRPr sz="2000" b="1" i="0" u="none" strike="noStrike" baseline="0">
                <a:solidFill>
                  <a:srgbClr val="FFFF00"/>
                </a:solidFill>
                <a:latin typeface="Arial"/>
                <a:ea typeface="Arial"/>
                <a:cs typeface="Arial"/>
              </a:defRPr>
            </a:pPr>
            <a:r>
              <a:rPr lang="nl-NL" sz="2000"/>
              <a:t>Lothar's Loterij - WK2014</a:t>
            </a:r>
          </a:p>
        </c:rich>
      </c:tx>
      <c:layout>
        <c:manualLayout>
          <c:xMode val="edge"/>
          <c:yMode val="edge"/>
          <c:x val="0.43313304721030044"/>
          <c:y val="2.6389444222311081E-2"/>
        </c:manualLayout>
      </c:layout>
      <c:spPr>
        <a:noFill/>
        <a:ln w="25400">
          <a:noFill/>
        </a:ln>
      </c:spPr>
    </c:title>
    <c:plotArea>
      <c:layout>
        <c:manualLayout>
          <c:layoutTarget val="inner"/>
          <c:xMode val="edge"/>
          <c:yMode val="edge"/>
          <c:x val="2.8326180257510727E-2"/>
          <c:y val="8.1089794557439282E-2"/>
          <c:w val="0.90077253218884723"/>
          <c:h val="0.78155967067634469"/>
        </c:manualLayout>
      </c:layout>
      <c:lineChart>
        <c:grouping val="standard"/>
        <c:ser>
          <c:idx val="0"/>
          <c:order val="0"/>
          <c:tx>
            <c:strRef>
              <c:f>score!$AD$1</c:f>
              <c:strCache>
                <c:ptCount val="1"/>
                <c:pt idx="0">
                  <c:v>Marjon</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score!$AD$2:$AD$7</c:f>
              <c:numCache>
                <c:formatCode>0.0</c:formatCode>
                <c:ptCount val="6"/>
                <c:pt idx="0">
                  <c:v>-0.625</c:v>
                </c:pt>
                <c:pt idx="1">
                  <c:v>-0.41666666666666607</c:v>
                </c:pt>
                <c:pt idx="2">
                  <c:v>-1.25</c:v>
                </c:pt>
                <c:pt idx="3">
                  <c:v>-0.83333333333333393</c:v>
                </c:pt>
                <c:pt idx="4">
                  <c:v>0.41666666666666785</c:v>
                </c:pt>
                <c:pt idx="5">
                  <c:v>0.41666666666666785</c:v>
                </c:pt>
              </c:numCache>
            </c:numRef>
          </c:val>
        </c:ser>
        <c:ser>
          <c:idx val="21"/>
          <c:order val="1"/>
          <c:tx>
            <c:strRef>
              <c:f>score!$AE$1</c:f>
              <c:strCache>
                <c:ptCount val="1"/>
                <c:pt idx="0">
                  <c:v>PeterK</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score!$AE$2:$AE$7</c:f>
              <c:numCache>
                <c:formatCode>0.0</c:formatCode>
                <c:ptCount val="6"/>
                <c:pt idx="0">
                  <c:v>-0.625</c:v>
                </c:pt>
                <c:pt idx="1">
                  <c:v>4.5833333333333339</c:v>
                </c:pt>
                <c:pt idx="2">
                  <c:v>3.75</c:v>
                </c:pt>
                <c:pt idx="3">
                  <c:v>4.1666666666666661</c:v>
                </c:pt>
                <c:pt idx="4">
                  <c:v>5.4166666666666679</c:v>
                </c:pt>
                <c:pt idx="5">
                  <c:v>5.4166666666666679</c:v>
                </c:pt>
              </c:numCache>
            </c:numRef>
          </c:val>
        </c:ser>
        <c:ser>
          <c:idx val="1"/>
          <c:order val="2"/>
          <c:tx>
            <c:strRef>
              <c:f>score!$AF$1</c:f>
              <c:strCache>
                <c:ptCount val="1"/>
                <c:pt idx="0">
                  <c:v>Gerard</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score!$AF$2:$AF$7</c:f>
              <c:numCache>
                <c:formatCode>0.0</c:formatCode>
                <c:ptCount val="6"/>
                <c:pt idx="0">
                  <c:v>-0.625</c:v>
                </c:pt>
                <c:pt idx="1">
                  <c:v>-5.4166666666666661</c:v>
                </c:pt>
                <c:pt idx="2">
                  <c:v>-6.25</c:v>
                </c:pt>
                <c:pt idx="3">
                  <c:v>-10.833333333333334</c:v>
                </c:pt>
                <c:pt idx="4">
                  <c:v>-14.583333333333332</c:v>
                </c:pt>
                <c:pt idx="5">
                  <c:v>-14.583333333333332</c:v>
                </c:pt>
              </c:numCache>
            </c:numRef>
          </c:val>
        </c:ser>
        <c:ser>
          <c:idx val="3"/>
          <c:order val="3"/>
          <c:tx>
            <c:strRef>
              <c:f>score!$AG$1</c:f>
              <c:strCache>
                <c:ptCount val="1"/>
                <c:pt idx="0">
                  <c:v>Willem</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score!$AG$2:$AG$7</c:f>
              <c:numCache>
                <c:formatCode>0.0</c:formatCode>
                <c:ptCount val="6"/>
                <c:pt idx="0">
                  <c:v>-0.625</c:v>
                </c:pt>
                <c:pt idx="1">
                  <c:v>-5.4166666666666661</c:v>
                </c:pt>
                <c:pt idx="2">
                  <c:v>-6.25</c:v>
                </c:pt>
                <c:pt idx="3">
                  <c:v>-5.8333333333333339</c:v>
                </c:pt>
                <c:pt idx="4">
                  <c:v>-4.5833333333333321</c:v>
                </c:pt>
                <c:pt idx="5">
                  <c:v>-4.5833333333333321</c:v>
                </c:pt>
              </c:numCache>
            </c:numRef>
          </c:val>
        </c:ser>
        <c:ser>
          <c:idx val="2"/>
          <c:order val="4"/>
          <c:tx>
            <c:strRef>
              <c:f>score!$AH$1</c:f>
              <c:strCache>
                <c:ptCount val="1"/>
                <c:pt idx="0">
                  <c:v>Marc</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score!$AH$2:$AH$7</c:f>
              <c:numCache>
                <c:formatCode>0.0</c:formatCode>
                <c:ptCount val="6"/>
                <c:pt idx="0">
                  <c:v>4.375</c:v>
                </c:pt>
                <c:pt idx="1">
                  <c:v>4.5833333333333339</c:v>
                </c:pt>
                <c:pt idx="2">
                  <c:v>3.75</c:v>
                </c:pt>
                <c:pt idx="3">
                  <c:v>4.1666666666666661</c:v>
                </c:pt>
                <c:pt idx="4">
                  <c:v>5.4166666666666679</c:v>
                </c:pt>
                <c:pt idx="5">
                  <c:v>5.4166666666666679</c:v>
                </c:pt>
              </c:numCache>
            </c:numRef>
          </c:val>
        </c:ser>
        <c:ser>
          <c:idx val="4"/>
          <c:order val="5"/>
          <c:tx>
            <c:strRef>
              <c:f>score!$AI$1</c:f>
              <c:strCache>
                <c:ptCount val="1"/>
                <c:pt idx="0">
                  <c:v>Carin</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score!$AI$2:$AI$7</c:f>
              <c:numCache>
                <c:formatCode>0.0</c:formatCode>
                <c:ptCount val="6"/>
                <c:pt idx="0">
                  <c:v>-5.625</c:v>
                </c:pt>
                <c:pt idx="1">
                  <c:v>-10.416666666666666</c:v>
                </c:pt>
                <c:pt idx="2">
                  <c:v>-6.25</c:v>
                </c:pt>
                <c:pt idx="3">
                  <c:v>-10.833333333333334</c:v>
                </c:pt>
                <c:pt idx="4">
                  <c:v>-9.5833333333333321</c:v>
                </c:pt>
                <c:pt idx="5">
                  <c:v>-9.5833333333333321</c:v>
                </c:pt>
              </c:numCache>
            </c:numRef>
          </c:val>
        </c:ser>
        <c:ser>
          <c:idx val="5"/>
          <c:order val="6"/>
          <c:tx>
            <c:strRef>
              <c:f>score!$AJ$1</c:f>
              <c:strCache>
                <c:ptCount val="1"/>
                <c:pt idx="0">
                  <c:v>Paul</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score!$AJ$2:$AJ$7</c:f>
              <c:numCache>
                <c:formatCode>0.0</c:formatCode>
                <c:ptCount val="6"/>
                <c:pt idx="0">
                  <c:v>-0.625</c:v>
                </c:pt>
                <c:pt idx="1">
                  <c:v>-5.4166666666666661</c:v>
                </c:pt>
                <c:pt idx="2">
                  <c:v>-6.25</c:v>
                </c:pt>
                <c:pt idx="3">
                  <c:v>-5.8333333333333339</c:v>
                </c:pt>
                <c:pt idx="4">
                  <c:v>-4.5833333333333321</c:v>
                </c:pt>
                <c:pt idx="5">
                  <c:v>-4.5833333333333321</c:v>
                </c:pt>
              </c:numCache>
            </c:numRef>
          </c:val>
        </c:ser>
        <c:ser>
          <c:idx val="6"/>
          <c:order val="7"/>
          <c:tx>
            <c:strRef>
              <c:f>score!$AK$1</c:f>
              <c:strCache>
                <c:ptCount val="1"/>
                <c:pt idx="0">
                  <c:v>Matthijs</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score!$AK$2:$AK$7</c:f>
              <c:numCache>
                <c:formatCode>0.0</c:formatCode>
                <c:ptCount val="6"/>
                <c:pt idx="0">
                  <c:v>-0.625</c:v>
                </c:pt>
                <c:pt idx="1">
                  <c:v>-0.41666666666666607</c:v>
                </c:pt>
                <c:pt idx="2">
                  <c:v>-1.25</c:v>
                </c:pt>
                <c:pt idx="3">
                  <c:v>-0.83333333333333393</c:v>
                </c:pt>
                <c:pt idx="4">
                  <c:v>-4.5833333333333321</c:v>
                </c:pt>
                <c:pt idx="5">
                  <c:v>-4.5833333333333321</c:v>
                </c:pt>
              </c:numCache>
            </c:numRef>
          </c:val>
        </c:ser>
        <c:ser>
          <c:idx val="7"/>
          <c:order val="8"/>
          <c:tx>
            <c:strRef>
              <c:f>score!$AL$1</c:f>
              <c:strCache>
                <c:ptCount val="1"/>
                <c:pt idx="0">
                  <c:v>Jolanthe</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score!$AL$2:$AL$7</c:f>
              <c:numCache>
                <c:formatCode>0.0</c:formatCode>
                <c:ptCount val="6"/>
                <c:pt idx="0">
                  <c:v>-0.625</c:v>
                </c:pt>
                <c:pt idx="1">
                  <c:v>-0.41666666666666607</c:v>
                </c:pt>
                <c:pt idx="2">
                  <c:v>-1.25</c:v>
                </c:pt>
                <c:pt idx="3">
                  <c:v>-0.83333333333333393</c:v>
                </c:pt>
                <c:pt idx="4">
                  <c:v>0.41666666666666785</c:v>
                </c:pt>
                <c:pt idx="5">
                  <c:v>0.41666666666666785</c:v>
                </c:pt>
              </c:numCache>
            </c:numRef>
          </c:val>
        </c:ser>
        <c:ser>
          <c:idx val="8"/>
          <c:order val="9"/>
          <c:tx>
            <c:strRef>
              <c:f>score!$AM$1</c:f>
              <c:strCache>
                <c:ptCount val="1"/>
                <c:pt idx="0">
                  <c:v>Ellen</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score!$AM$2:$AM$7</c:f>
              <c:numCache>
                <c:formatCode>0.0</c:formatCode>
                <c:ptCount val="6"/>
                <c:pt idx="0">
                  <c:v>-0.625</c:v>
                </c:pt>
                <c:pt idx="1">
                  <c:v>-0.41666666666666607</c:v>
                </c:pt>
                <c:pt idx="2">
                  <c:v>-1.25</c:v>
                </c:pt>
                <c:pt idx="3">
                  <c:v>-0.83333333333333393</c:v>
                </c:pt>
                <c:pt idx="4">
                  <c:v>0.41666666666666785</c:v>
                </c:pt>
                <c:pt idx="5">
                  <c:v>0.41666666666666785</c:v>
                </c:pt>
              </c:numCache>
            </c:numRef>
          </c:val>
        </c:ser>
        <c:ser>
          <c:idx val="9"/>
          <c:order val="10"/>
          <c:tx>
            <c:strRef>
              <c:f>score!$AN$1</c:f>
              <c:strCache>
                <c:ptCount val="1"/>
                <c:pt idx="0">
                  <c:v>Lothar</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score!$AN$2:$AN$7</c:f>
              <c:numCache>
                <c:formatCode>0.0</c:formatCode>
                <c:ptCount val="6"/>
                <c:pt idx="0">
                  <c:v>-0.625</c:v>
                </c:pt>
                <c:pt idx="1">
                  <c:v>-0.41666666666666607</c:v>
                </c:pt>
                <c:pt idx="2">
                  <c:v>-1.25</c:v>
                </c:pt>
                <c:pt idx="3">
                  <c:v>-0.83333333333333393</c:v>
                </c:pt>
                <c:pt idx="4">
                  <c:v>-4.5833333333333321</c:v>
                </c:pt>
                <c:pt idx="5">
                  <c:v>-4.5833333333333321</c:v>
                </c:pt>
              </c:numCache>
            </c:numRef>
          </c:val>
        </c:ser>
        <c:ser>
          <c:idx val="10"/>
          <c:order val="11"/>
          <c:tx>
            <c:strRef>
              <c:f>score!$AO$1</c:f>
              <c:strCache>
                <c:ptCount val="1"/>
                <c:pt idx="0">
                  <c:v>Angele</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score!$AO$2:$AO$7</c:f>
              <c:numCache>
                <c:formatCode>0.0</c:formatCode>
                <c:ptCount val="6"/>
                <c:pt idx="0">
                  <c:v>4.375</c:v>
                </c:pt>
                <c:pt idx="1">
                  <c:v>-0.41666666666666607</c:v>
                </c:pt>
                <c:pt idx="2">
                  <c:v>-1.25</c:v>
                </c:pt>
                <c:pt idx="3">
                  <c:v>-0.83333333333333393</c:v>
                </c:pt>
                <c:pt idx="4">
                  <c:v>0.41666666666666785</c:v>
                </c:pt>
                <c:pt idx="5">
                  <c:v>0.41666666666666785</c:v>
                </c:pt>
              </c:numCache>
            </c:numRef>
          </c:val>
        </c:ser>
        <c:ser>
          <c:idx val="11"/>
          <c:order val="12"/>
          <c:tx>
            <c:strRef>
              <c:f>score!$AP$1</c:f>
              <c:strCache>
                <c:ptCount val="1"/>
                <c:pt idx="0">
                  <c:v>Linda</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score!$AP$2:$AP$7</c:f>
              <c:numCache>
                <c:formatCode>0.0</c:formatCode>
                <c:ptCount val="6"/>
                <c:pt idx="0">
                  <c:v>4.375</c:v>
                </c:pt>
                <c:pt idx="1">
                  <c:v>-0.41666666666666607</c:v>
                </c:pt>
                <c:pt idx="2">
                  <c:v>-1.25</c:v>
                </c:pt>
                <c:pt idx="3">
                  <c:v>-0.83333333333333393</c:v>
                </c:pt>
                <c:pt idx="4">
                  <c:v>0.41666666666666785</c:v>
                </c:pt>
                <c:pt idx="5">
                  <c:v>0.41666666666666785</c:v>
                </c:pt>
              </c:numCache>
            </c:numRef>
          </c:val>
        </c:ser>
        <c:ser>
          <c:idx val="12"/>
          <c:order val="13"/>
          <c:tx>
            <c:strRef>
              <c:f>score!$AQ$1</c:f>
              <c:strCache>
                <c:ptCount val="1"/>
                <c:pt idx="0">
                  <c:v>Frank</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score!$AQ$2:$AQ$7</c:f>
              <c:numCache>
                <c:formatCode>0.0</c:formatCode>
                <c:ptCount val="6"/>
                <c:pt idx="0">
                  <c:v>-0.625</c:v>
                </c:pt>
                <c:pt idx="1">
                  <c:v>-0.41666666666666607</c:v>
                </c:pt>
                <c:pt idx="2">
                  <c:v>-1.25</c:v>
                </c:pt>
                <c:pt idx="3">
                  <c:v>-0.83333333333333393</c:v>
                </c:pt>
                <c:pt idx="4">
                  <c:v>-4.5833333333333321</c:v>
                </c:pt>
                <c:pt idx="5">
                  <c:v>-4.5833333333333321</c:v>
                </c:pt>
              </c:numCache>
            </c:numRef>
          </c:val>
        </c:ser>
        <c:ser>
          <c:idx val="13"/>
          <c:order val="14"/>
          <c:tx>
            <c:strRef>
              <c:f>score!$AR$1</c:f>
              <c:strCache>
                <c:ptCount val="1"/>
                <c:pt idx="0">
                  <c:v>Joris</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score!$AR$2:$AR$7</c:f>
              <c:numCache>
                <c:formatCode>0.0</c:formatCode>
                <c:ptCount val="6"/>
                <c:pt idx="0">
                  <c:v>-0.625</c:v>
                </c:pt>
                <c:pt idx="1">
                  <c:v>4.5833333333333339</c:v>
                </c:pt>
                <c:pt idx="2">
                  <c:v>3.75</c:v>
                </c:pt>
                <c:pt idx="3">
                  <c:v>4.1666666666666661</c:v>
                </c:pt>
                <c:pt idx="4">
                  <c:v>5.4166666666666679</c:v>
                </c:pt>
                <c:pt idx="5">
                  <c:v>5.4166666666666679</c:v>
                </c:pt>
              </c:numCache>
            </c:numRef>
          </c:val>
        </c:ser>
        <c:ser>
          <c:idx val="14"/>
          <c:order val="15"/>
          <c:tx>
            <c:strRef>
              <c:f>score!$AS$1</c:f>
              <c:strCache>
                <c:ptCount val="1"/>
                <c:pt idx="0">
                  <c:v>Junior</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score!$AS$2:$AS$7</c:f>
              <c:numCache>
                <c:formatCode>0.0</c:formatCode>
                <c:ptCount val="6"/>
                <c:pt idx="0">
                  <c:v>4.375</c:v>
                </c:pt>
                <c:pt idx="1">
                  <c:v>4.5833333333333339</c:v>
                </c:pt>
                <c:pt idx="2">
                  <c:v>8.75</c:v>
                </c:pt>
                <c:pt idx="3">
                  <c:v>9.1666666666666661</c:v>
                </c:pt>
                <c:pt idx="4">
                  <c:v>10.416666666666668</c:v>
                </c:pt>
                <c:pt idx="5">
                  <c:v>10.416666666666668</c:v>
                </c:pt>
              </c:numCache>
            </c:numRef>
          </c:val>
        </c:ser>
        <c:ser>
          <c:idx val="15"/>
          <c:order val="16"/>
          <c:tx>
            <c:strRef>
              <c:f>score!$AT$1</c:f>
              <c:strCache>
                <c:ptCount val="1"/>
                <c:pt idx="0">
                  <c:v>Mariel</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score!$AT$2:$AT$7</c:f>
              <c:numCache>
                <c:formatCode>0.0</c:formatCode>
                <c:ptCount val="6"/>
                <c:pt idx="0">
                  <c:v>-0.625</c:v>
                </c:pt>
                <c:pt idx="1">
                  <c:v>4.5833333333333339</c:v>
                </c:pt>
                <c:pt idx="2">
                  <c:v>3.75</c:v>
                </c:pt>
                <c:pt idx="3">
                  <c:v>-0.83333333333333393</c:v>
                </c:pt>
                <c:pt idx="4">
                  <c:v>-4.5833333333333321</c:v>
                </c:pt>
                <c:pt idx="5">
                  <c:v>-4.5833333333333321</c:v>
                </c:pt>
              </c:numCache>
            </c:numRef>
          </c:val>
        </c:ser>
        <c:ser>
          <c:idx val="16"/>
          <c:order val="17"/>
          <c:tx>
            <c:strRef>
              <c:f>score!$AU$1</c:f>
              <c:strCache>
                <c:ptCount val="1"/>
                <c:pt idx="0">
                  <c:v>Nijdam_sr</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score!$AU$2:$AU$7</c:f>
              <c:numCache>
                <c:formatCode>0.0</c:formatCode>
                <c:ptCount val="6"/>
                <c:pt idx="0">
                  <c:v>4.375</c:v>
                </c:pt>
                <c:pt idx="1">
                  <c:v>4.5833333333333339</c:v>
                </c:pt>
                <c:pt idx="2">
                  <c:v>8.75</c:v>
                </c:pt>
                <c:pt idx="3">
                  <c:v>9.1666666666666661</c:v>
                </c:pt>
                <c:pt idx="4">
                  <c:v>5.4166666666666679</c:v>
                </c:pt>
                <c:pt idx="5">
                  <c:v>5.4166666666666679</c:v>
                </c:pt>
              </c:numCache>
            </c:numRef>
          </c:val>
        </c:ser>
        <c:ser>
          <c:idx val="17"/>
          <c:order val="18"/>
          <c:tx>
            <c:strRef>
              <c:f>score!$AV$1</c:f>
              <c:strCache>
                <c:ptCount val="1"/>
                <c:pt idx="0">
                  <c:v>Eric</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score!$AV$2:$AV$7</c:f>
              <c:numCache>
                <c:formatCode>0.0</c:formatCode>
                <c:ptCount val="6"/>
                <c:pt idx="0">
                  <c:v>-0.625</c:v>
                </c:pt>
                <c:pt idx="1">
                  <c:v>-5.4166666666666661</c:v>
                </c:pt>
                <c:pt idx="2">
                  <c:v>-6.25</c:v>
                </c:pt>
                <c:pt idx="3">
                  <c:v>-5.8333333333333339</c:v>
                </c:pt>
                <c:pt idx="4">
                  <c:v>-4.5833333333333321</c:v>
                </c:pt>
                <c:pt idx="5">
                  <c:v>-4.5833333333333321</c:v>
                </c:pt>
              </c:numCache>
            </c:numRef>
          </c:val>
        </c:ser>
        <c:ser>
          <c:idx val="18"/>
          <c:order val="19"/>
          <c:tx>
            <c:strRef>
              <c:f>score!$AW$1</c:f>
              <c:strCache>
                <c:ptCount val="1"/>
                <c:pt idx="0">
                  <c:v>Leen</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score!$AW$2:$AW$7</c:f>
              <c:numCache>
                <c:formatCode>0.0</c:formatCode>
                <c:ptCount val="6"/>
                <c:pt idx="0">
                  <c:v>-5.625</c:v>
                </c:pt>
                <c:pt idx="1">
                  <c:v>-5.4166666666666661</c:v>
                </c:pt>
                <c:pt idx="2">
                  <c:v>-1.25</c:v>
                </c:pt>
                <c:pt idx="3">
                  <c:v>-0.83333333333333393</c:v>
                </c:pt>
                <c:pt idx="4">
                  <c:v>0.41666666666666785</c:v>
                </c:pt>
                <c:pt idx="5">
                  <c:v>0.41666666666666785</c:v>
                </c:pt>
              </c:numCache>
            </c:numRef>
          </c:val>
        </c:ser>
        <c:ser>
          <c:idx val="19"/>
          <c:order val="20"/>
          <c:tx>
            <c:strRef>
              <c:f>score!$AX$1</c:f>
              <c:strCache>
                <c:ptCount val="1"/>
                <c:pt idx="0">
                  <c:v>Jan</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score!$AX$2:$AX$7</c:f>
              <c:numCache>
                <c:formatCode>0.0</c:formatCode>
                <c:ptCount val="6"/>
                <c:pt idx="0">
                  <c:v>-0.625</c:v>
                </c:pt>
                <c:pt idx="1">
                  <c:v>4.5833333333333339</c:v>
                </c:pt>
                <c:pt idx="2">
                  <c:v>3.75</c:v>
                </c:pt>
                <c:pt idx="3">
                  <c:v>4.1666666666666661</c:v>
                </c:pt>
                <c:pt idx="4">
                  <c:v>5.4166666666666679</c:v>
                </c:pt>
                <c:pt idx="5">
                  <c:v>5.4166666666666679</c:v>
                </c:pt>
              </c:numCache>
            </c:numRef>
          </c:val>
        </c:ser>
        <c:ser>
          <c:idx val="20"/>
          <c:order val="21"/>
          <c:tx>
            <c:strRef>
              <c:f>score!$AY$1</c:f>
              <c:strCache>
                <c:ptCount val="1"/>
                <c:pt idx="0">
                  <c:v>Reindert</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score!$AY$2:$AY$7</c:f>
              <c:numCache>
                <c:formatCode>0.0</c:formatCode>
                <c:ptCount val="6"/>
                <c:pt idx="0">
                  <c:v>-0.625</c:v>
                </c:pt>
                <c:pt idx="1">
                  <c:v>-5.4166666666666661</c:v>
                </c:pt>
                <c:pt idx="2">
                  <c:v>-6.25</c:v>
                </c:pt>
                <c:pt idx="3">
                  <c:v>-5.8333333333333339</c:v>
                </c:pt>
                <c:pt idx="4">
                  <c:v>-4.5833333333333321</c:v>
                </c:pt>
                <c:pt idx="5">
                  <c:v>-4.5833333333333321</c:v>
                </c:pt>
              </c:numCache>
            </c:numRef>
          </c:val>
        </c:ser>
        <c:ser>
          <c:idx val="22"/>
          <c:order val="22"/>
          <c:tx>
            <c:strRef>
              <c:f>score!$AZ$1</c:f>
              <c:strCache>
                <c:ptCount val="1"/>
                <c:pt idx="0">
                  <c:v>Annita</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score!$AZ$2:$AZ$7</c:f>
              <c:numCache>
                <c:formatCode>0.0</c:formatCode>
                <c:ptCount val="6"/>
                <c:pt idx="0">
                  <c:v>-0.625</c:v>
                </c:pt>
                <c:pt idx="1">
                  <c:v>4.5833333333333339</c:v>
                </c:pt>
                <c:pt idx="2">
                  <c:v>3.75</c:v>
                </c:pt>
                <c:pt idx="3">
                  <c:v>4.1666666666666661</c:v>
                </c:pt>
                <c:pt idx="4">
                  <c:v>5.4166666666666679</c:v>
                </c:pt>
                <c:pt idx="5">
                  <c:v>5.4166666666666679</c:v>
                </c:pt>
              </c:numCache>
            </c:numRef>
          </c:val>
        </c:ser>
        <c:ser>
          <c:idx val="23"/>
          <c:order val="23"/>
          <c:tx>
            <c:strRef>
              <c:f>score!$BA$1</c:f>
              <c:strCache>
                <c:ptCount val="1"/>
                <c:pt idx="0">
                  <c:v>Dries</c:v>
                </c:pt>
              </c:strCache>
            </c:strRef>
          </c:tx>
          <c:marker>
            <c:symbol val="none"/>
          </c:marker>
          <c:cat>
            <c:strRef>
              <c:f>score!$AC$2:$AC$7</c:f>
              <c:strCache>
                <c:ptCount val="6"/>
                <c:pt idx="0">
                  <c:v>Brazilië-Kroatië</c:v>
                </c:pt>
                <c:pt idx="1">
                  <c:v>Mexico-Kameroen</c:v>
                </c:pt>
                <c:pt idx="2">
                  <c:v>Spanje-Nederland</c:v>
                </c:pt>
                <c:pt idx="3">
                  <c:v>Chili-Australië</c:v>
                </c:pt>
                <c:pt idx="4">
                  <c:v>Colombia-Griekenland</c:v>
                </c:pt>
                <c:pt idx="5">
                  <c:v>Uruguay-Costa Rica</c:v>
                </c:pt>
              </c:strCache>
            </c:strRef>
          </c:cat>
          <c:val>
            <c:numRef>
              <c:f>score!$BA$2:$BA$7</c:f>
              <c:numCache>
                <c:formatCode>0.0</c:formatCode>
                <c:ptCount val="6"/>
                <c:pt idx="0">
                  <c:v>-0.625</c:v>
                </c:pt>
                <c:pt idx="1">
                  <c:v>4.5833333333333339</c:v>
                </c:pt>
                <c:pt idx="2">
                  <c:v>3.75</c:v>
                </c:pt>
                <c:pt idx="3">
                  <c:v>4.1666666666666661</c:v>
                </c:pt>
                <c:pt idx="4">
                  <c:v>5.4166666666666679</c:v>
                </c:pt>
                <c:pt idx="5">
                  <c:v>5.4166666666666679</c:v>
                </c:pt>
              </c:numCache>
            </c:numRef>
          </c:val>
        </c:ser>
        <c:marker val="1"/>
        <c:axId val="224662656"/>
        <c:axId val="224664192"/>
      </c:lineChart>
      <c:catAx>
        <c:axId val="224662656"/>
        <c:scaling>
          <c:orientation val="minMax"/>
        </c:scaling>
        <c:axPos val="b"/>
        <c:numFmt formatCode="0.0" sourceLinked="1"/>
        <c:tickLblPos val="low"/>
        <c:spPr>
          <a:ln w="12700">
            <a:solidFill>
              <a:srgbClr val="FFFFFF"/>
            </a:solidFill>
            <a:prstDash val="solid"/>
          </a:ln>
        </c:spPr>
        <c:txPr>
          <a:bodyPr rot="-5400000" vert="horz"/>
          <a:lstStyle/>
          <a:p>
            <a:pPr>
              <a:defRPr sz="950" b="0" i="0" u="none" strike="noStrike" baseline="0">
                <a:solidFill>
                  <a:srgbClr val="FFFFFF"/>
                </a:solidFill>
                <a:latin typeface="Arial"/>
                <a:ea typeface="Arial"/>
                <a:cs typeface="Arial"/>
              </a:defRPr>
            </a:pPr>
            <a:endParaRPr lang="nl-NL"/>
          </a:p>
        </c:txPr>
        <c:crossAx val="224664192"/>
        <c:crossesAt val="0"/>
        <c:auto val="1"/>
        <c:lblAlgn val="ctr"/>
        <c:lblOffset val="100"/>
        <c:tickLblSkip val="1"/>
        <c:tickMarkSkip val="1"/>
      </c:catAx>
      <c:valAx>
        <c:axId val="224664192"/>
        <c:scaling>
          <c:orientation val="minMax"/>
        </c:scaling>
        <c:axPos val="l"/>
        <c:majorGridlines>
          <c:spPr>
            <a:ln w="12700">
              <a:solidFill>
                <a:schemeClr val="tx1">
                  <a:lumMod val="85000"/>
                  <a:lumOff val="15000"/>
                </a:schemeClr>
              </a:solidFill>
              <a:prstDash val="sysDash"/>
            </a:ln>
          </c:spPr>
        </c:majorGridlines>
        <c:numFmt formatCode="0" sourceLinked="0"/>
        <c:tickLblPos val="high"/>
        <c:spPr>
          <a:ln w="9525">
            <a:noFill/>
          </a:ln>
        </c:spPr>
        <c:txPr>
          <a:bodyPr rot="0" vert="horz"/>
          <a:lstStyle/>
          <a:p>
            <a:pPr>
              <a:defRPr sz="950" b="1" i="1" u="none" strike="noStrike" baseline="0">
                <a:solidFill>
                  <a:srgbClr val="FFFFFF"/>
                </a:solidFill>
                <a:latin typeface="Arial"/>
                <a:ea typeface="Arial"/>
                <a:cs typeface="Arial"/>
              </a:defRPr>
            </a:pPr>
            <a:endParaRPr lang="nl-NL"/>
          </a:p>
        </c:txPr>
        <c:crossAx val="224662656"/>
        <c:crosses val="autoZero"/>
        <c:crossBetween val="midCat"/>
      </c:valAx>
      <c:spPr>
        <a:noFill/>
        <a:ln w="25400">
          <a:noFill/>
        </a:ln>
      </c:spPr>
    </c:plotArea>
    <c:legend>
      <c:legendPos val="r"/>
      <c:layout>
        <c:manualLayout>
          <c:xMode val="edge"/>
          <c:yMode val="edge"/>
          <c:x val="0.94693662484434959"/>
          <c:y val="0.10520071570626201"/>
          <c:w val="4.6695840511329315E-2"/>
          <c:h val="0.56262499399192933"/>
        </c:manualLayout>
      </c:layout>
      <c:spPr>
        <a:noFill/>
        <a:ln w="12700">
          <a:solidFill>
            <a:srgbClr val="000000"/>
          </a:solidFill>
          <a:prstDash val="solid"/>
        </a:ln>
      </c:spPr>
      <c:txPr>
        <a:bodyPr/>
        <a:lstStyle/>
        <a:p>
          <a:pPr>
            <a:defRPr sz="735" b="1" i="1" u="none" strike="noStrike" baseline="0">
              <a:solidFill>
                <a:srgbClr val="FFFFFF"/>
              </a:solidFill>
              <a:latin typeface="Arial"/>
              <a:ea typeface="Arial"/>
              <a:cs typeface="Arial"/>
            </a:defRPr>
          </a:pPr>
          <a:endParaRPr lang="nl-NL"/>
        </a:p>
      </c:txPr>
    </c:legend>
    <c:plotVisOnly val="1"/>
    <c:dispBlanksAs val="gap"/>
  </c:chart>
  <c:spPr>
    <a:solidFill>
      <a:srgbClr val="000000"/>
    </a:solidFill>
    <a:ln w="9525">
      <a:noFill/>
    </a:ln>
  </c:spPr>
  <c:txPr>
    <a:bodyPr/>
    <a:lstStyle/>
    <a:p>
      <a:pPr>
        <a:defRPr sz="1000" b="0" i="0" u="none" strike="noStrike" baseline="0">
          <a:solidFill>
            <a:srgbClr val="000000"/>
          </a:solidFill>
          <a:latin typeface="Arial"/>
          <a:ea typeface="Arial"/>
          <a:cs typeface="Arial"/>
        </a:defRPr>
      </a:pPr>
      <a:endParaRPr lang="nl-NL"/>
    </a:p>
  </c:txPr>
  <c:printSettings>
    <c:headerFooter alignWithMargins="0"/>
    <c:pageMargins b="1" l="0.75000000000000544" r="0.75000000000000544" t="1" header="0.51180555555555562" footer="0.51180555555555562"/>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c:lang val="nl-NL"/>
  <c:chart>
    <c:title>
      <c:tx>
        <c:rich>
          <a:bodyPr/>
          <a:lstStyle/>
          <a:p>
            <a:pPr>
              <a:defRPr sz="2000" b="1" i="0" u="none" strike="noStrike" baseline="0">
                <a:solidFill>
                  <a:srgbClr val="FFFF00"/>
                </a:solidFill>
                <a:latin typeface="Arial"/>
                <a:ea typeface="Arial"/>
                <a:cs typeface="Arial"/>
              </a:defRPr>
            </a:pPr>
            <a:r>
              <a:rPr lang="nl-NL" sz="2000"/>
              <a:t>Lothar's Loterij - WK2014</a:t>
            </a:r>
          </a:p>
        </c:rich>
      </c:tx>
      <c:layout>
        <c:manualLayout>
          <c:xMode val="edge"/>
          <c:yMode val="edge"/>
          <c:x val="0.43313304721030044"/>
          <c:y val="2.6389444222311081E-2"/>
        </c:manualLayout>
      </c:layout>
      <c:spPr>
        <a:noFill/>
        <a:ln w="25400">
          <a:noFill/>
        </a:ln>
      </c:spPr>
    </c:title>
    <c:plotArea>
      <c:layout>
        <c:manualLayout>
          <c:layoutTarget val="inner"/>
          <c:xMode val="edge"/>
          <c:yMode val="edge"/>
          <c:x val="2.8326180257510727E-2"/>
          <c:y val="0.11515393842463016"/>
          <c:w val="0.90077253218884679"/>
          <c:h val="0.81087564974010395"/>
        </c:manualLayout>
      </c:layout>
      <c:lineChart>
        <c:grouping val="standard"/>
        <c:ser>
          <c:idx val="0"/>
          <c:order val="0"/>
          <c:tx>
            <c:strRef>
              <c:f>score!$AD$1</c:f>
              <c:strCache>
                <c:ptCount val="1"/>
                <c:pt idx="0">
                  <c:v>Marjon</c:v>
                </c:pt>
              </c:strCache>
            </c:strRef>
          </c:tx>
          <c:spPr>
            <a:ln w="57150">
              <a:solidFill>
                <a:srgbClr val="FFFF00"/>
              </a:solidFill>
              <a:prstDash val="solid"/>
            </a:ln>
          </c:spPr>
          <c:marker>
            <c:symbol val="none"/>
          </c:marker>
          <c:dPt>
            <c:idx val="75"/>
            <c:marker/>
          </c:dPt>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score!$AD$2:$AD$77</c:f>
              <c:numCache>
                <c:formatCode>0.0</c:formatCode>
                <c:ptCount val="76"/>
                <c:pt idx="0">
                  <c:v>-0.625</c:v>
                </c:pt>
                <c:pt idx="1">
                  <c:v>-0.41666666666666607</c:v>
                </c:pt>
                <c:pt idx="2">
                  <c:v>-1.25</c:v>
                </c:pt>
                <c:pt idx="3">
                  <c:v>-0.83333333333333393</c:v>
                </c:pt>
                <c:pt idx="4">
                  <c:v>0.41666666666666785</c:v>
                </c:pt>
                <c:pt idx="5">
                  <c:v>0.41666666666666785</c:v>
                </c:pt>
                <c:pt idx="6">
                  <c:v>7.2916666666666679</c:v>
                </c:pt>
                <c:pt idx="7">
                  <c:v>4.7916666666666679</c:v>
                </c:pt>
                <c:pt idx="8">
                  <c:v>1.875</c:v>
                </c:pt>
                <c:pt idx="9">
                  <c:v>1.0416666666666643</c:v>
                </c:pt>
                <c:pt idx="10">
                  <c:v>5.8333333333333357</c:v>
                </c:pt>
                <c:pt idx="11">
                  <c:v>8.9583333333333357</c:v>
                </c:pt>
                <c:pt idx="12">
                  <c:v>7.5</c:v>
                </c:pt>
                <c:pt idx="13">
                  <c:v>3.9583333333333357</c:v>
                </c:pt>
                <c:pt idx="14">
                  <c:v>8.75</c:v>
                </c:pt>
                <c:pt idx="15">
                  <c:v>7.9166666666666643</c:v>
                </c:pt>
                <c:pt idx="16">
                  <c:v>6.6666666666666643</c:v>
                </c:pt>
                <c:pt idx="17">
                  <c:v>7.2916666666666643</c:v>
                </c:pt>
                <c:pt idx="18">
                  <c:v>7.2916666666666643</c:v>
                </c:pt>
                <c:pt idx="19">
                  <c:v>8.9583333333333357</c:v>
                </c:pt>
                <c:pt idx="20">
                  <c:v>6.25</c:v>
                </c:pt>
                <c:pt idx="21">
                  <c:v>13.125</c:v>
                </c:pt>
                <c:pt idx="22">
                  <c:v>12.291666666666671</c:v>
                </c:pt>
                <c:pt idx="23">
                  <c:v>12.291666666666671</c:v>
                </c:pt>
                <c:pt idx="24">
                  <c:v>14.791666666666671</c:v>
                </c:pt>
                <c:pt idx="25">
                  <c:v>20.833333333333329</c:v>
                </c:pt>
                <c:pt idx="26">
                  <c:v>20.833333333333329</c:v>
                </c:pt>
                <c:pt idx="27">
                  <c:v>20.416666666666671</c:v>
                </c:pt>
                <c:pt idx="28">
                  <c:v>19.166666666666671</c:v>
                </c:pt>
                <c:pt idx="29">
                  <c:v>21.25</c:v>
                </c:pt>
                <c:pt idx="30">
                  <c:v>25</c:v>
                </c:pt>
                <c:pt idx="31">
                  <c:v>23.75</c:v>
                </c:pt>
                <c:pt idx="32">
                  <c:v>23.75</c:v>
                </c:pt>
                <c:pt idx="33">
                  <c:v>20.416666666666671</c:v>
                </c:pt>
                <c:pt idx="34">
                  <c:v>20.416666666666671</c:v>
                </c:pt>
                <c:pt idx="35">
                  <c:v>20.833333333333329</c:v>
                </c:pt>
                <c:pt idx="36">
                  <c:v>19.583333333333329</c:v>
                </c:pt>
                <c:pt idx="37">
                  <c:v>15</c:v>
                </c:pt>
                <c:pt idx="38">
                  <c:v>14.583333333333329</c:v>
                </c:pt>
                <c:pt idx="39">
                  <c:v>14.375</c:v>
                </c:pt>
                <c:pt idx="40">
                  <c:v>16.875</c:v>
                </c:pt>
                <c:pt idx="41">
                  <c:v>14.166666666666657</c:v>
                </c:pt>
                <c:pt idx="42">
                  <c:v>12.708333333333343</c:v>
                </c:pt>
                <c:pt idx="43">
                  <c:v>3.9583333333333428</c:v>
                </c:pt>
                <c:pt idx="44">
                  <c:v>3.9583333333333428</c:v>
                </c:pt>
                <c:pt idx="45">
                  <c:v>5.4166666666666572</c:v>
                </c:pt>
                <c:pt idx="46">
                  <c:v>1.6666666666666572</c:v>
                </c:pt>
                <c:pt idx="47">
                  <c:v>2.9166666666666572</c:v>
                </c:pt>
                <c:pt idx="48">
                  <c:v>1.4583333333333428</c:v>
                </c:pt>
                <c:pt idx="49">
                  <c:v>-3.5416666666666572</c:v>
                </c:pt>
                <c:pt idx="50">
                  <c:v>-3.75</c:v>
                </c:pt>
                <c:pt idx="51">
                  <c:v>-8.75</c:v>
                </c:pt>
                <c:pt idx="52">
                  <c:v>-9.5833333333333428</c:v>
                </c:pt>
                <c:pt idx="53">
                  <c:v>-9.7916666666666572</c:v>
                </c:pt>
                <c:pt idx="54">
                  <c:v>-11.25</c:v>
                </c:pt>
                <c:pt idx="55">
                  <c:v>-10.833333333333343</c:v>
                </c:pt>
                <c:pt idx="56">
                  <c:v>-11.25</c:v>
                </c:pt>
                <c:pt idx="57">
                  <c:v>-7.5</c:v>
                </c:pt>
                <c:pt idx="58">
                  <c:v>-2.2916666666666572</c:v>
                </c:pt>
                <c:pt idx="59">
                  <c:v>-4.1666666666666572</c:v>
                </c:pt>
                <c:pt idx="60">
                  <c:v>-4.1666666666666572</c:v>
                </c:pt>
                <c:pt idx="61">
                  <c:v>0.83333333333334281</c:v>
                </c:pt>
                <c:pt idx="62">
                  <c:v>1.25</c:v>
                </c:pt>
                <c:pt idx="63">
                  <c:v>10.833333333333343</c:v>
                </c:pt>
                <c:pt idx="64">
                  <c:v>24.583333333333314</c:v>
                </c:pt>
                <c:pt idx="65">
                  <c:v>29.166666666666686</c:v>
                </c:pt>
                <c:pt idx="66">
                  <c:v>28.958333333333314</c:v>
                </c:pt>
                <c:pt idx="67">
                  <c:v>27.5</c:v>
                </c:pt>
                <c:pt idx="68">
                  <c:v>28.333333333333314</c:v>
                </c:pt>
                <c:pt idx="69">
                  <c:v>36.666666666666686</c:v>
                </c:pt>
                <c:pt idx="70">
                  <c:v>40.416666666666686</c:v>
                </c:pt>
                <c:pt idx="71">
                  <c:v>39.166666666666686</c:v>
                </c:pt>
                <c:pt idx="72">
                  <c:v>88.333333333333314</c:v>
                </c:pt>
                <c:pt idx="73">
                  <c:v>87.083333333333314</c:v>
                </c:pt>
                <c:pt idx="74">
                  <c:v>88.75</c:v>
                </c:pt>
                <c:pt idx="75">
                  <c:v>126.25</c:v>
                </c:pt>
              </c:numCache>
            </c:numRef>
          </c:val>
        </c:ser>
        <c:ser>
          <c:idx val="1"/>
          <c:order val="1"/>
          <c:tx>
            <c:strRef>
              <c:f>score!$AE$1</c:f>
              <c:strCache>
                <c:ptCount val="1"/>
                <c:pt idx="0">
                  <c:v>PeterK</c:v>
                </c:pt>
              </c:strCache>
            </c:strRef>
          </c:tx>
          <c:spPr>
            <a:ln w="57150"/>
          </c:spPr>
          <c:marker>
            <c:symbol val="none"/>
          </c:marker>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score!$AE$2:$AE$77</c:f>
              <c:numCache>
                <c:formatCode>0.0</c:formatCode>
                <c:ptCount val="76"/>
                <c:pt idx="0">
                  <c:v>-0.625</c:v>
                </c:pt>
                <c:pt idx="1">
                  <c:v>4.5833333333333339</c:v>
                </c:pt>
                <c:pt idx="2">
                  <c:v>3.75</c:v>
                </c:pt>
                <c:pt idx="3">
                  <c:v>4.1666666666666661</c:v>
                </c:pt>
                <c:pt idx="4">
                  <c:v>5.4166666666666679</c:v>
                </c:pt>
                <c:pt idx="5">
                  <c:v>5.4166666666666679</c:v>
                </c:pt>
                <c:pt idx="6">
                  <c:v>2.2916666666666679</c:v>
                </c:pt>
                <c:pt idx="7">
                  <c:v>-0.20833333333333215</c:v>
                </c:pt>
                <c:pt idx="8">
                  <c:v>1.875</c:v>
                </c:pt>
                <c:pt idx="9">
                  <c:v>1.0416666666666643</c:v>
                </c:pt>
                <c:pt idx="10">
                  <c:v>0.8333333333333357</c:v>
                </c:pt>
                <c:pt idx="11">
                  <c:v>3.9583333333333357</c:v>
                </c:pt>
                <c:pt idx="12">
                  <c:v>2.5</c:v>
                </c:pt>
                <c:pt idx="13">
                  <c:v>8.9583333333333357</c:v>
                </c:pt>
                <c:pt idx="14">
                  <c:v>8.75</c:v>
                </c:pt>
                <c:pt idx="15">
                  <c:v>7.9166666666666643</c:v>
                </c:pt>
                <c:pt idx="16">
                  <c:v>6.6666666666666643</c:v>
                </c:pt>
                <c:pt idx="17">
                  <c:v>7.2916666666666643</c:v>
                </c:pt>
                <c:pt idx="18">
                  <c:v>7.2916666666666643</c:v>
                </c:pt>
                <c:pt idx="19">
                  <c:v>8.9583333333333357</c:v>
                </c:pt>
                <c:pt idx="20">
                  <c:v>11.25</c:v>
                </c:pt>
                <c:pt idx="21">
                  <c:v>8.125</c:v>
                </c:pt>
                <c:pt idx="22">
                  <c:v>7.2916666666666714</c:v>
                </c:pt>
                <c:pt idx="23">
                  <c:v>7.2916666666666714</c:v>
                </c:pt>
                <c:pt idx="24">
                  <c:v>9.7916666666666714</c:v>
                </c:pt>
                <c:pt idx="25">
                  <c:v>10.833333333333329</c:v>
                </c:pt>
                <c:pt idx="26">
                  <c:v>10.833333333333329</c:v>
                </c:pt>
                <c:pt idx="27">
                  <c:v>10.416666666666671</c:v>
                </c:pt>
                <c:pt idx="28">
                  <c:v>9.1666666666666714</c:v>
                </c:pt>
                <c:pt idx="29">
                  <c:v>6.25</c:v>
                </c:pt>
                <c:pt idx="30">
                  <c:v>5</c:v>
                </c:pt>
                <c:pt idx="31">
                  <c:v>3.75</c:v>
                </c:pt>
                <c:pt idx="32">
                  <c:v>3.75</c:v>
                </c:pt>
                <c:pt idx="33">
                  <c:v>5.4166666666666714</c:v>
                </c:pt>
                <c:pt idx="34">
                  <c:v>5.4166666666666714</c:v>
                </c:pt>
                <c:pt idx="35">
                  <c:v>5.8333333333333286</c:v>
                </c:pt>
                <c:pt idx="36">
                  <c:v>4.5833333333333286</c:v>
                </c:pt>
                <c:pt idx="37">
                  <c:v>0</c:v>
                </c:pt>
                <c:pt idx="38">
                  <c:v>-0.4166666666666714</c:v>
                </c:pt>
                <c:pt idx="39">
                  <c:v>-0.625</c:v>
                </c:pt>
                <c:pt idx="40">
                  <c:v>1.875</c:v>
                </c:pt>
                <c:pt idx="41">
                  <c:v>-0.83333333333334281</c:v>
                </c:pt>
                <c:pt idx="42">
                  <c:v>-2.2916666666666572</c:v>
                </c:pt>
                <c:pt idx="43">
                  <c:v>-1.0416666666666572</c:v>
                </c:pt>
                <c:pt idx="44">
                  <c:v>-1.0416666666666572</c:v>
                </c:pt>
                <c:pt idx="45">
                  <c:v>0.41666666666665719</c:v>
                </c:pt>
                <c:pt idx="46">
                  <c:v>6.6666666666666572</c:v>
                </c:pt>
                <c:pt idx="47">
                  <c:v>7.9166666666666572</c:v>
                </c:pt>
                <c:pt idx="48">
                  <c:v>6.4583333333333428</c:v>
                </c:pt>
                <c:pt idx="49">
                  <c:v>11.458333333333343</c:v>
                </c:pt>
                <c:pt idx="50">
                  <c:v>16.25</c:v>
                </c:pt>
                <c:pt idx="51">
                  <c:v>21.25</c:v>
                </c:pt>
                <c:pt idx="52">
                  <c:v>20.416666666666657</c:v>
                </c:pt>
                <c:pt idx="53">
                  <c:v>20.208333333333343</c:v>
                </c:pt>
                <c:pt idx="54">
                  <c:v>18.75</c:v>
                </c:pt>
                <c:pt idx="55">
                  <c:v>19.166666666666657</c:v>
                </c:pt>
                <c:pt idx="56">
                  <c:v>18.75</c:v>
                </c:pt>
                <c:pt idx="57">
                  <c:v>17.5</c:v>
                </c:pt>
                <c:pt idx="58">
                  <c:v>17.708333333333343</c:v>
                </c:pt>
                <c:pt idx="59">
                  <c:v>25.833333333333343</c:v>
                </c:pt>
                <c:pt idx="60">
                  <c:v>25.833333333333343</c:v>
                </c:pt>
                <c:pt idx="61">
                  <c:v>25.833333333333343</c:v>
                </c:pt>
                <c:pt idx="62">
                  <c:v>26.25</c:v>
                </c:pt>
                <c:pt idx="63">
                  <c:v>25.833333333333343</c:v>
                </c:pt>
                <c:pt idx="64">
                  <c:v>54.583333333333314</c:v>
                </c:pt>
                <c:pt idx="65">
                  <c:v>59.166666666666686</c:v>
                </c:pt>
                <c:pt idx="66">
                  <c:v>58.958333333333314</c:v>
                </c:pt>
                <c:pt idx="67">
                  <c:v>57.5</c:v>
                </c:pt>
                <c:pt idx="68">
                  <c:v>58.333333333333314</c:v>
                </c:pt>
                <c:pt idx="69">
                  <c:v>86.666666666666686</c:v>
                </c:pt>
                <c:pt idx="70">
                  <c:v>85.416666666666686</c:v>
                </c:pt>
                <c:pt idx="71">
                  <c:v>89.166666666666686</c:v>
                </c:pt>
                <c:pt idx="72">
                  <c:v>108.33333333333331</c:v>
                </c:pt>
                <c:pt idx="73">
                  <c:v>107.08333333333331</c:v>
                </c:pt>
                <c:pt idx="74">
                  <c:v>108.75</c:v>
                </c:pt>
                <c:pt idx="75">
                  <c:v>96.25</c:v>
                </c:pt>
              </c:numCache>
            </c:numRef>
          </c:val>
        </c:ser>
        <c:ser>
          <c:idx val="2"/>
          <c:order val="2"/>
          <c:tx>
            <c:strRef>
              <c:f>score!$AF$1</c:f>
              <c:strCache>
                <c:ptCount val="1"/>
                <c:pt idx="0">
                  <c:v>Gerard</c:v>
                </c:pt>
              </c:strCache>
            </c:strRef>
          </c:tx>
          <c:spPr>
            <a:ln w="57150">
              <a:solidFill>
                <a:srgbClr val="92D050"/>
              </a:solidFill>
            </a:ln>
          </c:spPr>
          <c:marker>
            <c:symbol val="none"/>
          </c:marker>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score!$AF$2:$AF$77</c:f>
              <c:numCache>
                <c:formatCode>0.0</c:formatCode>
                <c:ptCount val="76"/>
                <c:pt idx="0">
                  <c:v>-0.625</c:v>
                </c:pt>
                <c:pt idx="1">
                  <c:v>-5.4166666666666661</c:v>
                </c:pt>
                <c:pt idx="2">
                  <c:v>-6.25</c:v>
                </c:pt>
                <c:pt idx="3">
                  <c:v>-10.833333333333334</c:v>
                </c:pt>
                <c:pt idx="4">
                  <c:v>-14.583333333333332</c:v>
                </c:pt>
                <c:pt idx="5">
                  <c:v>-14.583333333333332</c:v>
                </c:pt>
                <c:pt idx="6">
                  <c:v>-17.708333333333332</c:v>
                </c:pt>
                <c:pt idx="7">
                  <c:v>-20.208333333333332</c:v>
                </c:pt>
                <c:pt idx="8">
                  <c:v>-18.125</c:v>
                </c:pt>
                <c:pt idx="9">
                  <c:v>-18.958333333333336</c:v>
                </c:pt>
                <c:pt idx="10">
                  <c:v>-19.166666666666664</c:v>
                </c:pt>
                <c:pt idx="11">
                  <c:v>-16.041666666666664</c:v>
                </c:pt>
                <c:pt idx="12">
                  <c:v>-17.5</c:v>
                </c:pt>
                <c:pt idx="13">
                  <c:v>-11.041666666666664</c:v>
                </c:pt>
                <c:pt idx="14">
                  <c:v>-11.25</c:v>
                </c:pt>
                <c:pt idx="15">
                  <c:v>-12.083333333333336</c:v>
                </c:pt>
                <c:pt idx="16">
                  <c:v>-13.333333333333336</c:v>
                </c:pt>
                <c:pt idx="17">
                  <c:v>-12.708333333333336</c:v>
                </c:pt>
                <c:pt idx="18">
                  <c:v>-12.708333333333336</c:v>
                </c:pt>
                <c:pt idx="19">
                  <c:v>-11.041666666666664</c:v>
                </c:pt>
                <c:pt idx="20">
                  <c:v>-8.75</c:v>
                </c:pt>
                <c:pt idx="21">
                  <c:v>-11.875</c:v>
                </c:pt>
                <c:pt idx="22">
                  <c:v>-12.708333333333329</c:v>
                </c:pt>
                <c:pt idx="23">
                  <c:v>-12.708333333333329</c:v>
                </c:pt>
                <c:pt idx="24">
                  <c:v>-15.208333333333329</c:v>
                </c:pt>
                <c:pt idx="25">
                  <c:v>-14.166666666666671</c:v>
                </c:pt>
                <c:pt idx="26">
                  <c:v>-14.166666666666671</c:v>
                </c:pt>
                <c:pt idx="27">
                  <c:v>-14.583333333333329</c:v>
                </c:pt>
                <c:pt idx="28">
                  <c:v>-5.8333333333333286</c:v>
                </c:pt>
                <c:pt idx="29">
                  <c:v>-8.75</c:v>
                </c:pt>
                <c:pt idx="30">
                  <c:v>-10</c:v>
                </c:pt>
                <c:pt idx="31">
                  <c:v>-6.25</c:v>
                </c:pt>
                <c:pt idx="32">
                  <c:v>-6.25</c:v>
                </c:pt>
                <c:pt idx="33">
                  <c:v>-9.5833333333333286</c:v>
                </c:pt>
                <c:pt idx="34">
                  <c:v>-9.5833333333333286</c:v>
                </c:pt>
                <c:pt idx="35">
                  <c:v>-9.1666666666666714</c:v>
                </c:pt>
                <c:pt idx="36">
                  <c:v>-5.4166666666666714</c:v>
                </c:pt>
                <c:pt idx="37">
                  <c:v>0</c:v>
                </c:pt>
                <c:pt idx="38">
                  <c:v>-0.4166666666666714</c:v>
                </c:pt>
                <c:pt idx="39">
                  <c:v>-0.625</c:v>
                </c:pt>
                <c:pt idx="40">
                  <c:v>-8.125</c:v>
                </c:pt>
                <c:pt idx="41">
                  <c:v>-10.833333333333343</c:v>
                </c:pt>
                <c:pt idx="42">
                  <c:v>-7.2916666666666572</c:v>
                </c:pt>
                <c:pt idx="43">
                  <c:v>-6.0416666666666572</c:v>
                </c:pt>
                <c:pt idx="44">
                  <c:v>-6.0416666666666572</c:v>
                </c:pt>
                <c:pt idx="45">
                  <c:v>-9.5833333333333428</c:v>
                </c:pt>
                <c:pt idx="46">
                  <c:v>-3.3333333333333428</c:v>
                </c:pt>
                <c:pt idx="47">
                  <c:v>-2.0833333333333428</c:v>
                </c:pt>
                <c:pt idx="48">
                  <c:v>1.4583333333333428</c:v>
                </c:pt>
                <c:pt idx="49">
                  <c:v>6.4583333333333428</c:v>
                </c:pt>
                <c:pt idx="50">
                  <c:v>1.25</c:v>
                </c:pt>
                <c:pt idx="51">
                  <c:v>1.25</c:v>
                </c:pt>
                <c:pt idx="52">
                  <c:v>10.416666666666657</c:v>
                </c:pt>
                <c:pt idx="53">
                  <c:v>5.2083333333333428</c:v>
                </c:pt>
                <c:pt idx="54">
                  <c:v>3.75</c:v>
                </c:pt>
                <c:pt idx="55">
                  <c:v>4.1666666666666572</c:v>
                </c:pt>
                <c:pt idx="56">
                  <c:v>3.75</c:v>
                </c:pt>
                <c:pt idx="57">
                  <c:v>2.5</c:v>
                </c:pt>
                <c:pt idx="58">
                  <c:v>2.7083333333333428</c:v>
                </c:pt>
                <c:pt idx="59">
                  <c:v>10.833333333333343</c:v>
                </c:pt>
                <c:pt idx="60">
                  <c:v>15.833333333333343</c:v>
                </c:pt>
                <c:pt idx="61">
                  <c:v>15.833333333333343</c:v>
                </c:pt>
                <c:pt idx="62">
                  <c:v>16.25</c:v>
                </c:pt>
                <c:pt idx="63">
                  <c:v>15.833333333333343</c:v>
                </c:pt>
                <c:pt idx="64">
                  <c:v>-0.41666666666668561</c:v>
                </c:pt>
                <c:pt idx="65">
                  <c:v>-0.83333333333331439</c:v>
                </c:pt>
                <c:pt idx="66">
                  <c:v>-1.0416666666666856</c:v>
                </c:pt>
                <c:pt idx="67">
                  <c:v>-2.5</c:v>
                </c:pt>
                <c:pt idx="68">
                  <c:v>-1.6666666666666856</c:v>
                </c:pt>
                <c:pt idx="69">
                  <c:v>6.6666666666666856</c:v>
                </c:pt>
                <c:pt idx="70">
                  <c:v>10.416666666666686</c:v>
                </c:pt>
                <c:pt idx="71">
                  <c:v>14.166666666666686</c:v>
                </c:pt>
                <c:pt idx="72">
                  <c:v>63.333333333333314</c:v>
                </c:pt>
                <c:pt idx="73">
                  <c:v>62.083333333333314</c:v>
                </c:pt>
                <c:pt idx="74">
                  <c:v>63.75</c:v>
                </c:pt>
                <c:pt idx="75">
                  <c:v>101.25</c:v>
                </c:pt>
              </c:numCache>
            </c:numRef>
          </c:val>
        </c:ser>
        <c:ser>
          <c:idx val="3"/>
          <c:order val="3"/>
          <c:tx>
            <c:strRef>
              <c:f>score!$AG$1</c:f>
              <c:strCache>
                <c:ptCount val="1"/>
                <c:pt idx="0">
                  <c:v>Willem</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score!$AG$2:$AG$77</c:f>
              <c:numCache>
                <c:formatCode>0.0</c:formatCode>
                <c:ptCount val="76"/>
                <c:pt idx="0">
                  <c:v>-0.625</c:v>
                </c:pt>
                <c:pt idx="1">
                  <c:v>-5.4166666666666661</c:v>
                </c:pt>
                <c:pt idx="2">
                  <c:v>-6.25</c:v>
                </c:pt>
                <c:pt idx="3">
                  <c:v>-5.8333333333333339</c:v>
                </c:pt>
                <c:pt idx="4">
                  <c:v>-4.5833333333333321</c:v>
                </c:pt>
                <c:pt idx="5">
                  <c:v>-4.5833333333333321</c:v>
                </c:pt>
                <c:pt idx="6">
                  <c:v>-7.7083333333333321</c:v>
                </c:pt>
                <c:pt idx="7">
                  <c:v>-10.208333333333332</c:v>
                </c:pt>
                <c:pt idx="8">
                  <c:v>-13.125</c:v>
                </c:pt>
                <c:pt idx="9">
                  <c:v>-13.958333333333336</c:v>
                </c:pt>
                <c:pt idx="10">
                  <c:v>-14.166666666666664</c:v>
                </c:pt>
                <c:pt idx="11">
                  <c:v>-11.041666666666664</c:v>
                </c:pt>
                <c:pt idx="12">
                  <c:v>-2.5</c:v>
                </c:pt>
                <c:pt idx="13">
                  <c:v>-6.0416666666666643</c:v>
                </c:pt>
                <c:pt idx="14">
                  <c:v>-6.25</c:v>
                </c:pt>
                <c:pt idx="15">
                  <c:v>-7.0833333333333357</c:v>
                </c:pt>
                <c:pt idx="16">
                  <c:v>-8.3333333333333357</c:v>
                </c:pt>
                <c:pt idx="17">
                  <c:v>-7.7083333333333357</c:v>
                </c:pt>
                <c:pt idx="18">
                  <c:v>-7.7083333333333357</c:v>
                </c:pt>
                <c:pt idx="19">
                  <c:v>-6.0416666666666643</c:v>
                </c:pt>
                <c:pt idx="20">
                  <c:v>-3.75</c:v>
                </c:pt>
                <c:pt idx="21">
                  <c:v>3.125</c:v>
                </c:pt>
                <c:pt idx="22">
                  <c:v>12.291666666666671</c:v>
                </c:pt>
                <c:pt idx="23">
                  <c:v>12.291666666666671</c:v>
                </c:pt>
                <c:pt idx="24">
                  <c:v>14.791666666666671</c:v>
                </c:pt>
                <c:pt idx="25">
                  <c:v>20.833333333333329</c:v>
                </c:pt>
                <c:pt idx="26">
                  <c:v>20.833333333333329</c:v>
                </c:pt>
                <c:pt idx="27">
                  <c:v>20.416666666666671</c:v>
                </c:pt>
                <c:pt idx="28">
                  <c:v>19.166666666666671</c:v>
                </c:pt>
                <c:pt idx="29">
                  <c:v>16.25</c:v>
                </c:pt>
                <c:pt idx="30">
                  <c:v>15</c:v>
                </c:pt>
                <c:pt idx="31">
                  <c:v>13.75</c:v>
                </c:pt>
                <c:pt idx="32">
                  <c:v>13.75</c:v>
                </c:pt>
                <c:pt idx="33">
                  <c:v>20.416666666666671</c:v>
                </c:pt>
                <c:pt idx="34">
                  <c:v>20.416666666666671</c:v>
                </c:pt>
                <c:pt idx="35">
                  <c:v>20.833333333333329</c:v>
                </c:pt>
                <c:pt idx="36">
                  <c:v>24.583333333333329</c:v>
                </c:pt>
                <c:pt idx="37">
                  <c:v>30</c:v>
                </c:pt>
                <c:pt idx="38">
                  <c:v>29.583333333333329</c:v>
                </c:pt>
                <c:pt idx="39">
                  <c:v>29.375</c:v>
                </c:pt>
                <c:pt idx="40">
                  <c:v>31.875</c:v>
                </c:pt>
                <c:pt idx="41">
                  <c:v>34.166666666666657</c:v>
                </c:pt>
                <c:pt idx="42">
                  <c:v>32.708333333333343</c:v>
                </c:pt>
                <c:pt idx="43">
                  <c:v>33.958333333333343</c:v>
                </c:pt>
                <c:pt idx="44">
                  <c:v>33.958333333333343</c:v>
                </c:pt>
                <c:pt idx="45">
                  <c:v>35.416666666666657</c:v>
                </c:pt>
                <c:pt idx="46">
                  <c:v>31.666666666666657</c:v>
                </c:pt>
                <c:pt idx="47">
                  <c:v>27.916666666666657</c:v>
                </c:pt>
                <c:pt idx="48">
                  <c:v>31.458333333333343</c:v>
                </c:pt>
                <c:pt idx="49">
                  <c:v>26.458333333333343</c:v>
                </c:pt>
                <c:pt idx="50">
                  <c:v>26.25</c:v>
                </c:pt>
                <c:pt idx="51">
                  <c:v>21.25</c:v>
                </c:pt>
                <c:pt idx="52">
                  <c:v>20.416666666666657</c:v>
                </c:pt>
                <c:pt idx="53">
                  <c:v>20.208333333333343</c:v>
                </c:pt>
                <c:pt idx="54">
                  <c:v>18.75</c:v>
                </c:pt>
                <c:pt idx="55">
                  <c:v>19.166666666666657</c:v>
                </c:pt>
                <c:pt idx="56">
                  <c:v>18.75</c:v>
                </c:pt>
                <c:pt idx="57">
                  <c:v>17.5</c:v>
                </c:pt>
                <c:pt idx="58">
                  <c:v>17.708333333333343</c:v>
                </c:pt>
                <c:pt idx="59">
                  <c:v>15.833333333333343</c:v>
                </c:pt>
                <c:pt idx="60">
                  <c:v>15.833333333333343</c:v>
                </c:pt>
                <c:pt idx="61">
                  <c:v>15.833333333333343</c:v>
                </c:pt>
                <c:pt idx="62">
                  <c:v>16.25</c:v>
                </c:pt>
                <c:pt idx="63">
                  <c:v>15.833333333333343</c:v>
                </c:pt>
                <c:pt idx="64">
                  <c:v>44.583333333333314</c:v>
                </c:pt>
                <c:pt idx="65">
                  <c:v>44.166666666666686</c:v>
                </c:pt>
                <c:pt idx="66">
                  <c:v>43.958333333333314</c:v>
                </c:pt>
                <c:pt idx="67">
                  <c:v>42.5</c:v>
                </c:pt>
                <c:pt idx="68">
                  <c:v>43.333333333333314</c:v>
                </c:pt>
                <c:pt idx="69">
                  <c:v>51.666666666666686</c:v>
                </c:pt>
                <c:pt idx="70">
                  <c:v>55.416666666666686</c:v>
                </c:pt>
                <c:pt idx="71">
                  <c:v>54.166666666666686</c:v>
                </c:pt>
                <c:pt idx="72">
                  <c:v>103.33333333333331</c:v>
                </c:pt>
                <c:pt idx="73">
                  <c:v>102.08333333333331</c:v>
                </c:pt>
                <c:pt idx="74">
                  <c:v>98.75</c:v>
                </c:pt>
                <c:pt idx="75">
                  <c:v>86.25</c:v>
                </c:pt>
              </c:numCache>
            </c:numRef>
          </c:val>
        </c:ser>
        <c:ser>
          <c:idx val="4"/>
          <c:order val="4"/>
          <c:tx>
            <c:strRef>
              <c:f>score!$AH$1</c:f>
              <c:strCache>
                <c:ptCount val="1"/>
                <c:pt idx="0">
                  <c:v>Marc</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score!$AH$2:$AH$77</c:f>
              <c:numCache>
                <c:formatCode>0.0</c:formatCode>
                <c:ptCount val="76"/>
                <c:pt idx="0">
                  <c:v>4.375</c:v>
                </c:pt>
                <c:pt idx="1">
                  <c:v>4.5833333333333339</c:v>
                </c:pt>
                <c:pt idx="2">
                  <c:v>3.75</c:v>
                </c:pt>
                <c:pt idx="3">
                  <c:v>4.1666666666666661</c:v>
                </c:pt>
                <c:pt idx="4">
                  <c:v>5.4166666666666679</c:v>
                </c:pt>
                <c:pt idx="5">
                  <c:v>5.4166666666666679</c:v>
                </c:pt>
                <c:pt idx="6">
                  <c:v>2.2916666666666679</c:v>
                </c:pt>
                <c:pt idx="7">
                  <c:v>4.7916666666666679</c:v>
                </c:pt>
                <c:pt idx="8">
                  <c:v>1.875</c:v>
                </c:pt>
                <c:pt idx="9">
                  <c:v>6.0416666666666643</c:v>
                </c:pt>
                <c:pt idx="10">
                  <c:v>0.8333333333333357</c:v>
                </c:pt>
                <c:pt idx="11">
                  <c:v>-1.0416666666666643</c:v>
                </c:pt>
                <c:pt idx="12">
                  <c:v>2.5</c:v>
                </c:pt>
                <c:pt idx="13">
                  <c:v>8.9583333333333357</c:v>
                </c:pt>
                <c:pt idx="14">
                  <c:v>8.75</c:v>
                </c:pt>
                <c:pt idx="15">
                  <c:v>7.9166666666666643</c:v>
                </c:pt>
                <c:pt idx="16">
                  <c:v>6.6666666666666643</c:v>
                </c:pt>
                <c:pt idx="17">
                  <c:v>7.2916666666666643</c:v>
                </c:pt>
                <c:pt idx="18">
                  <c:v>7.2916666666666643</c:v>
                </c:pt>
                <c:pt idx="19">
                  <c:v>8.9583333333333357</c:v>
                </c:pt>
                <c:pt idx="20">
                  <c:v>6.25</c:v>
                </c:pt>
                <c:pt idx="21">
                  <c:v>13.125</c:v>
                </c:pt>
                <c:pt idx="22">
                  <c:v>12.291666666666671</c:v>
                </c:pt>
                <c:pt idx="23">
                  <c:v>12.291666666666671</c:v>
                </c:pt>
                <c:pt idx="24">
                  <c:v>14.791666666666671</c:v>
                </c:pt>
                <c:pt idx="25">
                  <c:v>15.833333333333329</c:v>
                </c:pt>
                <c:pt idx="26">
                  <c:v>15.833333333333329</c:v>
                </c:pt>
                <c:pt idx="27">
                  <c:v>15.416666666666671</c:v>
                </c:pt>
                <c:pt idx="28">
                  <c:v>14.166666666666671</c:v>
                </c:pt>
                <c:pt idx="29">
                  <c:v>11.25</c:v>
                </c:pt>
                <c:pt idx="30">
                  <c:v>15</c:v>
                </c:pt>
                <c:pt idx="31">
                  <c:v>23.75</c:v>
                </c:pt>
                <c:pt idx="32">
                  <c:v>23.75</c:v>
                </c:pt>
                <c:pt idx="33">
                  <c:v>25.416666666666671</c:v>
                </c:pt>
                <c:pt idx="34">
                  <c:v>25.416666666666671</c:v>
                </c:pt>
                <c:pt idx="35">
                  <c:v>25.833333333333329</c:v>
                </c:pt>
                <c:pt idx="36">
                  <c:v>24.583333333333329</c:v>
                </c:pt>
                <c:pt idx="37">
                  <c:v>30</c:v>
                </c:pt>
                <c:pt idx="38">
                  <c:v>29.583333333333329</c:v>
                </c:pt>
                <c:pt idx="39">
                  <c:v>29.375</c:v>
                </c:pt>
                <c:pt idx="40">
                  <c:v>31.875</c:v>
                </c:pt>
                <c:pt idx="41">
                  <c:v>34.166666666666657</c:v>
                </c:pt>
                <c:pt idx="42">
                  <c:v>32.708333333333343</c:v>
                </c:pt>
                <c:pt idx="43">
                  <c:v>33.958333333333343</c:v>
                </c:pt>
                <c:pt idx="44">
                  <c:v>33.958333333333343</c:v>
                </c:pt>
                <c:pt idx="45">
                  <c:v>35.416666666666657</c:v>
                </c:pt>
                <c:pt idx="46">
                  <c:v>31.666666666666657</c:v>
                </c:pt>
                <c:pt idx="47">
                  <c:v>32.916666666666657</c:v>
                </c:pt>
                <c:pt idx="48">
                  <c:v>31.458333333333343</c:v>
                </c:pt>
                <c:pt idx="49">
                  <c:v>26.458333333333343</c:v>
                </c:pt>
                <c:pt idx="50">
                  <c:v>26.25</c:v>
                </c:pt>
                <c:pt idx="51">
                  <c:v>31.25</c:v>
                </c:pt>
                <c:pt idx="52">
                  <c:v>30.416666666666657</c:v>
                </c:pt>
                <c:pt idx="53">
                  <c:v>30.208333333333343</c:v>
                </c:pt>
                <c:pt idx="54">
                  <c:v>28.75</c:v>
                </c:pt>
                <c:pt idx="55">
                  <c:v>29.166666666666657</c:v>
                </c:pt>
                <c:pt idx="56">
                  <c:v>28.75</c:v>
                </c:pt>
                <c:pt idx="57">
                  <c:v>27.5</c:v>
                </c:pt>
                <c:pt idx="58">
                  <c:v>27.708333333333343</c:v>
                </c:pt>
                <c:pt idx="59">
                  <c:v>35.833333333333343</c:v>
                </c:pt>
                <c:pt idx="60">
                  <c:v>35.833333333333343</c:v>
                </c:pt>
                <c:pt idx="61">
                  <c:v>40.833333333333343</c:v>
                </c:pt>
                <c:pt idx="62">
                  <c:v>41.25</c:v>
                </c:pt>
                <c:pt idx="63">
                  <c:v>40.833333333333343</c:v>
                </c:pt>
                <c:pt idx="64">
                  <c:v>39.583333333333314</c:v>
                </c:pt>
                <c:pt idx="65">
                  <c:v>44.166666666666686</c:v>
                </c:pt>
                <c:pt idx="66">
                  <c:v>43.958333333333314</c:v>
                </c:pt>
                <c:pt idx="67">
                  <c:v>47.5</c:v>
                </c:pt>
                <c:pt idx="68">
                  <c:v>43.333333333333314</c:v>
                </c:pt>
                <c:pt idx="69">
                  <c:v>31.666666666666686</c:v>
                </c:pt>
                <c:pt idx="70">
                  <c:v>30.416666666666686</c:v>
                </c:pt>
                <c:pt idx="71">
                  <c:v>29.166666666666686</c:v>
                </c:pt>
                <c:pt idx="72">
                  <c:v>48.333333333333314</c:v>
                </c:pt>
                <c:pt idx="73">
                  <c:v>47.083333333333314</c:v>
                </c:pt>
                <c:pt idx="74">
                  <c:v>48.75</c:v>
                </c:pt>
                <c:pt idx="75">
                  <c:v>86.25</c:v>
                </c:pt>
              </c:numCache>
            </c:numRef>
          </c:val>
        </c:ser>
        <c:ser>
          <c:idx val="5"/>
          <c:order val="5"/>
          <c:tx>
            <c:strRef>
              <c:f>score!$AI$1</c:f>
              <c:strCache>
                <c:ptCount val="1"/>
                <c:pt idx="0">
                  <c:v>Carin</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score!$AI$2:$AI$77</c:f>
              <c:numCache>
                <c:formatCode>0.0</c:formatCode>
                <c:ptCount val="76"/>
                <c:pt idx="0">
                  <c:v>-5.625</c:v>
                </c:pt>
                <c:pt idx="1">
                  <c:v>-10.416666666666666</c:v>
                </c:pt>
                <c:pt idx="2">
                  <c:v>-6.25</c:v>
                </c:pt>
                <c:pt idx="3">
                  <c:v>-10.833333333333334</c:v>
                </c:pt>
                <c:pt idx="4">
                  <c:v>-9.5833333333333321</c:v>
                </c:pt>
                <c:pt idx="5">
                  <c:v>-9.5833333333333321</c:v>
                </c:pt>
                <c:pt idx="6">
                  <c:v>-7.7083333333333321</c:v>
                </c:pt>
                <c:pt idx="7">
                  <c:v>-5.2083333333333321</c:v>
                </c:pt>
                <c:pt idx="8">
                  <c:v>-3.125</c:v>
                </c:pt>
                <c:pt idx="9">
                  <c:v>-3.9583333333333357</c:v>
                </c:pt>
                <c:pt idx="10">
                  <c:v>0.8333333333333357</c:v>
                </c:pt>
                <c:pt idx="11">
                  <c:v>-1.0416666666666643</c:v>
                </c:pt>
                <c:pt idx="12">
                  <c:v>-2.5</c:v>
                </c:pt>
                <c:pt idx="13">
                  <c:v>-6.0416666666666643</c:v>
                </c:pt>
                <c:pt idx="14">
                  <c:v>-11.25</c:v>
                </c:pt>
                <c:pt idx="15">
                  <c:v>-7.0833333333333357</c:v>
                </c:pt>
                <c:pt idx="16">
                  <c:v>-8.3333333333333357</c:v>
                </c:pt>
                <c:pt idx="17">
                  <c:v>-7.7083333333333357</c:v>
                </c:pt>
                <c:pt idx="18">
                  <c:v>-7.7083333333333357</c:v>
                </c:pt>
                <c:pt idx="19">
                  <c:v>-6.0416666666666643</c:v>
                </c:pt>
                <c:pt idx="20">
                  <c:v>-8.75</c:v>
                </c:pt>
                <c:pt idx="21">
                  <c:v>-11.875</c:v>
                </c:pt>
                <c:pt idx="22">
                  <c:v>-12.708333333333329</c:v>
                </c:pt>
                <c:pt idx="23">
                  <c:v>-12.708333333333329</c:v>
                </c:pt>
                <c:pt idx="24">
                  <c:v>-15.208333333333329</c:v>
                </c:pt>
                <c:pt idx="25">
                  <c:v>-14.166666666666671</c:v>
                </c:pt>
                <c:pt idx="26">
                  <c:v>-19.166666666666671</c:v>
                </c:pt>
                <c:pt idx="27">
                  <c:v>-19.583333333333329</c:v>
                </c:pt>
                <c:pt idx="28">
                  <c:v>-20.833333333333329</c:v>
                </c:pt>
                <c:pt idx="29">
                  <c:v>-18.75</c:v>
                </c:pt>
                <c:pt idx="30">
                  <c:v>-20</c:v>
                </c:pt>
                <c:pt idx="31">
                  <c:v>-21.25</c:v>
                </c:pt>
                <c:pt idx="32">
                  <c:v>-21.25</c:v>
                </c:pt>
                <c:pt idx="33">
                  <c:v>-24.583333333333329</c:v>
                </c:pt>
                <c:pt idx="34">
                  <c:v>-24.583333333333329</c:v>
                </c:pt>
                <c:pt idx="35">
                  <c:v>-24.166666666666671</c:v>
                </c:pt>
                <c:pt idx="36">
                  <c:v>-25.416666666666671</c:v>
                </c:pt>
                <c:pt idx="37">
                  <c:v>-30</c:v>
                </c:pt>
                <c:pt idx="38">
                  <c:v>-30.416666666666671</c:v>
                </c:pt>
                <c:pt idx="39">
                  <c:v>-30.625</c:v>
                </c:pt>
                <c:pt idx="40">
                  <c:v>-38.125</c:v>
                </c:pt>
                <c:pt idx="41">
                  <c:v>-35.833333333333343</c:v>
                </c:pt>
                <c:pt idx="42">
                  <c:v>-37.291666666666657</c:v>
                </c:pt>
                <c:pt idx="43">
                  <c:v>-36.041666666666657</c:v>
                </c:pt>
                <c:pt idx="44">
                  <c:v>-31.041666666666657</c:v>
                </c:pt>
                <c:pt idx="45">
                  <c:v>-34.583333333333343</c:v>
                </c:pt>
                <c:pt idx="46">
                  <c:v>-38.333333333333343</c:v>
                </c:pt>
                <c:pt idx="47">
                  <c:v>-37.083333333333343</c:v>
                </c:pt>
                <c:pt idx="48">
                  <c:v>-33.541666666666657</c:v>
                </c:pt>
                <c:pt idx="49">
                  <c:v>-28.541666666666657</c:v>
                </c:pt>
                <c:pt idx="50">
                  <c:v>-28.75</c:v>
                </c:pt>
                <c:pt idx="51">
                  <c:v>-23.75</c:v>
                </c:pt>
                <c:pt idx="52">
                  <c:v>-24.583333333333343</c:v>
                </c:pt>
                <c:pt idx="53">
                  <c:v>-19.791666666666657</c:v>
                </c:pt>
                <c:pt idx="54">
                  <c:v>-21.25</c:v>
                </c:pt>
                <c:pt idx="55">
                  <c:v>-20.833333333333343</c:v>
                </c:pt>
                <c:pt idx="56">
                  <c:v>-21.25</c:v>
                </c:pt>
                <c:pt idx="57">
                  <c:v>-22.5</c:v>
                </c:pt>
                <c:pt idx="58">
                  <c:v>-27.291666666666657</c:v>
                </c:pt>
                <c:pt idx="59">
                  <c:v>-29.166666666666657</c:v>
                </c:pt>
                <c:pt idx="60">
                  <c:v>-24.166666666666657</c:v>
                </c:pt>
                <c:pt idx="61">
                  <c:v>-24.166666666666657</c:v>
                </c:pt>
                <c:pt idx="62">
                  <c:v>-23.75</c:v>
                </c:pt>
                <c:pt idx="63">
                  <c:v>-24.166666666666657</c:v>
                </c:pt>
                <c:pt idx="64">
                  <c:v>-10.416666666666686</c:v>
                </c:pt>
                <c:pt idx="65">
                  <c:v>-10.833333333333314</c:v>
                </c:pt>
                <c:pt idx="66">
                  <c:v>-11.041666666666686</c:v>
                </c:pt>
                <c:pt idx="67">
                  <c:v>-7.5</c:v>
                </c:pt>
                <c:pt idx="68">
                  <c:v>-6.6666666666666856</c:v>
                </c:pt>
                <c:pt idx="69">
                  <c:v>1.6666666666666856</c:v>
                </c:pt>
                <c:pt idx="70">
                  <c:v>5.4166666666666856</c:v>
                </c:pt>
                <c:pt idx="71">
                  <c:v>9.1666666666666856</c:v>
                </c:pt>
                <c:pt idx="72">
                  <c:v>3.3333333333333144</c:v>
                </c:pt>
                <c:pt idx="73">
                  <c:v>2.0833333333333144</c:v>
                </c:pt>
                <c:pt idx="74">
                  <c:v>3.75</c:v>
                </c:pt>
                <c:pt idx="75">
                  <c:v>41.25</c:v>
                </c:pt>
              </c:numCache>
            </c:numRef>
          </c:val>
        </c:ser>
        <c:ser>
          <c:idx val="6"/>
          <c:order val="6"/>
          <c:tx>
            <c:strRef>
              <c:f>score!$AJ$1</c:f>
              <c:strCache>
                <c:ptCount val="1"/>
                <c:pt idx="0">
                  <c:v>Paul</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score!$AJ$2:$AJ$77</c:f>
              <c:numCache>
                <c:formatCode>0.0</c:formatCode>
                <c:ptCount val="76"/>
                <c:pt idx="0">
                  <c:v>-0.625</c:v>
                </c:pt>
                <c:pt idx="1">
                  <c:v>-5.4166666666666661</c:v>
                </c:pt>
                <c:pt idx="2">
                  <c:v>-6.25</c:v>
                </c:pt>
                <c:pt idx="3">
                  <c:v>-5.8333333333333339</c:v>
                </c:pt>
                <c:pt idx="4">
                  <c:v>-4.5833333333333321</c:v>
                </c:pt>
                <c:pt idx="5">
                  <c:v>-4.5833333333333321</c:v>
                </c:pt>
                <c:pt idx="6">
                  <c:v>-7.7083333333333321</c:v>
                </c:pt>
                <c:pt idx="7">
                  <c:v>-5.2083333333333321</c:v>
                </c:pt>
                <c:pt idx="8">
                  <c:v>-8.125</c:v>
                </c:pt>
                <c:pt idx="9">
                  <c:v>-8.9583333333333357</c:v>
                </c:pt>
                <c:pt idx="10">
                  <c:v>-9.1666666666666643</c:v>
                </c:pt>
                <c:pt idx="11">
                  <c:v>-11.041666666666664</c:v>
                </c:pt>
                <c:pt idx="12">
                  <c:v>-12.5</c:v>
                </c:pt>
                <c:pt idx="13">
                  <c:v>-11.041666666666664</c:v>
                </c:pt>
                <c:pt idx="14">
                  <c:v>-11.25</c:v>
                </c:pt>
                <c:pt idx="15">
                  <c:v>-12.083333333333336</c:v>
                </c:pt>
                <c:pt idx="16">
                  <c:v>-8.3333333333333357</c:v>
                </c:pt>
                <c:pt idx="17">
                  <c:v>-7.7083333333333357</c:v>
                </c:pt>
                <c:pt idx="18">
                  <c:v>-7.7083333333333357</c:v>
                </c:pt>
                <c:pt idx="19">
                  <c:v>-11.041666666666664</c:v>
                </c:pt>
                <c:pt idx="20">
                  <c:v>-13.75</c:v>
                </c:pt>
                <c:pt idx="21">
                  <c:v>-16.875</c:v>
                </c:pt>
                <c:pt idx="22">
                  <c:v>-17.708333333333329</c:v>
                </c:pt>
                <c:pt idx="23">
                  <c:v>-17.708333333333329</c:v>
                </c:pt>
                <c:pt idx="24">
                  <c:v>-15.208333333333329</c:v>
                </c:pt>
                <c:pt idx="25">
                  <c:v>-19.166666666666671</c:v>
                </c:pt>
                <c:pt idx="26">
                  <c:v>-19.166666666666671</c:v>
                </c:pt>
                <c:pt idx="27">
                  <c:v>-19.583333333333329</c:v>
                </c:pt>
                <c:pt idx="28">
                  <c:v>-20.833333333333329</c:v>
                </c:pt>
                <c:pt idx="29">
                  <c:v>-23.75</c:v>
                </c:pt>
                <c:pt idx="30">
                  <c:v>-25</c:v>
                </c:pt>
                <c:pt idx="31">
                  <c:v>-21.25</c:v>
                </c:pt>
                <c:pt idx="32">
                  <c:v>-21.25</c:v>
                </c:pt>
                <c:pt idx="33">
                  <c:v>-24.583333333333329</c:v>
                </c:pt>
                <c:pt idx="34">
                  <c:v>-24.583333333333329</c:v>
                </c:pt>
                <c:pt idx="35">
                  <c:v>-24.166666666666671</c:v>
                </c:pt>
                <c:pt idx="36">
                  <c:v>-25.416666666666671</c:v>
                </c:pt>
                <c:pt idx="37">
                  <c:v>-30</c:v>
                </c:pt>
                <c:pt idx="38">
                  <c:v>-30.416666666666671</c:v>
                </c:pt>
                <c:pt idx="39">
                  <c:v>-30.625</c:v>
                </c:pt>
                <c:pt idx="40">
                  <c:v>-28.125</c:v>
                </c:pt>
                <c:pt idx="41">
                  <c:v>-25.833333333333343</c:v>
                </c:pt>
                <c:pt idx="42">
                  <c:v>-27.291666666666657</c:v>
                </c:pt>
                <c:pt idx="43">
                  <c:v>-26.041666666666657</c:v>
                </c:pt>
                <c:pt idx="44">
                  <c:v>-26.041666666666657</c:v>
                </c:pt>
                <c:pt idx="45">
                  <c:v>-29.583333333333343</c:v>
                </c:pt>
                <c:pt idx="46">
                  <c:v>-23.333333333333343</c:v>
                </c:pt>
                <c:pt idx="47">
                  <c:v>-27.083333333333343</c:v>
                </c:pt>
                <c:pt idx="48">
                  <c:v>-23.541666666666657</c:v>
                </c:pt>
                <c:pt idx="49">
                  <c:v>-28.541666666666657</c:v>
                </c:pt>
                <c:pt idx="50">
                  <c:v>-28.75</c:v>
                </c:pt>
                <c:pt idx="51">
                  <c:v>-28.75</c:v>
                </c:pt>
                <c:pt idx="52">
                  <c:v>-29.583333333333343</c:v>
                </c:pt>
                <c:pt idx="53">
                  <c:v>-24.791666666666657</c:v>
                </c:pt>
                <c:pt idx="54">
                  <c:v>-26.25</c:v>
                </c:pt>
                <c:pt idx="55">
                  <c:v>-25.833333333333343</c:v>
                </c:pt>
                <c:pt idx="56">
                  <c:v>-26.25</c:v>
                </c:pt>
                <c:pt idx="57">
                  <c:v>-27.5</c:v>
                </c:pt>
                <c:pt idx="58">
                  <c:v>-27.291666666666657</c:v>
                </c:pt>
                <c:pt idx="59">
                  <c:v>-24.166666666666657</c:v>
                </c:pt>
                <c:pt idx="60">
                  <c:v>-19.166666666666657</c:v>
                </c:pt>
                <c:pt idx="61">
                  <c:v>-19.166666666666657</c:v>
                </c:pt>
                <c:pt idx="62">
                  <c:v>-23.75</c:v>
                </c:pt>
                <c:pt idx="63">
                  <c:v>-24.166666666666657</c:v>
                </c:pt>
                <c:pt idx="64">
                  <c:v>-25.416666666666686</c:v>
                </c:pt>
                <c:pt idx="65">
                  <c:v>-25.833333333333314</c:v>
                </c:pt>
                <c:pt idx="66">
                  <c:v>-26.041666666666686</c:v>
                </c:pt>
                <c:pt idx="67">
                  <c:v>-27.5</c:v>
                </c:pt>
                <c:pt idx="68">
                  <c:v>-31.666666666666686</c:v>
                </c:pt>
                <c:pt idx="69">
                  <c:v>-43.333333333333314</c:v>
                </c:pt>
                <c:pt idx="70">
                  <c:v>-44.583333333333314</c:v>
                </c:pt>
                <c:pt idx="71">
                  <c:v>-45.833333333333314</c:v>
                </c:pt>
                <c:pt idx="72">
                  <c:v>-26.666666666666686</c:v>
                </c:pt>
                <c:pt idx="73">
                  <c:v>-27.916666666666686</c:v>
                </c:pt>
                <c:pt idx="74">
                  <c:v>-21.25</c:v>
                </c:pt>
                <c:pt idx="75">
                  <c:v>16.25</c:v>
                </c:pt>
              </c:numCache>
            </c:numRef>
          </c:val>
        </c:ser>
        <c:ser>
          <c:idx val="7"/>
          <c:order val="7"/>
          <c:tx>
            <c:strRef>
              <c:f>score!$AK$1</c:f>
              <c:strCache>
                <c:ptCount val="1"/>
                <c:pt idx="0">
                  <c:v>Matthijs</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score!$AK$2:$AK$77</c:f>
              <c:numCache>
                <c:formatCode>0.0</c:formatCode>
                <c:ptCount val="76"/>
                <c:pt idx="0">
                  <c:v>-0.625</c:v>
                </c:pt>
                <c:pt idx="1">
                  <c:v>-0.41666666666666607</c:v>
                </c:pt>
                <c:pt idx="2">
                  <c:v>-1.25</c:v>
                </c:pt>
                <c:pt idx="3">
                  <c:v>-0.83333333333333393</c:v>
                </c:pt>
                <c:pt idx="4">
                  <c:v>-4.5833333333333321</c:v>
                </c:pt>
                <c:pt idx="5">
                  <c:v>-4.5833333333333321</c:v>
                </c:pt>
                <c:pt idx="6">
                  <c:v>-7.7083333333333321</c:v>
                </c:pt>
                <c:pt idx="7">
                  <c:v>-0.20833333333333215</c:v>
                </c:pt>
                <c:pt idx="8">
                  <c:v>1.875</c:v>
                </c:pt>
                <c:pt idx="9">
                  <c:v>1.0416666666666643</c:v>
                </c:pt>
                <c:pt idx="10">
                  <c:v>5.8333333333333357</c:v>
                </c:pt>
                <c:pt idx="11">
                  <c:v>3.9583333333333357</c:v>
                </c:pt>
                <c:pt idx="12">
                  <c:v>7.5</c:v>
                </c:pt>
                <c:pt idx="13">
                  <c:v>13.958333333333336</c:v>
                </c:pt>
                <c:pt idx="14">
                  <c:v>18.75</c:v>
                </c:pt>
                <c:pt idx="15">
                  <c:v>17.916666666666664</c:v>
                </c:pt>
                <c:pt idx="16">
                  <c:v>16.666666666666664</c:v>
                </c:pt>
                <c:pt idx="17">
                  <c:v>17.291666666666664</c:v>
                </c:pt>
                <c:pt idx="18">
                  <c:v>17.291666666666664</c:v>
                </c:pt>
                <c:pt idx="19">
                  <c:v>18.958333333333336</c:v>
                </c:pt>
                <c:pt idx="20">
                  <c:v>26.25</c:v>
                </c:pt>
                <c:pt idx="21">
                  <c:v>23.125</c:v>
                </c:pt>
                <c:pt idx="22">
                  <c:v>22.291666666666671</c:v>
                </c:pt>
                <c:pt idx="23">
                  <c:v>22.291666666666671</c:v>
                </c:pt>
                <c:pt idx="24">
                  <c:v>19.791666666666671</c:v>
                </c:pt>
                <c:pt idx="25">
                  <c:v>15.833333333333329</c:v>
                </c:pt>
                <c:pt idx="26">
                  <c:v>15.833333333333329</c:v>
                </c:pt>
                <c:pt idx="27">
                  <c:v>15.416666666666671</c:v>
                </c:pt>
                <c:pt idx="28">
                  <c:v>14.166666666666671</c:v>
                </c:pt>
                <c:pt idx="29">
                  <c:v>16.25</c:v>
                </c:pt>
                <c:pt idx="30">
                  <c:v>20</c:v>
                </c:pt>
                <c:pt idx="31">
                  <c:v>18.75</c:v>
                </c:pt>
                <c:pt idx="32">
                  <c:v>18.75</c:v>
                </c:pt>
                <c:pt idx="33">
                  <c:v>15.416666666666671</c:v>
                </c:pt>
                <c:pt idx="34">
                  <c:v>15.416666666666671</c:v>
                </c:pt>
                <c:pt idx="35">
                  <c:v>15.833333333333329</c:v>
                </c:pt>
                <c:pt idx="36">
                  <c:v>14.583333333333329</c:v>
                </c:pt>
                <c:pt idx="37">
                  <c:v>20</c:v>
                </c:pt>
                <c:pt idx="38">
                  <c:v>19.583333333333329</c:v>
                </c:pt>
                <c:pt idx="39">
                  <c:v>19.375</c:v>
                </c:pt>
                <c:pt idx="40">
                  <c:v>21.875</c:v>
                </c:pt>
                <c:pt idx="41">
                  <c:v>24.166666666666657</c:v>
                </c:pt>
                <c:pt idx="42">
                  <c:v>27.708333333333343</c:v>
                </c:pt>
                <c:pt idx="43">
                  <c:v>38.958333333333343</c:v>
                </c:pt>
                <c:pt idx="44">
                  <c:v>38.958333333333343</c:v>
                </c:pt>
                <c:pt idx="45">
                  <c:v>35.416666666666657</c:v>
                </c:pt>
                <c:pt idx="46">
                  <c:v>31.666666666666657</c:v>
                </c:pt>
                <c:pt idx="47">
                  <c:v>32.916666666666657</c:v>
                </c:pt>
                <c:pt idx="48">
                  <c:v>31.458333333333343</c:v>
                </c:pt>
                <c:pt idx="49">
                  <c:v>36.458333333333343</c:v>
                </c:pt>
                <c:pt idx="50">
                  <c:v>36.25</c:v>
                </c:pt>
                <c:pt idx="51">
                  <c:v>36.25</c:v>
                </c:pt>
                <c:pt idx="52">
                  <c:v>35.416666666666657</c:v>
                </c:pt>
                <c:pt idx="53">
                  <c:v>35.208333333333343</c:v>
                </c:pt>
                <c:pt idx="54">
                  <c:v>33.75</c:v>
                </c:pt>
                <c:pt idx="55">
                  <c:v>34.166666666666657</c:v>
                </c:pt>
                <c:pt idx="56">
                  <c:v>33.75</c:v>
                </c:pt>
                <c:pt idx="57">
                  <c:v>32.5</c:v>
                </c:pt>
                <c:pt idx="58">
                  <c:v>32.708333333333343</c:v>
                </c:pt>
                <c:pt idx="59">
                  <c:v>40.833333333333343</c:v>
                </c:pt>
                <c:pt idx="60">
                  <c:v>45.833333333333343</c:v>
                </c:pt>
                <c:pt idx="61">
                  <c:v>45.833333333333343</c:v>
                </c:pt>
                <c:pt idx="62">
                  <c:v>46.25</c:v>
                </c:pt>
                <c:pt idx="63">
                  <c:v>45.833333333333343</c:v>
                </c:pt>
                <c:pt idx="64">
                  <c:v>29.583333333333314</c:v>
                </c:pt>
                <c:pt idx="65">
                  <c:v>24.166666666666686</c:v>
                </c:pt>
                <c:pt idx="66">
                  <c:v>23.958333333333314</c:v>
                </c:pt>
                <c:pt idx="67">
                  <c:v>22.5</c:v>
                </c:pt>
                <c:pt idx="68">
                  <c:v>18.333333333333314</c:v>
                </c:pt>
                <c:pt idx="69">
                  <c:v>6.6666666666666856</c:v>
                </c:pt>
                <c:pt idx="70">
                  <c:v>5.4166666666666856</c:v>
                </c:pt>
                <c:pt idx="71">
                  <c:v>4.1666666666666856</c:v>
                </c:pt>
                <c:pt idx="72">
                  <c:v>23.333333333333314</c:v>
                </c:pt>
                <c:pt idx="73">
                  <c:v>22.083333333333314</c:v>
                </c:pt>
                <c:pt idx="74">
                  <c:v>18.75</c:v>
                </c:pt>
                <c:pt idx="75">
                  <c:v>6.25</c:v>
                </c:pt>
              </c:numCache>
            </c:numRef>
          </c:val>
        </c:ser>
        <c:ser>
          <c:idx val="8"/>
          <c:order val="8"/>
          <c:tx>
            <c:strRef>
              <c:f>score!$AL$1</c:f>
              <c:strCache>
                <c:ptCount val="1"/>
                <c:pt idx="0">
                  <c:v>Jolanthe</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score!$AL$2:$AL$77</c:f>
              <c:numCache>
                <c:formatCode>0.0</c:formatCode>
                <c:ptCount val="76"/>
                <c:pt idx="0">
                  <c:v>-0.625</c:v>
                </c:pt>
                <c:pt idx="1">
                  <c:v>-0.41666666666666607</c:v>
                </c:pt>
                <c:pt idx="2">
                  <c:v>-1.25</c:v>
                </c:pt>
                <c:pt idx="3">
                  <c:v>-0.83333333333333393</c:v>
                </c:pt>
                <c:pt idx="4">
                  <c:v>0.41666666666666785</c:v>
                </c:pt>
                <c:pt idx="5">
                  <c:v>0.41666666666666785</c:v>
                </c:pt>
                <c:pt idx="6">
                  <c:v>-2.7083333333333321</c:v>
                </c:pt>
                <c:pt idx="7">
                  <c:v>-5.2083333333333321</c:v>
                </c:pt>
                <c:pt idx="8">
                  <c:v>1.875</c:v>
                </c:pt>
                <c:pt idx="9">
                  <c:v>1.0416666666666643</c:v>
                </c:pt>
                <c:pt idx="10">
                  <c:v>0.8333333333333357</c:v>
                </c:pt>
                <c:pt idx="11">
                  <c:v>3.9583333333333357</c:v>
                </c:pt>
                <c:pt idx="12">
                  <c:v>2.5</c:v>
                </c:pt>
                <c:pt idx="13">
                  <c:v>-1.0416666666666643</c:v>
                </c:pt>
                <c:pt idx="14">
                  <c:v>3.75</c:v>
                </c:pt>
                <c:pt idx="15">
                  <c:v>2.9166666666666643</c:v>
                </c:pt>
                <c:pt idx="16">
                  <c:v>1.6666666666666643</c:v>
                </c:pt>
                <c:pt idx="17">
                  <c:v>2.2916666666666643</c:v>
                </c:pt>
                <c:pt idx="18">
                  <c:v>2.2916666666666643</c:v>
                </c:pt>
                <c:pt idx="19">
                  <c:v>3.9583333333333357</c:v>
                </c:pt>
                <c:pt idx="20">
                  <c:v>1.25</c:v>
                </c:pt>
                <c:pt idx="21">
                  <c:v>3.125</c:v>
                </c:pt>
                <c:pt idx="22">
                  <c:v>2.2916666666666714</c:v>
                </c:pt>
                <c:pt idx="23">
                  <c:v>2.2916666666666714</c:v>
                </c:pt>
                <c:pt idx="24">
                  <c:v>-0.2083333333333286</c:v>
                </c:pt>
                <c:pt idx="25">
                  <c:v>0.8333333333333286</c:v>
                </c:pt>
                <c:pt idx="26">
                  <c:v>0.8333333333333286</c:v>
                </c:pt>
                <c:pt idx="27">
                  <c:v>0.4166666666666714</c:v>
                </c:pt>
                <c:pt idx="28">
                  <c:v>-0.8333333333333286</c:v>
                </c:pt>
                <c:pt idx="29">
                  <c:v>-3.75</c:v>
                </c:pt>
                <c:pt idx="30">
                  <c:v>-5</c:v>
                </c:pt>
                <c:pt idx="31">
                  <c:v>-6.25</c:v>
                </c:pt>
                <c:pt idx="32">
                  <c:v>-6.25</c:v>
                </c:pt>
                <c:pt idx="33">
                  <c:v>-4.5833333333333286</c:v>
                </c:pt>
                <c:pt idx="34">
                  <c:v>-4.5833333333333286</c:v>
                </c:pt>
                <c:pt idx="35">
                  <c:v>-4.1666666666666714</c:v>
                </c:pt>
                <c:pt idx="36">
                  <c:v>-5.4166666666666714</c:v>
                </c:pt>
                <c:pt idx="37">
                  <c:v>-10</c:v>
                </c:pt>
                <c:pt idx="38">
                  <c:v>-10.416666666666671</c:v>
                </c:pt>
                <c:pt idx="39">
                  <c:v>-10.625</c:v>
                </c:pt>
                <c:pt idx="40">
                  <c:v>-8.125</c:v>
                </c:pt>
                <c:pt idx="41">
                  <c:v>-5.8333333333333428</c:v>
                </c:pt>
                <c:pt idx="42">
                  <c:v>-7.2916666666666572</c:v>
                </c:pt>
                <c:pt idx="43">
                  <c:v>-6.0416666666666572</c:v>
                </c:pt>
                <c:pt idx="44">
                  <c:v>-6.0416666666666572</c:v>
                </c:pt>
                <c:pt idx="45">
                  <c:v>-4.5833333333333428</c:v>
                </c:pt>
                <c:pt idx="46">
                  <c:v>1.6666666666666572</c:v>
                </c:pt>
                <c:pt idx="47">
                  <c:v>2.9166666666666572</c:v>
                </c:pt>
                <c:pt idx="48">
                  <c:v>1.4583333333333428</c:v>
                </c:pt>
                <c:pt idx="49">
                  <c:v>6.4583333333333428</c:v>
                </c:pt>
                <c:pt idx="50">
                  <c:v>6.25</c:v>
                </c:pt>
                <c:pt idx="51">
                  <c:v>1.25</c:v>
                </c:pt>
                <c:pt idx="52">
                  <c:v>0.41666666666665719</c:v>
                </c:pt>
                <c:pt idx="53">
                  <c:v>0.20833333333334281</c:v>
                </c:pt>
                <c:pt idx="54">
                  <c:v>8.75</c:v>
                </c:pt>
                <c:pt idx="55">
                  <c:v>9.1666666666666572</c:v>
                </c:pt>
                <c:pt idx="56">
                  <c:v>8.75</c:v>
                </c:pt>
                <c:pt idx="57">
                  <c:v>7.5</c:v>
                </c:pt>
                <c:pt idx="58">
                  <c:v>7.7083333333333428</c:v>
                </c:pt>
                <c:pt idx="59">
                  <c:v>5.8333333333333428</c:v>
                </c:pt>
                <c:pt idx="60">
                  <c:v>0.83333333333334281</c:v>
                </c:pt>
                <c:pt idx="61">
                  <c:v>0.83333333333334281</c:v>
                </c:pt>
                <c:pt idx="62">
                  <c:v>6.25</c:v>
                </c:pt>
                <c:pt idx="63">
                  <c:v>5.8333333333333428</c:v>
                </c:pt>
                <c:pt idx="64">
                  <c:v>-10.416666666666686</c:v>
                </c:pt>
                <c:pt idx="65">
                  <c:v>-5.8333333333333144</c:v>
                </c:pt>
                <c:pt idx="66">
                  <c:v>-1.0416666666666856</c:v>
                </c:pt>
                <c:pt idx="67">
                  <c:v>-2.5</c:v>
                </c:pt>
                <c:pt idx="68">
                  <c:v>3.3333333333333144</c:v>
                </c:pt>
                <c:pt idx="69">
                  <c:v>11.666666666666686</c:v>
                </c:pt>
                <c:pt idx="70">
                  <c:v>10.416666666666686</c:v>
                </c:pt>
                <c:pt idx="71">
                  <c:v>9.1666666666666856</c:v>
                </c:pt>
                <c:pt idx="72">
                  <c:v>3.3333333333333144</c:v>
                </c:pt>
                <c:pt idx="73">
                  <c:v>2.0833333333333144</c:v>
                </c:pt>
                <c:pt idx="74">
                  <c:v>-1.25</c:v>
                </c:pt>
                <c:pt idx="75">
                  <c:v>-13.75</c:v>
                </c:pt>
              </c:numCache>
            </c:numRef>
          </c:val>
        </c:ser>
        <c:ser>
          <c:idx val="9"/>
          <c:order val="9"/>
          <c:tx>
            <c:strRef>
              <c:f>score!$AM$1</c:f>
              <c:strCache>
                <c:ptCount val="1"/>
                <c:pt idx="0">
                  <c:v>Ellen</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score!$AM$2:$AM$77</c:f>
              <c:numCache>
                <c:formatCode>0.0</c:formatCode>
                <c:ptCount val="76"/>
                <c:pt idx="0">
                  <c:v>-0.625</c:v>
                </c:pt>
                <c:pt idx="1">
                  <c:v>-0.41666666666666607</c:v>
                </c:pt>
                <c:pt idx="2">
                  <c:v>-1.25</c:v>
                </c:pt>
                <c:pt idx="3">
                  <c:v>-0.83333333333333393</c:v>
                </c:pt>
                <c:pt idx="4">
                  <c:v>0.41666666666666785</c:v>
                </c:pt>
                <c:pt idx="5">
                  <c:v>0.41666666666666785</c:v>
                </c:pt>
                <c:pt idx="6">
                  <c:v>2.2916666666666679</c:v>
                </c:pt>
                <c:pt idx="7">
                  <c:v>-0.20833333333333215</c:v>
                </c:pt>
                <c:pt idx="8">
                  <c:v>-3.125</c:v>
                </c:pt>
                <c:pt idx="9">
                  <c:v>-3.9583333333333357</c:v>
                </c:pt>
                <c:pt idx="10">
                  <c:v>-4.1666666666666643</c:v>
                </c:pt>
                <c:pt idx="11">
                  <c:v>-6.0416666666666643</c:v>
                </c:pt>
                <c:pt idx="12">
                  <c:v>-7.5</c:v>
                </c:pt>
                <c:pt idx="13">
                  <c:v>-1.0416666666666643</c:v>
                </c:pt>
                <c:pt idx="14">
                  <c:v>-1.25</c:v>
                </c:pt>
                <c:pt idx="15">
                  <c:v>2.9166666666666643</c:v>
                </c:pt>
                <c:pt idx="16">
                  <c:v>1.6666666666666643</c:v>
                </c:pt>
                <c:pt idx="17">
                  <c:v>-2.7083333333333357</c:v>
                </c:pt>
                <c:pt idx="18">
                  <c:v>-2.7083333333333357</c:v>
                </c:pt>
                <c:pt idx="19">
                  <c:v>-6.0416666666666643</c:v>
                </c:pt>
                <c:pt idx="20">
                  <c:v>-3.75</c:v>
                </c:pt>
                <c:pt idx="21">
                  <c:v>-1.875</c:v>
                </c:pt>
                <c:pt idx="22">
                  <c:v>-2.7083333333333286</c:v>
                </c:pt>
                <c:pt idx="23">
                  <c:v>-2.7083333333333286</c:v>
                </c:pt>
                <c:pt idx="24">
                  <c:v>-0.2083333333333286</c:v>
                </c:pt>
                <c:pt idx="25">
                  <c:v>-4.1666666666666714</c:v>
                </c:pt>
                <c:pt idx="26">
                  <c:v>-4.1666666666666714</c:v>
                </c:pt>
                <c:pt idx="27">
                  <c:v>-4.5833333333333286</c:v>
                </c:pt>
                <c:pt idx="28">
                  <c:v>-5.8333333333333286</c:v>
                </c:pt>
                <c:pt idx="29">
                  <c:v>-3.75</c:v>
                </c:pt>
                <c:pt idx="30">
                  <c:v>-5</c:v>
                </c:pt>
                <c:pt idx="31">
                  <c:v>-6.25</c:v>
                </c:pt>
                <c:pt idx="32">
                  <c:v>-1.25</c:v>
                </c:pt>
                <c:pt idx="33">
                  <c:v>-4.5833333333333286</c:v>
                </c:pt>
                <c:pt idx="34">
                  <c:v>-4.5833333333333286</c:v>
                </c:pt>
                <c:pt idx="35">
                  <c:v>-4.1666666666666714</c:v>
                </c:pt>
                <c:pt idx="36">
                  <c:v>-0.4166666666666714</c:v>
                </c:pt>
                <c:pt idx="37">
                  <c:v>5</c:v>
                </c:pt>
                <c:pt idx="38">
                  <c:v>4.5833333333333286</c:v>
                </c:pt>
                <c:pt idx="39">
                  <c:v>4.375</c:v>
                </c:pt>
                <c:pt idx="40">
                  <c:v>6.875</c:v>
                </c:pt>
                <c:pt idx="41">
                  <c:v>9.1666666666666572</c:v>
                </c:pt>
                <c:pt idx="42">
                  <c:v>7.7083333333333428</c:v>
                </c:pt>
                <c:pt idx="43">
                  <c:v>8.9583333333333428</c:v>
                </c:pt>
                <c:pt idx="44">
                  <c:v>8.9583333333333428</c:v>
                </c:pt>
                <c:pt idx="45">
                  <c:v>10.416666666666657</c:v>
                </c:pt>
                <c:pt idx="46">
                  <c:v>6.6666666666666572</c:v>
                </c:pt>
                <c:pt idx="47">
                  <c:v>7.9166666666666572</c:v>
                </c:pt>
                <c:pt idx="48">
                  <c:v>6.4583333333333428</c:v>
                </c:pt>
                <c:pt idx="49">
                  <c:v>1.4583333333333428</c:v>
                </c:pt>
                <c:pt idx="50">
                  <c:v>1.25</c:v>
                </c:pt>
                <c:pt idx="51">
                  <c:v>1.25</c:v>
                </c:pt>
                <c:pt idx="52">
                  <c:v>0.41666666666665719</c:v>
                </c:pt>
                <c:pt idx="53">
                  <c:v>0.20833333333334281</c:v>
                </c:pt>
                <c:pt idx="54">
                  <c:v>-1.25</c:v>
                </c:pt>
                <c:pt idx="55">
                  <c:v>-0.83333333333334281</c:v>
                </c:pt>
                <c:pt idx="56">
                  <c:v>-1.25</c:v>
                </c:pt>
                <c:pt idx="57">
                  <c:v>-2.5</c:v>
                </c:pt>
                <c:pt idx="58">
                  <c:v>-7.2916666666666572</c:v>
                </c:pt>
                <c:pt idx="59">
                  <c:v>-9.1666666666666572</c:v>
                </c:pt>
                <c:pt idx="60">
                  <c:v>-9.1666666666666572</c:v>
                </c:pt>
                <c:pt idx="61">
                  <c:v>-14.166666666666657</c:v>
                </c:pt>
                <c:pt idx="62">
                  <c:v>-13.75</c:v>
                </c:pt>
                <c:pt idx="63">
                  <c:v>-14.166666666666657</c:v>
                </c:pt>
                <c:pt idx="64">
                  <c:v>-15.416666666666686</c:v>
                </c:pt>
                <c:pt idx="65">
                  <c:v>-20.833333333333314</c:v>
                </c:pt>
                <c:pt idx="66">
                  <c:v>-21.041666666666686</c:v>
                </c:pt>
                <c:pt idx="67">
                  <c:v>-17.5</c:v>
                </c:pt>
                <c:pt idx="68">
                  <c:v>-21.666666666666686</c:v>
                </c:pt>
                <c:pt idx="69">
                  <c:v>-53.333333333333314</c:v>
                </c:pt>
                <c:pt idx="70">
                  <c:v>-49.583333333333314</c:v>
                </c:pt>
                <c:pt idx="71">
                  <c:v>-45.833333333333314</c:v>
                </c:pt>
                <c:pt idx="72">
                  <c:v>-51.666666666666686</c:v>
                </c:pt>
                <c:pt idx="73">
                  <c:v>-47.916666666666686</c:v>
                </c:pt>
                <c:pt idx="74">
                  <c:v>-51.25</c:v>
                </c:pt>
                <c:pt idx="75">
                  <c:v>-13.75</c:v>
                </c:pt>
              </c:numCache>
            </c:numRef>
          </c:val>
        </c:ser>
        <c:ser>
          <c:idx val="10"/>
          <c:order val="10"/>
          <c:tx>
            <c:strRef>
              <c:f>score!$AN$1</c:f>
              <c:strCache>
                <c:ptCount val="1"/>
                <c:pt idx="0">
                  <c:v>Lothar</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score!$AN$2:$AN$77</c:f>
              <c:numCache>
                <c:formatCode>0.0</c:formatCode>
                <c:ptCount val="76"/>
                <c:pt idx="0">
                  <c:v>-0.625</c:v>
                </c:pt>
                <c:pt idx="1">
                  <c:v>-0.41666666666666607</c:v>
                </c:pt>
                <c:pt idx="2">
                  <c:v>-1.25</c:v>
                </c:pt>
                <c:pt idx="3">
                  <c:v>-0.83333333333333393</c:v>
                </c:pt>
                <c:pt idx="4">
                  <c:v>-4.5833333333333321</c:v>
                </c:pt>
                <c:pt idx="5">
                  <c:v>-4.5833333333333321</c:v>
                </c:pt>
                <c:pt idx="6">
                  <c:v>2.2916666666666679</c:v>
                </c:pt>
                <c:pt idx="7">
                  <c:v>-0.20833333333333215</c:v>
                </c:pt>
                <c:pt idx="8">
                  <c:v>1.875</c:v>
                </c:pt>
                <c:pt idx="9">
                  <c:v>6.0416666666666643</c:v>
                </c:pt>
                <c:pt idx="10">
                  <c:v>0.8333333333333357</c:v>
                </c:pt>
                <c:pt idx="11">
                  <c:v>-1.0416666666666643</c:v>
                </c:pt>
                <c:pt idx="12">
                  <c:v>-2.5</c:v>
                </c:pt>
                <c:pt idx="13">
                  <c:v>-6.0416666666666643</c:v>
                </c:pt>
                <c:pt idx="14">
                  <c:v>-6.25</c:v>
                </c:pt>
                <c:pt idx="15">
                  <c:v>-2.0833333333333357</c:v>
                </c:pt>
                <c:pt idx="16">
                  <c:v>-3.3333333333333357</c:v>
                </c:pt>
                <c:pt idx="17">
                  <c:v>-2.7083333333333357</c:v>
                </c:pt>
                <c:pt idx="18">
                  <c:v>-2.7083333333333357</c:v>
                </c:pt>
                <c:pt idx="19">
                  <c:v>-6.0416666666666643</c:v>
                </c:pt>
                <c:pt idx="20">
                  <c:v>-3.75</c:v>
                </c:pt>
                <c:pt idx="21">
                  <c:v>-6.875</c:v>
                </c:pt>
                <c:pt idx="22">
                  <c:v>-7.7083333333333286</c:v>
                </c:pt>
                <c:pt idx="23">
                  <c:v>-7.7083333333333286</c:v>
                </c:pt>
                <c:pt idx="24">
                  <c:v>-10.208333333333329</c:v>
                </c:pt>
                <c:pt idx="25">
                  <c:v>-14.166666666666671</c:v>
                </c:pt>
                <c:pt idx="26">
                  <c:v>-14.166666666666671</c:v>
                </c:pt>
                <c:pt idx="27">
                  <c:v>-14.583333333333329</c:v>
                </c:pt>
                <c:pt idx="28">
                  <c:v>-15.833333333333329</c:v>
                </c:pt>
                <c:pt idx="29">
                  <c:v>-18.75</c:v>
                </c:pt>
                <c:pt idx="30">
                  <c:v>-20</c:v>
                </c:pt>
                <c:pt idx="31">
                  <c:v>-21.25</c:v>
                </c:pt>
                <c:pt idx="32">
                  <c:v>-21.25</c:v>
                </c:pt>
                <c:pt idx="33">
                  <c:v>-19.583333333333329</c:v>
                </c:pt>
                <c:pt idx="34">
                  <c:v>-19.583333333333329</c:v>
                </c:pt>
                <c:pt idx="35">
                  <c:v>-19.166666666666671</c:v>
                </c:pt>
                <c:pt idx="36">
                  <c:v>-15.416666666666671</c:v>
                </c:pt>
                <c:pt idx="37">
                  <c:v>-10</c:v>
                </c:pt>
                <c:pt idx="38">
                  <c:v>-10.416666666666671</c:v>
                </c:pt>
                <c:pt idx="39">
                  <c:v>-10.625</c:v>
                </c:pt>
                <c:pt idx="40">
                  <c:v>-8.125</c:v>
                </c:pt>
                <c:pt idx="41">
                  <c:v>-10.833333333333343</c:v>
                </c:pt>
                <c:pt idx="42">
                  <c:v>-7.2916666666666572</c:v>
                </c:pt>
                <c:pt idx="43">
                  <c:v>-6.0416666666666572</c:v>
                </c:pt>
                <c:pt idx="44">
                  <c:v>-6.0416666666666572</c:v>
                </c:pt>
                <c:pt idx="45">
                  <c:v>-4.5833333333333428</c:v>
                </c:pt>
                <c:pt idx="46">
                  <c:v>-8.3333333333333428</c:v>
                </c:pt>
                <c:pt idx="47">
                  <c:v>-7.0833333333333428</c:v>
                </c:pt>
                <c:pt idx="48">
                  <c:v>-8.5416666666666572</c:v>
                </c:pt>
                <c:pt idx="49">
                  <c:v>-3.5416666666666572</c:v>
                </c:pt>
                <c:pt idx="50">
                  <c:v>-3.75</c:v>
                </c:pt>
                <c:pt idx="51">
                  <c:v>1.25</c:v>
                </c:pt>
                <c:pt idx="52">
                  <c:v>0.41666666666665719</c:v>
                </c:pt>
                <c:pt idx="53">
                  <c:v>5.2083333333333428</c:v>
                </c:pt>
                <c:pt idx="54">
                  <c:v>3.75</c:v>
                </c:pt>
                <c:pt idx="55">
                  <c:v>4.1666666666666572</c:v>
                </c:pt>
                <c:pt idx="56">
                  <c:v>3.75</c:v>
                </c:pt>
                <c:pt idx="57">
                  <c:v>7.5</c:v>
                </c:pt>
                <c:pt idx="58">
                  <c:v>7.7083333333333428</c:v>
                </c:pt>
                <c:pt idx="59">
                  <c:v>5.8333333333333428</c:v>
                </c:pt>
                <c:pt idx="60">
                  <c:v>5.8333333333333428</c:v>
                </c:pt>
                <c:pt idx="61">
                  <c:v>10.833333333333343</c:v>
                </c:pt>
                <c:pt idx="62">
                  <c:v>11.25</c:v>
                </c:pt>
                <c:pt idx="63">
                  <c:v>10.833333333333343</c:v>
                </c:pt>
                <c:pt idx="64">
                  <c:v>24.583333333333314</c:v>
                </c:pt>
                <c:pt idx="65">
                  <c:v>29.166666666666686</c:v>
                </c:pt>
                <c:pt idx="66">
                  <c:v>23.958333333333314</c:v>
                </c:pt>
                <c:pt idx="67">
                  <c:v>22.5</c:v>
                </c:pt>
                <c:pt idx="68">
                  <c:v>23.333333333333314</c:v>
                </c:pt>
                <c:pt idx="69">
                  <c:v>11.666666666666686</c:v>
                </c:pt>
                <c:pt idx="70">
                  <c:v>10.416666666666686</c:v>
                </c:pt>
                <c:pt idx="71">
                  <c:v>14.166666666666686</c:v>
                </c:pt>
                <c:pt idx="72">
                  <c:v>8.3333333333333144</c:v>
                </c:pt>
                <c:pt idx="73">
                  <c:v>7.0833333333333144</c:v>
                </c:pt>
                <c:pt idx="74">
                  <c:v>3.75</c:v>
                </c:pt>
                <c:pt idx="75">
                  <c:v>-8.75</c:v>
                </c:pt>
              </c:numCache>
            </c:numRef>
          </c:val>
        </c:ser>
        <c:ser>
          <c:idx val="11"/>
          <c:order val="11"/>
          <c:tx>
            <c:strRef>
              <c:f>score!$AO$1</c:f>
              <c:strCache>
                <c:ptCount val="1"/>
                <c:pt idx="0">
                  <c:v>Angele</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score!$AO$2:$AO$77</c:f>
              <c:numCache>
                <c:formatCode>0.0</c:formatCode>
                <c:ptCount val="76"/>
                <c:pt idx="0">
                  <c:v>4.375</c:v>
                </c:pt>
                <c:pt idx="1">
                  <c:v>-0.41666666666666607</c:v>
                </c:pt>
                <c:pt idx="2">
                  <c:v>-1.25</c:v>
                </c:pt>
                <c:pt idx="3">
                  <c:v>-0.83333333333333393</c:v>
                </c:pt>
                <c:pt idx="4">
                  <c:v>0.41666666666666785</c:v>
                </c:pt>
                <c:pt idx="5">
                  <c:v>0.41666666666666785</c:v>
                </c:pt>
                <c:pt idx="6">
                  <c:v>-2.7083333333333321</c:v>
                </c:pt>
                <c:pt idx="7">
                  <c:v>-5.2083333333333321</c:v>
                </c:pt>
                <c:pt idx="8">
                  <c:v>-8.125</c:v>
                </c:pt>
                <c:pt idx="9">
                  <c:v>-8.9583333333333357</c:v>
                </c:pt>
                <c:pt idx="10">
                  <c:v>-9.1666666666666643</c:v>
                </c:pt>
                <c:pt idx="11">
                  <c:v>-11.041666666666664</c:v>
                </c:pt>
                <c:pt idx="12">
                  <c:v>-12.5</c:v>
                </c:pt>
                <c:pt idx="13">
                  <c:v>-11.041666666666664</c:v>
                </c:pt>
                <c:pt idx="14">
                  <c:v>-6.25</c:v>
                </c:pt>
                <c:pt idx="15">
                  <c:v>-7.0833333333333357</c:v>
                </c:pt>
                <c:pt idx="16">
                  <c:v>-8.3333333333333357</c:v>
                </c:pt>
                <c:pt idx="17">
                  <c:v>-7.7083333333333357</c:v>
                </c:pt>
                <c:pt idx="18">
                  <c:v>-7.7083333333333357</c:v>
                </c:pt>
                <c:pt idx="19">
                  <c:v>-11.041666666666664</c:v>
                </c:pt>
                <c:pt idx="20">
                  <c:v>-8.75</c:v>
                </c:pt>
                <c:pt idx="21">
                  <c:v>-6.875</c:v>
                </c:pt>
                <c:pt idx="22">
                  <c:v>-7.7083333333333286</c:v>
                </c:pt>
                <c:pt idx="23">
                  <c:v>-7.7083333333333286</c:v>
                </c:pt>
                <c:pt idx="24">
                  <c:v>-5.2083333333333286</c:v>
                </c:pt>
                <c:pt idx="25">
                  <c:v>-4.1666666666666714</c:v>
                </c:pt>
                <c:pt idx="26">
                  <c:v>-4.1666666666666714</c:v>
                </c:pt>
                <c:pt idx="27">
                  <c:v>-4.5833333333333286</c:v>
                </c:pt>
                <c:pt idx="28">
                  <c:v>-5.8333333333333286</c:v>
                </c:pt>
                <c:pt idx="29">
                  <c:v>-3.75</c:v>
                </c:pt>
                <c:pt idx="30">
                  <c:v>0</c:v>
                </c:pt>
                <c:pt idx="31">
                  <c:v>-1.25</c:v>
                </c:pt>
                <c:pt idx="32">
                  <c:v>-1.25</c:v>
                </c:pt>
                <c:pt idx="33">
                  <c:v>-4.5833333333333286</c:v>
                </c:pt>
                <c:pt idx="34">
                  <c:v>-4.5833333333333286</c:v>
                </c:pt>
                <c:pt idx="35">
                  <c:v>-4.1666666666666714</c:v>
                </c:pt>
                <c:pt idx="36">
                  <c:v>-5.4166666666666714</c:v>
                </c:pt>
                <c:pt idx="37">
                  <c:v>-10</c:v>
                </c:pt>
                <c:pt idx="38">
                  <c:v>-5.4166666666666714</c:v>
                </c:pt>
                <c:pt idx="39">
                  <c:v>-5.625</c:v>
                </c:pt>
                <c:pt idx="40">
                  <c:v>-3.125</c:v>
                </c:pt>
                <c:pt idx="41">
                  <c:v>-5.8333333333333428</c:v>
                </c:pt>
                <c:pt idx="42">
                  <c:v>-7.2916666666666572</c:v>
                </c:pt>
                <c:pt idx="43">
                  <c:v>-6.0416666666666572</c:v>
                </c:pt>
                <c:pt idx="44">
                  <c:v>-6.0416666666666572</c:v>
                </c:pt>
                <c:pt idx="45">
                  <c:v>-4.5833333333333428</c:v>
                </c:pt>
                <c:pt idx="46">
                  <c:v>-8.3333333333333428</c:v>
                </c:pt>
                <c:pt idx="47">
                  <c:v>-7.0833333333333428</c:v>
                </c:pt>
                <c:pt idx="48">
                  <c:v>-8.5416666666666572</c:v>
                </c:pt>
                <c:pt idx="49">
                  <c:v>-13.541666666666657</c:v>
                </c:pt>
                <c:pt idx="50">
                  <c:v>-8.75</c:v>
                </c:pt>
                <c:pt idx="51">
                  <c:v>-8.75</c:v>
                </c:pt>
                <c:pt idx="52">
                  <c:v>-9.5833333333333428</c:v>
                </c:pt>
                <c:pt idx="53">
                  <c:v>-4.7916666666666572</c:v>
                </c:pt>
                <c:pt idx="54">
                  <c:v>-1.25</c:v>
                </c:pt>
                <c:pt idx="55">
                  <c:v>9.1666666666666572</c:v>
                </c:pt>
                <c:pt idx="56">
                  <c:v>8.75</c:v>
                </c:pt>
                <c:pt idx="57">
                  <c:v>12.5</c:v>
                </c:pt>
                <c:pt idx="58">
                  <c:v>12.708333333333343</c:v>
                </c:pt>
                <c:pt idx="59">
                  <c:v>10.833333333333343</c:v>
                </c:pt>
                <c:pt idx="60">
                  <c:v>15.833333333333343</c:v>
                </c:pt>
                <c:pt idx="61">
                  <c:v>15.833333333333343</c:v>
                </c:pt>
                <c:pt idx="62">
                  <c:v>16.25</c:v>
                </c:pt>
                <c:pt idx="63">
                  <c:v>15.833333333333343</c:v>
                </c:pt>
                <c:pt idx="64">
                  <c:v>44.583333333333314</c:v>
                </c:pt>
                <c:pt idx="65">
                  <c:v>44.166666666666686</c:v>
                </c:pt>
                <c:pt idx="66">
                  <c:v>48.958333333333314</c:v>
                </c:pt>
                <c:pt idx="67">
                  <c:v>47.5</c:v>
                </c:pt>
                <c:pt idx="68">
                  <c:v>43.333333333333314</c:v>
                </c:pt>
                <c:pt idx="69">
                  <c:v>51.666666666666686</c:v>
                </c:pt>
                <c:pt idx="70">
                  <c:v>50.416666666666686</c:v>
                </c:pt>
                <c:pt idx="71">
                  <c:v>49.166666666666686</c:v>
                </c:pt>
                <c:pt idx="72">
                  <c:v>13.333333333333314</c:v>
                </c:pt>
                <c:pt idx="73">
                  <c:v>12.083333333333314</c:v>
                </c:pt>
                <c:pt idx="74">
                  <c:v>8.75</c:v>
                </c:pt>
                <c:pt idx="75">
                  <c:v>-3.75</c:v>
                </c:pt>
              </c:numCache>
            </c:numRef>
          </c:val>
        </c:ser>
        <c:ser>
          <c:idx val="12"/>
          <c:order val="12"/>
          <c:tx>
            <c:strRef>
              <c:f>score!$AP$1</c:f>
              <c:strCache>
                <c:ptCount val="1"/>
                <c:pt idx="0">
                  <c:v>Linda</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score!$AP$2:$AP$77</c:f>
              <c:numCache>
                <c:formatCode>0.0</c:formatCode>
                <c:ptCount val="76"/>
                <c:pt idx="0">
                  <c:v>4.375</c:v>
                </c:pt>
                <c:pt idx="1">
                  <c:v>-0.41666666666666607</c:v>
                </c:pt>
                <c:pt idx="2">
                  <c:v>-1.25</c:v>
                </c:pt>
                <c:pt idx="3">
                  <c:v>-0.83333333333333393</c:v>
                </c:pt>
                <c:pt idx="4">
                  <c:v>0.41666666666666785</c:v>
                </c:pt>
                <c:pt idx="5">
                  <c:v>0.41666666666666785</c:v>
                </c:pt>
                <c:pt idx="6">
                  <c:v>-2.7083333333333321</c:v>
                </c:pt>
                <c:pt idx="7">
                  <c:v>-5.2083333333333321</c:v>
                </c:pt>
                <c:pt idx="8">
                  <c:v>-8.125</c:v>
                </c:pt>
                <c:pt idx="9">
                  <c:v>-8.9583333333333357</c:v>
                </c:pt>
                <c:pt idx="10">
                  <c:v>-9.1666666666666643</c:v>
                </c:pt>
                <c:pt idx="11">
                  <c:v>-11.041666666666664</c:v>
                </c:pt>
                <c:pt idx="12">
                  <c:v>-12.5</c:v>
                </c:pt>
                <c:pt idx="13">
                  <c:v>-11.041666666666664</c:v>
                </c:pt>
                <c:pt idx="14">
                  <c:v>-6.25</c:v>
                </c:pt>
                <c:pt idx="15">
                  <c:v>-7.0833333333333357</c:v>
                </c:pt>
                <c:pt idx="16">
                  <c:v>-8.3333333333333357</c:v>
                </c:pt>
                <c:pt idx="17">
                  <c:v>-7.7083333333333357</c:v>
                </c:pt>
                <c:pt idx="18">
                  <c:v>-7.7083333333333357</c:v>
                </c:pt>
                <c:pt idx="19">
                  <c:v>-11.041666666666664</c:v>
                </c:pt>
                <c:pt idx="20">
                  <c:v>-8.75</c:v>
                </c:pt>
                <c:pt idx="21">
                  <c:v>-6.875</c:v>
                </c:pt>
                <c:pt idx="22">
                  <c:v>-7.7083333333333286</c:v>
                </c:pt>
                <c:pt idx="23">
                  <c:v>-7.7083333333333286</c:v>
                </c:pt>
                <c:pt idx="24">
                  <c:v>-5.2083333333333286</c:v>
                </c:pt>
                <c:pt idx="25">
                  <c:v>-4.1666666666666714</c:v>
                </c:pt>
                <c:pt idx="26">
                  <c:v>-4.1666666666666714</c:v>
                </c:pt>
                <c:pt idx="27">
                  <c:v>-4.5833333333333286</c:v>
                </c:pt>
                <c:pt idx="28">
                  <c:v>-5.8333333333333286</c:v>
                </c:pt>
                <c:pt idx="29">
                  <c:v>-3.75</c:v>
                </c:pt>
                <c:pt idx="30">
                  <c:v>0</c:v>
                </c:pt>
                <c:pt idx="31">
                  <c:v>-1.25</c:v>
                </c:pt>
                <c:pt idx="32">
                  <c:v>-1.25</c:v>
                </c:pt>
                <c:pt idx="33">
                  <c:v>-4.5833333333333286</c:v>
                </c:pt>
                <c:pt idx="34">
                  <c:v>-4.5833333333333286</c:v>
                </c:pt>
                <c:pt idx="35">
                  <c:v>-4.1666666666666714</c:v>
                </c:pt>
                <c:pt idx="36">
                  <c:v>-5.4166666666666714</c:v>
                </c:pt>
                <c:pt idx="37">
                  <c:v>-10</c:v>
                </c:pt>
                <c:pt idx="38">
                  <c:v>-5.4166666666666714</c:v>
                </c:pt>
                <c:pt idx="39">
                  <c:v>-5.625</c:v>
                </c:pt>
                <c:pt idx="40">
                  <c:v>-3.125</c:v>
                </c:pt>
                <c:pt idx="41">
                  <c:v>-5.8333333333333428</c:v>
                </c:pt>
                <c:pt idx="42">
                  <c:v>-7.2916666666666572</c:v>
                </c:pt>
                <c:pt idx="43">
                  <c:v>-6.0416666666666572</c:v>
                </c:pt>
                <c:pt idx="44">
                  <c:v>-6.0416666666666572</c:v>
                </c:pt>
                <c:pt idx="45">
                  <c:v>-4.5833333333333428</c:v>
                </c:pt>
                <c:pt idx="46">
                  <c:v>-8.3333333333333428</c:v>
                </c:pt>
                <c:pt idx="47">
                  <c:v>-7.0833333333333428</c:v>
                </c:pt>
                <c:pt idx="48">
                  <c:v>-8.5416666666666572</c:v>
                </c:pt>
                <c:pt idx="49">
                  <c:v>-13.541666666666657</c:v>
                </c:pt>
                <c:pt idx="50">
                  <c:v>-8.75</c:v>
                </c:pt>
                <c:pt idx="51">
                  <c:v>-8.75</c:v>
                </c:pt>
                <c:pt idx="52">
                  <c:v>-9.5833333333333428</c:v>
                </c:pt>
                <c:pt idx="53">
                  <c:v>-4.7916666666666572</c:v>
                </c:pt>
                <c:pt idx="54">
                  <c:v>-1.25</c:v>
                </c:pt>
                <c:pt idx="55">
                  <c:v>9.1666666666666572</c:v>
                </c:pt>
                <c:pt idx="56">
                  <c:v>8.75</c:v>
                </c:pt>
                <c:pt idx="57">
                  <c:v>12.5</c:v>
                </c:pt>
                <c:pt idx="58">
                  <c:v>12.708333333333343</c:v>
                </c:pt>
                <c:pt idx="59">
                  <c:v>10.833333333333343</c:v>
                </c:pt>
                <c:pt idx="60">
                  <c:v>15.833333333333343</c:v>
                </c:pt>
                <c:pt idx="61">
                  <c:v>15.833333333333343</c:v>
                </c:pt>
                <c:pt idx="62">
                  <c:v>16.25</c:v>
                </c:pt>
                <c:pt idx="63">
                  <c:v>15.833333333333343</c:v>
                </c:pt>
                <c:pt idx="64">
                  <c:v>44.583333333333314</c:v>
                </c:pt>
                <c:pt idx="65">
                  <c:v>44.166666666666686</c:v>
                </c:pt>
                <c:pt idx="66">
                  <c:v>48.958333333333314</c:v>
                </c:pt>
                <c:pt idx="67">
                  <c:v>47.5</c:v>
                </c:pt>
                <c:pt idx="68">
                  <c:v>43.333333333333314</c:v>
                </c:pt>
                <c:pt idx="69">
                  <c:v>51.666666666666686</c:v>
                </c:pt>
                <c:pt idx="70">
                  <c:v>50.416666666666686</c:v>
                </c:pt>
                <c:pt idx="71">
                  <c:v>49.166666666666686</c:v>
                </c:pt>
                <c:pt idx="72">
                  <c:v>13.333333333333314</c:v>
                </c:pt>
                <c:pt idx="73">
                  <c:v>12.083333333333314</c:v>
                </c:pt>
                <c:pt idx="74">
                  <c:v>8.75</c:v>
                </c:pt>
                <c:pt idx="75">
                  <c:v>-3.75</c:v>
                </c:pt>
              </c:numCache>
            </c:numRef>
          </c:val>
        </c:ser>
        <c:ser>
          <c:idx val="13"/>
          <c:order val="13"/>
          <c:tx>
            <c:strRef>
              <c:f>score!$AQ$1</c:f>
              <c:strCache>
                <c:ptCount val="1"/>
                <c:pt idx="0">
                  <c:v>Frank</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score!$AQ$2:$AQ$77</c:f>
              <c:numCache>
                <c:formatCode>0.0</c:formatCode>
                <c:ptCount val="76"/>
                <c:pt idx="0">
                  <c:v>-0.625</c:v>
                </c:pt>
                <c:pt idx="1">
                  <c:v>-0.41666666666666607</c:v>
                </c:pt>
                <c:pt idx="2">
                  <c:v>-1.25</c:v>
                </c:pt>
                <c:pt idx="3">
                  <c:v>-0.83333333333333393</c:v>
                </c:pt>
                <c:pt idx="4">
                  <c:v>-4.5833333333333321</c:v>
                </c:pt>
                <c:pt idx="5">
                  <c:v>-4.5833333333333321</c:v>
                </c:pt>
                <c:pt idx="6">
                  <c:v>-7.7083333333333321</c:v>
                </c:pt>
                <c:pt idx="7">
                  <c:v>-10.208333333333332</c:v>
                </c:pt>
                <c:pt idx="8">
                  <c:v>-13.125</c:v>
                </c:pt>
                <c:pt idx="9">
                  <c:v>-13.958333333333336</c:v>
                </c:pt>
                <c:pt idx="10">
                  <c:v>-9.1666666666666643</c:v>
                </c:pt>
                <c:pt idx="11">
                  <c:v>-11.041666666666664</c:v>
                </c:pt>
                <c:pt idx="12">
                  <c:v>-12.5</c:v>
                </c:pt>
                <c:pt idx="13">
                  <c:v>-16.041666666666664</c:v>
                </c:pt>
                <c:pt idx="14">
                  <c:v>-16.25</c:v>
                </c:pt>
                <c:pt idx="15">
                  <c:v>-12.083333333333336</c:v>
                </c:pt>
                <c:pt idx="16">
                  <c:v>-13.333333333333336</c:v>
                </c:pt>
                <c:pt idx="17">
                  <c:v>-17.708333333333336</c:v>
                </c:pt>
                <c:pt idx="18">
                  <c:v>-17.708333333333336</c:v>
                </c:pt>
                <c:pt idx="19">
                  <c:v>-16.041666666666664</c:v>
                </c:pt>
                <c:pt idx="20">
                  <c:v>-18.75</c:v>
                </c:pt>
                <c:pt idx="21">
                  <c:v>-16.875</c:v>
                </c:pt>
                <c:pt idx="22">
                  <c:v>-17.708333333333329</c:v>
                </c:pt>
                <c:pt idx="23">
                  <c:v>-17.708333333333329</c:v>
                </c:pt>
                <c:pt idx="24">
                  <c:v>-15.208333333333329</c:v>
                </c:pt>
                <c:pt idx="25">
                  <c:v>-14.166666666666671</c:v>
                </c:pt>
                <c:pt idx="26">
                  <c:v>-14.166666666666671</c:v>
                </c:pt>
                <c:pt idx="27">
                  <c:v>-14.583333333333329</c:v>
                </c:pt>
                <c:pt idx="28">
                  <c:v>-15.833333333333329</c:v>
                </c:pt>
                <c:pt idx="29">
                  <c:v>-18.75</c:v>
                </c:pt>
                <c:pt idx="30">
                  <c:v>-20</c:v>
                </c:pt>
                <c:pt idx="31">
                  <c:v>-16.25</c:v>
                </c:pt>
                <c:pt idx="32">
                  <c:v>-16.25</c:v>
                </c:pt>
                <c:pt idx="33">
                  <c:v>-19.583333333333329</c:v>
                </c:pt>
                <c:pt idx="34">
                  <c:v>-19.583333333333329</c:v>
                </c:pt>
                <c:pt idx="35">
                  <c:v>-19.166666666666671</c:v>
                </c:pt>
                <c:pt idx="36">
                  <c:v>-20.416666666666671</c:v>
                </c:pt>
                <c:pt idx="37">
                  <c:v>-15</c:v>
                </c:pt>
                <c:pt idx="38">
                  <c:v>-15.416666666666671</c:v>
                </c:pt>
                <c:pt idx="39">
                  <c:v>-15.625</c:v>
                </c:pt>
                <c:pt idx="40">
                  <c:v>-13.125</c:v>
                </c:pt>
                <c:pt idx="41">
                  <c:v>-15.833333333333343</c:v>
                </c:pt>
                <c:pt idx="42">
                  <c:v>-17.291666666666657</c:v>
                </c:pt>
                <c:pt idx="43">
                  <c:v>-16.041666666666657</c:v>
                </c:pt>
                <c:pt idx="44">
                  <c:v>-16.041666666666657</c:v>
                </c:pt>
                <c:pt idx="45">
                  <c:v>-14.583333333333343</c:v>
                </c:pt>
                <c:pt idx="46">
                  <c:v>-18.333333333333343</c:v>
                </c:pt>
                <c:pt idx="47">
                  <c:v>-17.083333333333343</c:v>
                </c:pt>
                <c:pt idx="48">
                  <c:v>-18.541666666666657</c:v>
                </c:pt>
                <c:pt idx="49">
                  <c:v>-13.541666666666657</c:v>
                </c:pt>
                <c:pt idx="50">
                  <c:v>-13.75</c:v>
                </c:pt>
                <c:pt idx="51">
                  <c:v>-13.75</c:v>
                </c:pt>
                <c:pt idx="52">
                  <c:v>-14.583333333333343</c:v>
                </c:pt>
                <c:pt idx="53">
                  <c:v>-14.791666666666657</c:v>
                </c:pt>
                <c:pt idx="54">
                  <c:v>-6.25</c:v>
                </c:pt>
                <c:pt idx="55">
                  <c:v>-5.8333333333333428</c:v>
                </c:pt>
                <c:pt idx="56">
                  <c:v>-6.25</c:v>
                </c:pt>
                <c:pt idx="57">
                  <c:v>-7.5</c:v>
                </c:pt>
                <c:pt idx="58">
                  <c:v>-7.2916666666666572</c:v>
                </c:pt>
                <c:pt idx="59">
                  <c:v>-9.1666666666666572</c:v>
                </c:pt>
                <c:pt idx="60">
                  <c:v>-9.1666666666666572</c:v>
                </c:pt>
                <c:pt idx="61">
                  <c:v>-9.1666666666666572</c:v>
                </c:pt>
                <c:pt idx="62">
                  <c:v>-8.75</c:v>
                </c:pt>
                <c:pt idx="63">
                  <c:v>-9.1666666666666572</c:v>
                </c:pt>
                <c:pt idx="64">
                  <c:v>-10.416666666666686</c:v>
                </c:pt>
                <c:pt idx="65">
                  <c:v>-10.833333333333314</c:v>
                </c:pt>
                <c:pt idx="66">
                  <c:v>-11.041666666666686</c:v>
                </c:pt>
                <c:pt idx="67">
                  <c:v>-2.5</c:v>
                </c:pt>
                <c:pt idx="68">
                  <c:v>-1.6666666666666856</c:v>
                </c:pt>
                <c:pt idx="69">
                  <c:v>6.6666666666666856</c:v>
                </c:pt>
                <c:pt idx="70">
                  <c:v>5.4166666666666856</c:v>
                </c:pt>
                <c:pt idx="71">
                  <c:v>4.1666666666666856</c:v>
                </c:pt>
                <c:pt idx="72">
                  <c:v>-1.6666666666666856</c:v>
                </c:pt>
                <c:pt idx="73">
                  <c:v>-2.9166666666666856</c:v>
                </c:pt>
                <c:pt idx="74">
                  <c:v>-1.25</c:v>
                </c:pt>
                <c:pt idx="75">
                  <c:v>-13.75</c:v>
                </c:pt>
              </c:numCache>
            </c:numRef>
          </c:val>
        </c:ser>
        <c:ser>
          <c:idx val="14"/>
          <c:order val="14"/>
          <c:tx>
            <c:strRef>
              <c:f>score!$AR$1</c:f>
              <c:strCache>
                <c:ptCount val="1"/>
                <c:pt idx="0">
                  <c:v>Joris</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score!$AR$2:$AR$77</c:f>
              <c:numCache>
                <c:formatCode>0.0</c:formatCode>
                <c:ptCount val="76"/>
                <c:pt idx="0">
                  <c:v>-0.625</c:v>
                </c:pt>
                <c:pt idx="1">
                  <c:v>4.5833333333333339</c:v>
                </c:pt>
                <c:pt idx="2">
                  <c:v>3.75</c:v>
                </c:pt>
                <c:pt idx="3">
                  <c:v>4.1666666666666661</c:v>
                </c:pt>
                <c:pt idx="4">
                  <c:v>5.4166666666666679</c:v>
                </c:pt>
                <c:pt idx="5">
                  <c:v>5.4166666666666679</c:v>
                </c:pt>
                <c:pt idx="6">
                  <c:v>2.2916666666666679</c:v>
                </c:pt>
                <c:pt idx="7">
                  <c:v>-0.20833333333333215</c:v>
                </c:pt>
                <c:pt idx="8">
                  <c:v>-3.125</c:v>
                </c:pt>
                <c:pt idx="9">
                  <c:v>-3.9583333333333357</c:v>
                </c:pt>
                <c:pt idx="10">
                  <c:v>-4.1666666666666643</c:v>
                </c:pt>
                <c:pt idx="11">
                  <c:v>-6.0416666666666643</c:v>
                </c:pt>
                <c:pt idx="12">
                  <c:v>-2.5</c:v>
                </c:pt>
                <c:pt idx="13">
                  <c:v>-6.0416666666666643</c:v>
                </c:pt>
                <c:pt idx="14">
                  <c:v>-6.25</c:v>
                </c:pt>
                <c:pt idx="15">
                  <c:v>-7.0833333333333357</c:v>
                </c:pt>
                <c:pt idx="16">
                  <c:v>-3.3333333333333357</c:v>
                </c:pt>
                <c:pt idx="17">
                  <c:v>-7.7083333333333357</c:v>
                </c:pt>
                <c:pt idx="18">
                  <c:v>-7.7083333333333357</c:v>
                </c:pt>
                <c:pt idx="19">
                  <c:v>-6.0416666666666643</c:v>
                </c:pt>
                <c:pt idx="20">
                  <c:v>-3.75</c:v>
                </c:pt>
                <c:pt idx="21">
                  <c:v>-6.875</c:v>
                </c:pt>
                <c:pt idx="22">
                  <c:v>-2.7083333333333286</c:v>
                </c:pt>
                <c:pt idx="23">
                  <c:v>-2.7083333333333286</c:v>
                </c:pt>
                <c:pt idx="24">
                  <c:v>-5.2083333333333286</c:v>
                </c:pt>
                <c:pt idx="25">
                  <c:v>0.8333333333333286</c:v>
                </c:pt>
                <c:pt idx="26">
                  <c:v>0.8333333333333286</c:v>
                </c:pt>
                <c:pt idx="27">
                  <c:v>0.4166666666666714</c:v>
                </c:pt>
                <c:pt idx="28">
                  <c:v>-0.8333333333333286</c:v>
                </c:pt>
                <c:pt idx="29">
                  <c:v>6.25</c:v>
                </c:pt>
                <c:pt idx="30">
                  <c:v>5</c:v>
                </c:pt>
                <c:pt idx="31">
                  <c:v>3.75</c:v>
                </c:pt>
                <c:pt idx="32">
                  <c:v>3.75</c:v>
                </c:pt>
                <c:pt idx="33">
                  <c:v>10.416666666666671</c:v>
                </c:pt>
                <c:pt idx="34">
                  <c:v>10.416666666666671</c:v>
                </c:pt>
                <c:pt idx="35">
                  <c:v>5.8333333333333286</c:v>
                </c:pt>
                <c:pt idx="36">
                  <c:v>9.5833333333333286</c:v>
                </c:pt>
                <c:pt idx="37">
                  <c:v>15</c:v>
                </c:pt>
                <c:pt idx="38">
                  <c:v>14.583333333333329</c:v>
                </c:pt>
                <c:pt idx="39">
                  <c:v>19.375</c:v>
                </c:pt>
                <c:pt idx="40">
                  <c:v>21.875</c:v>
                </c:pt>
                <c:pt idx="41">
                  <c:v>24.166666666666657</c:v>
                </c:pt>
                <c:pt idx="42">
                  <c:v>27.708333333333343</c:v>
                </c:pt>
                <c:pt idx="43">
                  <c:v>28.958333333333343</c:v>
                </c:pt>
                <c:pt idx="44">
                  <c:v>23.958333333333343</c:v>
                </c:pt>
                <c:pt idx="45">
                  <c:v>25.416666666666657</c:v>
                </c:pt>
                <c:pt idx="46">
                  <c:v>21.666666666666657</c:v>
                </c:pt>
                <c:pt idx="47">
                  <c:v>22.916666666666657</c:v>
                </c:pt>
                <c:pt idx="48">
                  <c:v>21.458333333333343</c:v>
                </c:pt>
                <c:pt idx="49">
                  <c:v>16.458333333333343</c:v>
                </c:pt>
                <c:pt idx="50">
                  <c:v>16.25</c:v>
                </c:pt>
                <c:pt idx="51">
                  <c:v>16.25</c:v>
                </c:pt>
                <c:pt idx="52">
                  <c:v>15.416666666666657</c:v>
                </c:pt>
                <c:pt idx="53">
                  <c:v>15.208333333333343</c:v>
                </c:pt>
                <c:pt idx="54">
                  <c:v>13.75</c:v>
                </c:pt>
                <c:pt idx="55">
                  <c:v>14.166666666666657</c:v>
                </c:pt>
                <c:pt idx="56">
                  <c:v>18.75</c:v>
                </c:pt>
                <c:pt idx="57">
                  <c:v>17.5</c:v>
                </c:pt>
                <c:pt idx="58">
                  <c:v>17.708333333333343</c:v>
                </c:pt>
                <c:pt idx="59">
                  <c:v>15.833333333333343</c:v>
                </c:pt>
                <c:pt idx="60">
                  <c:v>20.833333333333343</c:v>
                </c:pt>
                <c:pt idx="61">
                  <c:v>20.833333333333343</c:v>
                </c:pt>
                <c:pt idx="62">
                  <c:v>21.25</c:v>
                </c:pt>
                <c:pt idx="63">
                  <c:v>20.833333333333343</c:v>
                </c:pt>
                <c:pt idx="64">
                  <c:v>19.583333333333314</c:v>
                </c:pt>
                <c:pt idx="65">
                  <c:v>19.166666666666686</c:v>
                </c:pt>
                <c:pt idx="66">
                  <c:v>18.958333333333314</c:v>
                </c:pt>
                <c:pt idx="67">
                  <c:v>17.5</c:v>
                </c:pt>
                <c:pt idx="68">
                  <c:v>18.333333333333314</c:v>
                </c:pt>
                <c:pt idx="69">
                  <c:v>6.6666666666666856</c:v>
                </c:pt>
                <c:pt idx="70">
                  <c:v>5.4166666666666856</c:v>
                </c:pt>
                <c:pt idx="71">
                  <c:v>4.1666666666666856</c:v>
                </c:pt>
                <c:pt idx="72">
                  <c:v>-1.6666666666666856</c:v>
                </c:pt>
                <c:pt idx="73">
                  <c:v>-2.9166666666666856</c:v>
                </c:pt>
                <c:pt idx="74">
                  <c:v>3.75</c:v>
                </c:pt>
                <c:pt idx="75">
                  <c:v>-8.75</c:v>
                </c:pt>
              </c:numCache>
            </c:numRef>
          </c:val>
        </c:ser>
        <c:ser>
          <c:idx val="15"/>
          <c:order val="15"/>
          <c:tx>
            <c:strRef>
              <c:f>score!$AS$1</c:f>
              <c:strCache>
                <c:ptCount val="1"/>
                <c:pt idx="0">
                  <c:v>Junior</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score!$AS$2:$AS$77</c:f>
              <c:numCache>
                <c:formatCode>0.0</c:formatCode>
                <c:ptCount val="76"/>
                <c:pt idx="0">
                  <c:v>4.375</c:v>
                </c:pt>
                <c:pt idx="1">
                  <c:v>4.5833333333333339</c:v>
                </c:pt>
                <c:pt idx="2">
                  <c:v>8.75</c:v>
                </c:pt>
                <c:pt idx="3">
                  <c:v>9.1666666666666661</c:v>
                </c:pt>
                <c:pt idx="4">
                  <c:v>10.416666666666668</c:v>
                </c:pt>
                <c:pt idx="5">
                  <c:v>10.416666666666668</c:v>
                </c:pt>
                <c:pt idx="6">
                  <c:v>17.291666666666668</c:v>
                </c:pt>
                <c:pt idx="7">
                  <c:v>19.791666666666668</c:v>
                </c:pt>
                <c:pt idx="8">
                  <c:v>21.875</c:v>
                </c:pt>
                <c:pt idx="9">
                  <c:v>26.041666666666664</c:v>
                </c:pt>
                <c:pt idx="10">
                  <c:v>25.833333333333336</c:v>
                </c:pt>
                <c:pt idx="11">
                  <c:v>28.958333333333336</c:v>
                </c:pt>
                <c:pt idx="12">
                  <c:v>27.5</c:v>
                </c:pt>
                <c:pt idx="13">
                  <c:v>23.958333333333336</c:v>
                </c:pt>
                <c:pt idx="14">
                  <c:v>23.75</c:v>
                </c:pt>
                <c:pt idx="15">
                  <c:v>22.916666666666664</c:v>
                </c:pt>
                <c:pt idx="16">
                  <c:v>21.666666666666664</c:v>
                </c:pt>
                <c:pt idx="17">
                  <c:v>22.291666666666664</c:v>
                </c:pt>
                <c:pt idx="18">
                  <c:v>22.291666666666664</c:v>
                </c:pt>
                <c:pt idx="19">
                  <c:v>23.958333333333336</c:v>
                </c:pt>
                <c:pt idx="20">
                  <c:v>21.25</c:v>
                </c:pt>
                <c:pt idx="21">
                  <c:v>23.125</c:v>
                </c:pt>
                <c:pt idx="22">
                  <c:v>22.291666666666671</c:v>
                </c:pt>
                <c:pt idx="23">
                  <c:v>22.291666666666671</c:v>
                </c:pt>
                <c:pt idx="24">
                  <c:v>24.791666666666671</c:v>
                </c:pt>
                <c:pt idx="25">
                  <c:v>20.833333333333329</c:v>
                </c:pt>
                <c:pt idx="26">
                  <c:v>20.833333333333329</c:v>
                </c:pt>
                <c:pt idx="27">
                  <c:v>20.416666666666671</c:v>
                </c:pt>
                <c:pt idx="28">
                  <c:v>19.166666666666671</c:v>
                </c:pt>
                <c:pt idx="29">
                  <c:v>21.25</c:v>
                </c:pt>
                <c:pt idx="30">
                  <c:v>25</c:v>
                </c:pt>
                <c:pt idx="31">
                  <c:v>23.75</c:v>
                </c:pt>
                <c:pt idx="32">
                  <c:v>23.75</c:v>
                </c:pt>
                <c:pt idx="33">
                  <c:v>25.416666666666671</c:v>
                </c:pt>
                <c:pt idx="34">
                  <c:v>25.416666666666671</c:v>
                </c:pt>
                <c:pt idx="35">
                  <c:v>25.833333333333329</c:v>
                </c:pt>
                <c:pt idx="36">
                  <c:v>24.583333333333329</c:v>
                </c:pt>
                <c:pt idx="37">
                  <c:v>20</c:v>
                </c:pt>
                <c:pt idx="38">
                  <c:v>19.583333333333329</c:v>
                </c:pt>
                <c:pt idx="39">
                  <c:v>19.375</c:v>
                </c:pt>
                <c:pt idx="40">
                  <c:v>21.875</c:v>
                </c:pt>
                <c:pt idx="41">
                  <c:v>24.166666666666657</c:v>
                </c:pt>
                <c:pt idx="42">
                  <c:v>22.708333333333343</c:v>
                </c:pt>
                <c:pt idx="43">
                  <c:v>23.958333333333343</c:v>
                </c:pt>
                <c:pt idx="44">
                  <c:v>23.958333333333343</c:v>
                </c:pt>
                <c:pt idx="45">
                  <c:v>25.416666666666657</c:v>
                </c:pt>
                <c:pt idx="46">
                  <c:v>21.666666666666657</c:v>
                </c:pt>
                <c:pt idx="47">
                  <c:v>22.916666666666657</c:v>
                </c:pt>
                <c:pt idx="48">
                  <c:v>21.458333333333343</c:v>
                </c:pt>
                <c:pt idx="49">
                  <c:v>26.458333333333343</c:v>
                </c:pt>
                <c:pt idx="50">
                  <c:v>26.25</c:v>
                </c:pt>
                <c:pt idx="51">
                  <c:v>26.25</c:v>
                </c:pt>
                <c:pt idx="52">
                  <c:v>25.416666666666657</c:v>
                </c:pt>
                <c:pt idx="53">
                  <c:v>25.208333333333343</c:v>
                </c:pt>
                <c:pt idx="54">
                  <c:v>23.75</c:v>
                </c:pt>
                <c:pt idx="55">
                  <c:v>24.166666666666657</c:v>
                </c:pt>
                <c:pt idx="56">
                  <c:v>23.75</c:v>
                </c:pt>
                <c:pt idx="57">
                  <c:v>27.5</c:v>
                </c:pt>
                <c:pt idx="58">
                  <c:v>27.708333333333343</c:v>
                </c:pt>
                <c:pt idx="59">
                  <c:v>25.833333333333343</c:v>
                </c:pt>
                <c:pt idx="60">
                  <c:v>25.833333333333343</c:v>
                </c:pt>
                <c:pt idx="61">
                  <c:v>25.833333333333343</c:v>
                </c:pt>
                <c:pt idx="62">
                  <c:v>21.25</c:v>
                </c:pt>
                <c:pt idx="63">
                  <c:v>20.833333333333343</c:v>
                </c:pt>
                <c:pt idx="64">
                  <c:v>19.583333333333314</c:v>
                </c:pt>
                <c:pt idx="65">
                  <c:v>19.166666666666686</c:v>
                </c:pt>
                <c:pt idx="66">
                  <c:v>18.958333333333314</c:v>
                </c:pt>
                <c:pt idx="67">
                  <c:v>17.5</c:v>
                </c:pt>
                <c:pt idx="68">
                  <c:v>13.333333333333314</c:v>
                </c:pt>
                <c:pt idx="69">
                  <c:v>21.666666666666686</c:v>
                </c:pt>
                <c:pt idx="70">
                  <c:v>20.416666666666686</c:v>
                </c:pt>
                <c:pt idx="71">
                  <c:v>19.166666666666686</c:v>
                </c:pt>
                <c:pt idx="72">
                  <c:v>-16.666666666666686</c:v>
                </c:pt>
                <c:pt idx="73">
                  <c:v>-17.916666666666686</c:v>
                </c:pt>
                <c:pt idx="74">
                  <c:v>-21.25</c:v>
                </c:pt>
                <c:pt idx="75">
                  <c:v>-33.75</c:v>
                </c:pt>
              </c:numCache>
            </c:numRef>
          </c:val>
        </c:ser>
        <c:ser>
          <c:idx val="16"/>
          <c:order val="16"/>
          <c:tx>
            <c:strRef>
              <c:f>score!$AT$1</c:f>
              <c:strCache>
                <c:ptCount val="1"/>
                <c:pt idx="0">
                  <c:v>Mariel</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score!$AT$2:$AT$77</c:f>
              <c:numCache>
                <c:formatCode>0.0</c:formatCode>
                <c:ptCount val="76"/>
                <c:pt idx="0">
                  <c:v>-0.625</c:v>
                </c:pt>
                <c:pt idx="1">
                  <c:v>4.5833333333333339</c:v>
                </c:pt>
                <c:pt idx="2">
                  <c:v>3.75</c:v>
                </c:pt>
                <c:pt idx="3">
                  <c:v>-0.83333333333333393</c:v>
                </c:pt>
                <c:pt idx="4">
                  <c:v>-4.5833333333333321</c:v>
                </c:pt>
                <c:pt idx="5">
                  <c:v>-4.5833333333333321</c:v>
                </c:pt>
                <c:pt idx="6">
                  <c:v>-7.7083333333333321</c:v>
                </c:pt>
                <c:pt idx="7">
                  <c:v>-5.2083333333333321</c:v>
                </c:pt>
                <c:pt idx="8">
                  <c:v>-8.125</c:v>
                </c:pt>
                <c:pt idx="9">
                  <c:v>-13.958333333333336</c:v>
                </c:pt>
                <c:pt idx="10">
                  <c:v>-14.166666666666664</c:v>
                </c:pt>
                <c:pt idx="11">
                  <c:v>-16.041666666666664</c:v>
                </c:pt>
                <c:pt idx="12">
                  <c:v>-7.5</c:v>
                </c:pt>
                <c:pt idx="13">
                  <c:v>-11.041666666666664</c:v>
                </c:pt>
                <c:pt idx="14">
                  <c:v>-11.25</c:v>
                </c:pt>
                <c:pt idx="15">
                  <c:v>-12.083333333333336</c:v>
                </c:pt>
                <c:pt idx="16">
                  <c:v>-8.3333333333333357</c:v>
                </c:pt>
                <c:pt idx="17">
                  <c:v>-7.7083333333333357</c:v>
                </c:pt>
                <c:pt idx="18">
                  <c:v>-7.7083333333333357</c:v>
                </c:pt>
                <c:pt idx="19">
                  <c:v>-11.041666666666664</c:v>
                </c:pt>
                <c:pt idx="20">
                  <c:v>-13.75</c:v>
                </c:pt>
                <c:pt idx="21">
                  <c:v>-16.875</c:v>
                </c:pt>
                <c:pt idx="22">
                  <c:v>-17.708333333333329</c:v>
                </c:pt>
                <c:pt idx="23">
                  <c:v>-17.708333333333329</c:v>
                </c:pt>
                <c:pt idx="24">
                  <c:v>-15.208333333333329</c:v>
                </c:pt>
                <c:pt idx="25">
                  <c:v>-19.166666666666671</c:v>
                </c:pt>
                <c:pt idx="26">
                  <c:v>-19.166666666666671</c:v>
                </c:pt>
                <c:pt idx="27">
                  <c:v>-19.583333333333329</c:v>
                </c:pt>
                <c:pt idx="28">
                  <c:v>-20.833333333333329</c:v>
                </c:pt>
                <c:pt idx="29">
                  <c:v>-23.75</c:v>
                </c:pt>
                <c:pt idx="30">
                  <c:v>-25</c:v>
                </c:pt>
                <c:pt idx="31">
                  <c:v>-26.25</c:v>
                </c:pt>
                <c:pt idx="32">
                  <c:v>-26.25</c:v>
                </c:pt>
                <c:pt idx="33">
                  <c:v>-29.583333333333329</c:v>
                </c:pt>
                <c:pt idx="34">
                  <c:v>-29.583333333333329</c:v>
                </c:pt>
                <c:pt idx="35">
                  <c:v>-29.166666666666671</c:v>
                </c:pt>
                <c:pt idx="36">
                  <c:v>-30.416666666666671</c:v>
                </c:pt>
                <c:pt idx="37">
                  <c:v>-25</c:v>
                </c:pt>
                <c:pt idx="38">
                  <c:v>-25.416666666666671</c:v>
                </c:pt>
                <c:pt idx="39">
                  <c:v>-25.625</c:v>
                </c:pt>
                <c:pt idx="40">
                  <c:v>-33.125</c:v>
                </c:pt>
                <c:pt idx="41">
                  <c:v>-30.833333333333343</c:v>
                </c:pt>
                <c:pt idx="42">
                  <c:v>-22.291666666666657</c:v>
                </c:pt>
                <c:pt idx="43">
                  <c:v>-21.041666666666657</c:v>
                </c:pt>
                <c:pt idx="44">
                  <c:v>-21.041666666666657</c:v>
                </c:pt>
                <c:pt idx="45">
                  <c:v>-24.583333333333343</c:v>
                </c:pt>
                <c:pt idx="46">
                  <c:v>-18.333333333333343</c:v>
                </c:pt>
                <c:pt idx="47">
                  <c:v>-22.083333333333343</c:v>
                </c:pt>
                <c:pt idx="48">
                  <c:v>-23.541666666666657</c:v>
                </c:pt>
                <c:pt idx="49">
                  <c:v>-28.541666666666657</c:v>
                </c:pt>
                <c:pt idx="50">
                  <c:v>-28.75</c:v>
                </c:pt>
                <c:pt idx="51">
                  <c:v>-28.75</c:v>
                </c:pt>
                <c:pt idx="52">
                  <c:v>-29.583333333333343</c:v>
                </c:pt>
                <c:pt idx="53">
                  <c:v>-29.791666666666657</c:v>
                </c:pt>
                <c:pt idx="54">
                  <c:v>-31.25</c:v>
                </c:pt>
                <c:pt idx="55">
                  <c:v>-30.833333333333343</c:v>
                </c:pt>
                <c:pt idx="56">
                  <c:v>-31.25</c:v>
                </c:pt>
                <c:pt idx="57">
                  <c:v>-32.5</c:v>
                </c:pt>
                <c:pt idx="58">
                  <c:v>-27.291666666666657</c:v>
                </c:pt>
                <c:pt idx="59">
                  <c:v>-29.166666666666657</c:v>
                </c:pt>
                <c:pt idx="60">
                  <c:v>-29.166666666666657</c:v>
                </c:pt>
                <c:pt idx="61">
                  <c:v>-34.166666666666657</c:v>
                </c:pt>
                <c:pt idx="62">
                  <c:v>-33.75</c:v>
                </c:pt>
                <c:pt idx="63">
                  <c:v>-34.166666666666657</c:v>
                </c:pt>
                <c:pt idx="64">
                  <c:v>-35.416666666666686</c:v>
                </c:pt>
                <c:pt idx="65">
                  <c:v>-40.833333333333314</c:v>
                </c:pt>
                <c:pt idx="66">
                  <c:v>-36.041666666666686</c:v>
                </c:pt>
                <c:pt idx="67">
                  <c:v>-37.5</c:v>
                </c:pt>
                <c:pt idx="68">
                  <c:v>-31.666666666666686</c:v>
                </c:pt>
                <c:pt idx="69">
                  <c:v>-23.333333333333314</c:v>
                </c:pt>
                <c:pt idx="70">
                  <c:v>-24.583333333333314</c:v>
                </c:pt>
                <c:pt idx="71">
                  <c:v>-20.833333333333314</c:v>
                </c:pt>
                <c:pt idx="72">
                  <c:v>-26.666666666666686</c:v>
                </c:pt>
                <c:pt idx="73">
                  <c:v>-22.916666666666686</c:v>
                </c:pt>
                <c:pt idx="74">
                  <c:v>-26.25</c:v>
                </c:pt>
                <c:pt idx="75">
                  <c:v>-38.75</c:v>
                </c:pt>
              </c:numCache>
            </c:numRef>
          </c:val>
        </c:ser>
        <c:ser>
          <c:idx val="17"/>
          <c:order val="17"/>
          <c:tx>
            <c:strRef>
              <c:f>score!$AU$1</c:f>
              <c:strCache>
                <c:ptCount val="1"/>
                <c:pt idx="0">
                  <c:v>Nijdam_sr</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score!$AU$2:$AU$77</c:f>
              <c:numCache>
                <c:formatCode>0.0</c:formatCode>
                <c:ptCount val="76"/>
                <c:pt idx="0">
                  <c:v>4.375</c:v>
                </c:pt>
                <c:pt idx="1">
                  <c:v>4.5833333333333339</c:v>
                </c:pt>
                <c:pt idx="2">
                  <c:v>8.75</c:v>
                </c:pt>
                <c:pt idx="3">
                  <c:v>9.1666666666666661</c:v>
                </c:pt>
                <c:pt idx="4">
                  <c:v>5.4166666666666679</c:v>
                </c:pt>
                <c:pt idx="5">
                  <c:v>5.4166666666666679</c:v>
                </c:pt>
                <c:pt idx="6">
                  <c:v>2.2916666666666679</c:v>
                </c:pt>
                <c:pt idx="7">
                  <c:v>4.7916666666666679</c:v>
                </c:pt>
                <c:pt idx="8">
                  <c:v>6.875</c:v>
                </c:pt>
                <c:pt idx="9">
                  <c:v>11.041666666666664</c:v>
                </c:pt>
                <c:pt idx="10">
                  <c:v>10.833333333333336</c:v>
                </c:pt>
                <c:pt idx="11">
                  <c:v>13.958333333333336</c:v>
                </c:pt>
                <c:pt idx="12">
                  <c:v>12.5</c:v>
                </c:pt>
                <c:pt idx="13">
                  <c:v>8.9583333333333357</c:v>
                </c:pt>
                <c:pt idx="14">
                  <c:v>8.75</c:v>
                </c:pt>
                <c:pt idx="15">
                  <c:v>7.9166666666666643</c:v>
                </c:pt>
                <c:pt idx="16">
                  <c:v>6.6666666666666643</c:v>
                </c:pt>
                <c:pt idx="17">
                  <c:v>7.2916666666666643</c:v>
                </c:pt>
                <c:pt idx="18">
                  <c:v>7.2916666666666643</c:v>
                </c:pt>
                <c:pt idx="19">
                  <c:v>8.9583333333333357</c:v>
                </c:pt>
                <c:pt idx="20">
                  <c:v>6.25</c:v>
                </c:pt>
                <c:pt idx="21">
                  <c:v>3.125</c:v>
                </c:pt>
                <c:pt idx="22">
                  <c:v>2.2916666666666714</c:v>
                </c:pt>
                <c:pt idx="23">
                  <c:v>2.2916666666666714</c:v>
                </c:pt>
                <c:pt idx="24">
                  <c:v>-0.2083333333333286</c:v>
                </c:pt>
                <c:pt idx="25">
                  <c:v>-4.1666666666666714</c:v>
                </c:pt>
                <c:pt idx="26">
                  <c:v>-4.1666666666666714</c:v>
                </c:pt>
                <c:pt idx="27">
                  <c:v>-4.5833333333333286</c:v>
                </c:pt>
                <c:pt idx="28">
                  <c:v>-5.8333333333333286</c:v>
                </c:pt>
                <c:pt idx="29">
                  <c:v>1.25</c:v>
                </c:pt>
                <c:pt idx="30">
                  <c:v>0</c:v>
                </c:pt>
                <c:pt idx="31">
                  <c:v>-1.25</c:v>
                </c:pt>
                <c:pt idx="32">
                  <c:v>-1.25</c:v>
                </c:pt>
                <c:pt idx="33">
                  <c:v>0.4166666666666714</c:v>
                </c:pt>
                <c:pt idx="34">
                  <c:v>0.4166666666666714</c:v>
                </c:pt>
                <c:pt idx="35">
                  <c:v>0.8333333333333286</c:v>
                </c:pt>
                <c:pt idx="36">
                  <c:v>4.5833333333333286</c:v>
                </c:pt>
                <c:pt idx="37">
                  <c:v>10</c:v>
                </c:pt>
                <c:pt idx="38">
                  <c:v>9.5833333333333286</c:v>
                </c:pt>
                <c:pt idx="39">
                  <c:v>9.375</c:v>
                </c:pt>
                <c:pt idx="40">
                  <c:v>1.875</c:v>
                </c:pt>
                <c:pt idx="41">
                  <c:v>-0.83333333333334281</c:v>
                </c:pt>
                <c:pt idx="42">
                  <c:v>-2.2916666666666572</c:v>
                </c:pt>
                <c:pt idx="43">
                  <c:v>-11.041666666666657</c:v>
                </c:pt>
                <c:pt idx="44">
                  <c:v>-6.0416666666666572</c:v>
                </c:pt>
                <c:pt idx="45">
                  <c:v>-4.5833333333333428</c:v>
                </c:pt>
                <c:pt idx="46">
                  <c:v>1.6666666666666572</c:v>
                </c:pt>
                <c:pt idx="47">
                  <c:v>2.9166666666666572</c:v>
                </c:pt>
                <c:pt idx="48">
                  <c:v>1.4583333333333428</c:v>
                </c:pt>
                <c:pt idx="49">
                  <c:v>6.4583333333333428</c:v>
                </c:pt>
                <c:pt idx="50">
                  <c:v>6.25</c:v>
                </c:pt>
                <c:pt idx="51">
                  <c:v>1.25</c:v>
                </c:pt>
                <c:pt idx="52">
                  <c:v>0.41666666666665719</c:v>
                </c:pt>
                <c:pt idx="53">
                  <c:v>0.20833333333334281</c:v>
                </c:pt>
                <c:pt idx="54">
                  <c:v>-1.25</c:v>
                </c:pt>
                <c:pt idx="55">
                  <c:v>-0.83333333333334281</c:v>
                </c:pt>
                <c:pt idx="56">
                  <c:v>-1.25</c:v>
                </c:pt>
                <c:pt idx="57">
                  <c:v>-2.5</c:v>
                </c:pt>
                <c:pt idx="58">
                  <c:v>-2.2916666666666572</c:v>
                </c:pt>
                <c:pt idx="59">
                  <c:v>-4.1666666666666572</c:v>
                </c:pt>
                <c:pt idx="60">
                  <c:v>-4.1666666666666572</c:v>
                </c:pt>
                <c:pt idx="61">
                  <c:v>-4.1666666666666572</c:v>
                </c:pt>
                <c:pt idx="62">
                  <c:v>-3.75</c:v>
                </c:pt>
                <c:pt idx="63">
                  <c:v>-4.1666666666666572</c:v>
                </c:pt>
                <c:pt idx="64">
                  <c:v>-5.4166666666666856</c:v>
                </c:pt>
                <c:pt idx="65">
                  <c:v>-0.83333333333331439</c:v>
                </c:pt>
                <c:pt idx="66">
                  <c:v>-1.0416666666666856</c:v>
                </c:pt>
                <c:pt idx="67">
                  <c:v>-2.5</c:v>
                </c:pt>
                <c:pt idx="68">
                  <c:v>-1.6666666666666856</c:v>
                </c:pt>
                <c:pt idx="69">
                  <c:v>6.6666666666666856</c:v>
                </c:pt>
                <c:pt idx="70">
                  <c:v>5.4166666666666856</c:v>
                </c:pt>
                <c:pt idx="71">
                  <c:v>4.1666666666666856</c:v>
                </c:pt>
                <c:pt idx="72">
                  <c:v>-31.666666666666686</c:v>
                </c:pt>
                <c:pt idx="73">
                  <c:v>-32.916666666666686</c:v>
                </c:pt>
                <c:pt idx="74">
                  <c:v>-36.25</c:v>
                </c:pt>
                <c:pt idx="75">
                  <c:v>-48.75</c:v>
                </c:pt>
              </c:numCache>
            </c:numRef>
          </c:val>
        </c:ser>
        <c:ser>
          <c:idx val="18"/>
          <c:order val="18"/>
          <c:tx>
            <c:strRef>
              <c:f>score!$AV$1</c:f>
              <c:strCache>
                <c:ptCount val="1"/>
                <c:pt idx="0">
                  <c:v>Eric</c:v>
                </c:pt>
              </c:strCache>
            </c:strRef>
          </c:tx>
          <c:spPr>
            <a:ln>
              <a:solidFill>
                <a:srgbClr val="FFFF00"/>
              </a:solidFill>
            </a:ln>
          </c:spPr>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score!$AV$2:$AV$77</c:f>
              <c:numCache>
                <c:formatCode>0.0</c:formatCode>
                <c:ptCount val="76"/>
                <c:pt idx="0">
                  <c:v>-0.625</c:v>
                </c:pt>
                <c:pt idx="1">
                  <c:v>-5.4166666666666661</c:v>
                </c:pt>
                <c:pt idx="2">
                  <c:v>-6.25</c:v>
                </c:pt>
                <c:pt idx="3">
                  <c:v>-5.8333333333333339</c:v>
                </c:pt>
                <c:pt idx="4">
                  <c:v>-4.5833333333333321</c:v>
                </c:pt>
                <c:pt idx="5">
                  <c:v>-4.5833333333333321</c:v>
                </c:pt>
                <c:pt idx="6">
                  <c:v>-2.7083333333333321</c:v>
                </c:pt>
                <c:pt idx="7">
                  <c:v>-0.20833333333333215</c:v>
                </c:pt>
                <c:pt idx="8">
                  <c:v>-3.125</c:v>
                </c:pt>
                <c:pt idx="9">
                  <c:v>-3.9583333333333357</c:v>
                </c:pt>
                <c:pt idx="10">
                  <c:v>-4.1666666666666643</c:v>
                </c:pt>
                <c:pt idx="11">
                  <c:v>-6.0416666666666643</c:v>
                </c:pt>
                <c:pt idx="12">
                  <c:v>-7.5</c:v>
                </c:pt>
                <c:pt idx="13">
                  <c:v>-1.0416666666666643</c:v>
                </c:pt>
                <c:pt idx="14">
                  <c:v>-6.25</c:v>
                </c:pt>
                <c:pt idx="15">
                  <c:v>-7.0833333333333357</c:v>
                </c:pt>
                <c:pt idx="16">
                  <c:v>1.6666666666666643</c:v>
                </c:pt>
                <c:pt idx="17">
                  <c:v>2.2916666666666643</c:v>
                </c:pt>
                <c:pt idx="18">
                  <c:v>2.2916666666666643</c:v>
                </c:pt>
                <c:pt idx="19">
                  <c:v>-1.0416666666666643</c:v>
                </c:pt>
                <c:pt idx="20">
                  <c:v>-3.75</c:v>
                </c:pt>
                <c:pt idx="21">
                  <c:v>-6.875</c:v>
                </c:pt>
                <c:pt idx="22">
                  <c:v>-2.7083333333333286</c:v>
                </c:pt>
                <c:pt idx="23">
                  <c:v>-2.7083333333333286</c:v>
                </c:pt>
                <c:pt idx="24">
                  <c:v>-5.2083333333333286</c:v>
                </c:pt>
                <c:pt idx="25">
                  <c:v>-9.1666666666666714</c:v>
                </c:pt>
                <c:pt idx="26">
                  <c:v>-9.1666666666666714</c:v>
                </c:pt>
                <c:pt idx="27">
                  <c:v>-9.5833333333333286</c:v>
                </c:pt>
                <c:pt idx="28">
                  <c:v>-10.833333333333329</c:v>
                </c:pt>
                <c:pt idx="29">
                  <c:v>-13.75</c:v>
                </c:pt>
                <c:pt idx="30">
                  <c:v>-15</c:v>
                </c:pt>
                <c:pt idx="31">
                  <c:v>-16.25</c:v>
                </c:pt>
                <c:pt idx="32">
                  <c:v>-16.25</c:v>
                </c:pt>
                <c:pt idx="33">
                  <c:v>-14.583333333333329</c:v>
                </c:pt>
                <c:pt idx="34">
                  <c:v>-14.583333333333329</c:v>
                </c:pt>
                <c:pt idx="35">
                  <c:v>-14.166666666666671</c:v>
                </c:pt>
                <c:pt idx="36">
                  <c:v>-15.416666666666671</c:v>
                </c:pt>
                <c:pt idx="37">
                  <c:v>-20</c:v>
                </c:pt>
                <c:pt idx="38">
                  <c:v>-20.416666666666671</c:v>
                </c:pt>
                <c:pt idx="39">
                  <c:v>-20.625</c:v>
                </c:pt>
                <c:pt idx="40">
                  <c:v>-28.125</c:v>
                </c:pt>
                <c:pt idx="41">
                  <c:v>-30.833333333333343</c:v>
                </c:pt>
                <c:pt idx="42">
                  <c:v>-27.291666666666657</c:v>
                </c:pt>
                <c:pt idx="43">
                  <c:v>-26.041666666666657</c:v>
                </c:pt>
                <c:pt idx="44">
                  <c:v>-26.041666666666657</c:v>
                </c:pt>
                <c:pt idx="45">
                  <c:v>-24.583333333333343</c:v>
                </c:pt>
                <c:pt idx="46">
                  <c:v>-18.333333333333343</c:v>
                </c:pt>
                <c:pt idx="47">
                  <c:v>-22.083333333333343</c:v>
                </c:pt>
                <c:pt idx="48">
                  <c:v>-23.541666666666657</c:v>
                </c:pt>
                <c:pt idx="49">
                  <c:v>-28.541666666666657</c:v>
                </c:pt>
                <c:pt idx="50">
                  <c:v>-28.75</c:v>
                </c:pt>
                <c:pt idx="51">
                  <c:v>-33.75</c:v>
                </c:pt>
                <c:pt idx="52">
                  <c:v>-34.583333333333343</c:v>
                </c:pt>
                <c:pt idx="53">
                  <c:v>-39.791666666666657</c:v>
                </c:pt>
                <c:pt idx="54">
                  <c:v>-41.25</c:v>
                </c:pt>
                <c:pt idx="55">
                  <c:v>-50.833333333333343</c:v>
                </c:pt>
                <c:pt idx="56">
                  <c:v>-51.25</c:v>
                </c:pt>
                <c:pt idx="57">
                  <c:v>-47.5</c:v>
                </c:pt>
                <c:pt idx="58">
                  <c:v>-52.291666666666657</c:v>
                </c:pt>
                <c:pt idx="59">
                  <c:v>-54.166666666666657</c:v>
                </c:pt>
                <c:pt idx="60">
                  <c:v>-59.166666666666657</c:v>
                </c:pt>
                <c:pt idx="61">
                  <c:v>-59.166666666666657</c:v>
                </c:pt>
                <c:pt idx="62">
                  <c:v>-58.75</c:v>
                </c:pt>
                <c:pt idx="63">
                  <c:v>-59.166666666666657</c:v>
                </c:pt>
                <c:pt idx="64">
                  <c:v>-60.416666666666686</c:v>
                </c:pt>
                <c:pt idx="65">
                  <c:v>-55.833333333333314</c:v>
                </c:pt>
                <c:pt idx="66">
                  <c:v>-56.041666666666686</c:v>
                </c:pt>
                <c:pt idx="67">
                  <c:v>-52.5</c:v>
                </c:pt>
                <c:pt idx="68">
                  <c:v>-51.666666666666686</c:v>
                </c:pt>
                <c:pt idx="69">
                  <c:v>-43.333333333333314</c:v>
                </c:pt>
                <c:pt idx="70">
                  <c:v>-44.583333333333314</c:v>
                </c:pt>
                <c:pt idx="71">
                  <c:v>-45.833333333333314</c:v>
                </c:pt>
                <c:pt idx="72">
                  <c:v>-51.666666666666686</c:v>
                </c:pt>
                <c:pt idx="73">
                  <c:v>-47.916666666666686</c:v>
                </c:pt>
                <c:pt idx="74">
                  <c:v>-46.25</c:v>
                </c:pt>
                <c:pt idx="75">
                  <c:v>-58.75</c:v>
                </c:pt>
              </c:numCache>
            </c:numRef>
          </c:val>
        </c:ser>
        <c:ser>
          <c:idx val="19"/>
          <c:order val="19"/>
          <c:tx>
            <c:strRef>
              <c:f>score!$AW$1</c:f>
              <c:strCache>
                <c:ptCount val="1"/>
                <c:pt idx="0">
                  <c:v>Leen</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score!$AW$2:$AW$77</c:f>
              <c:numCache>
                <c:formatCode>0.0</c:formatCode>
                <c:ptCount val="76"/>
                <c:pt idx="0">
                  <c:v>-5.625</c:v>
                </c:pt>
                <c:pt idx="1">
                  <c:v>-5.4166666666666661</c:v>
                </c:pt>
                <c:pt idx="2">
                  <c:v>-1.25</c:v>
                </c:pt>
                <c:pt idx="3">
                  <c:v>-0.83333333333333393</c:v>
                </c:pt>
                <c:pt idx="4">
                  <c:v>0.41666666666666785</c:v>
                </c:pt>
                <c:pt idx="5">
                  <c:v>0.41666666666666785</c:v>
                </c:pt>
                <c:pt idx="6">
                  <c:v>-2.7083333333333321</c:v>
                </c:pt>
                <c:pt idx="7">
                  <c:v>-5.2083333333333321</c:v>
                </c:pt>
                <c:pt idx="8">
                  <c:v>-3.125</c:v>
                </c:pt>
                <c:pt idx="9">
                  <c:v>-3.9583333333333357</c:v>
                </c:pt>
                <c:pt idx="10">
                  <c:v>-9.1666666666666643</c:v>
                </c:pt>
                <c:pt idx="11">
                  <c:v>-11.041666666666664</c:v>
                </c:pt>
                <c:pt idx="12">
                  <c:v>-12.5</c:v>
                </c:pt>
                <c:pt idx="13">
                  <c:v>-16.041666666666664</c:v>
                </c:pt>
                <c:pt idx="14">
                  <c:v>-16.25</c:v>
                </c:pt>
                <c:pt idx="15">
                  <c:v>-17.083333333333336</c:v>
                </c:pt>
                <c:pt idx="16">
                  <c:v>-18.333333333333336</c:v>
                </c:pt>
                <c:pt idx="17">
                  <c:v>-17.708333333333336</c:v>
                </c:pt>
                <c:pt idx="18">
                  <c:v>-17.708333333333336</c:v>
                </c:pt>
                <c:pt idx="19">
                  <c:v>-16.041666666666664</c:v>
                </c:pt>
                <c:pt idx="20">
                  <c:v>-18.75</c:v>
                </c:pt>
                <c:pt idx="21">
                  <c:v>-16.875</c:v>
                </c:pt>
                <c:pt idx="22">
                  <c:v>-17.708333333333329</c:v>
                </c:pt>
                <c:pt idx="23">
                  <c:v>-17.708333333333329</c:v>
                </c:pt>
                <c:pt idx="24">
                  <c:v>-20.208333333333329</c:v>
                </c:pt>
                <c:pt idx="25">
                  <c:v>-24.166666666666671</c:v>
                </c:pt>
                <c:pt idx="26">
                  <c:v>-24.166666666666671</c:v>
                </c:pt>
                <c:pt idx="27">
                  <c:v>-24.583333333333329</c:v>
                </c:pt>
                <c:pt idx="28">
                  <c:v>-25.833333333333329</c:v>
                </c:pt>
                <c:pt idx="29">
                  <c:v>-28.75</c:v>
                </c:pt>
                <c:pt idx="30">
                  <c:v>-30</c:v>
                </c:pt>
                <c:pt idx="31">
                  <c:v>-26.25</c:v>
                </c:pt>
                <c:pt idx="32">
                  <c:v>-26.25</c:v>
                </c:pt>
                <c:pt idx="33">
                  <c:v>-19.583333333333329</c:v>
                </c:pt>
                <c:pt idx="34">
                  <c:v>-19.583333333333329</c:v>
                </c:pt>
                <c:pt idx="35">
                  <c:v>-19.166666666666671</c:v>
                </c:pt>
                <c:pt idx="36">
                  <c:v>-20.416666666666671</c:v>
                </c:pt>
                <c:pt idx="37">
                  <c:v>-25</c:v>
                </c:pt>
                <c:pt idx="38">
                  <c:v>-25.416666666666671</c:v>
                </c:pt>
                <c:pt idx="39">
                  <c:v>-25.625</c:v>
                </c:pt>
                <c:pt idx="40">
                  <c:v>-23.125</c:v>
                </c:pt>
                <c:pt idx="41">
                  <c:v>-25.833333333333343</c:v>
                </c:pt>
                <c:pt idx="42">
                  <c:v>-27.291666666666657</c:v>
                </c:pt>
                <c:pt idx="43">
                  <c:v>-36.041666666666657</c:v>
                </c:pt>
                <c:pt idx="44">
                  <c:v>-36.041666666666657</c:v>
                </c:pt>
                <c:pt idx="45">
                  <c:v>-34.583333333333343</c:v>
                </c:pt>
                <c:pt idx="46">
                  <c:v>-38.333333333333343</c:v>
                </c:pt>
                <c:pt idx="47">
                  <c:v>-37.083333333333343</c:v>
                </c:pt>
                <c:pt idx="48">
                  <c:v>-38.541666666666657</c:v>
                </c:pt>
                <c:pt idx="49">
                  <c:v>-33.541666666666657</c:v>
                </c:pt>
                <c:pt idx="50">
                  <c:v>-33.75</c:v>
                </c:pt>
                <c:pt idx="51">
                  <c:v>-33.75</c:v>
                </c:pt>
                <c:pt idx="52">
                  <c:v>-34.583333333333343</c:v>
                </c:pt>
                <c:pt idx="53">
                  <c:v>-34.791666666666657</c:v>
                </c:pt>
                <c:pt idx="54">
                  <c:v>-36.25</c:v>
                </c:pt>
                <c:pt idx="55">
                  <c:v>-35.833333333333343</c:v>
                </c:pt>
                <c:pt idx="56">
                  <c:v>-36.25</c:v>
                </c:pt>
                <c:pt idx="57">
                  <c:v>-37.5</c:v>
                </c:pt>
                <c:pt idx="58">
                  <c:v>-37.291666666666657</c:v>
                </c:pt>
                <c:pt idx="59">
                  <c:v>-39.166666666666657</c:v>
                </c:pt>
                <c:pt idx="60">
                  <c:v>-44.166666666666657</c:v>
                </c:pt>
                <c:pt idx="61">
                  <c:v>-44.166666666666657</c:v>
                </c:pt>
                <c:pt idx="62">
                  <c:v>-43.75</c:v>
                </c:pt>
                <c:pt idx="63">
                  <c:v>-44.166666666666657</c:v>
                </c:pt>
                <c:pt idx="64">
                  <c:v>-45.416666666666686</c:v>
                </c:pt>
                <c:pt idx="65">
                  <c:v>-50.833333333333314</c:v>
                </c:pt>
                <c:pt idx="66">
                  <c:v>-51.041666666666686</c:v>
                </c:pt>
                <c:pt idx="67">
                  <c:v>-52.5</c:v>
                </c:pt>
                <c:pt idx="68">
                  <c:v>-51.666666666666686</c:v>
                </c:pt>
                <c:pt idx="69">
                  <c:v>-43.333333333333314</c:v>
                </c:pt>
                <c:pt idx="70">
                  <c:v>-39.583333333333314</c:v>
                </c:pt>
                <c:pt idx="71">
                  <c:v>-40.833333333333314</c:v>
                </c:pt>
                <c:pt idx="72">
                  <c:v>-46.666666666666686</c:v>
                </c:pt>
                <c:pt idx="73">
                  <c:v>-47.916666666666686</c:v>
                </c:pt>
                <c:pt idx="74">
                  <c:v>-51.25</c:v>
                </c:pt>
                <c:pt idx="75">
                  <c:v>-63.75</c:v>
                </c:pt>
              </c:numCache>
            </c:numRef>
          </c:val>
        </c:ser>
        <c:ser>
          <c:idx val="20"/>
          <c:order val="20"/>
          <c:tx>
            <c:strRef>
              <c:f>score!$AX$1</c:f>
              <c:strCache>
                <c:ptCount val="1"/>
                <c:pt idx="0">
                  <c:v>Jan</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score!$AX$2:$AX$77</c:f>
              <c:numCache>
                <c:formatCode>0.0</c:formatCode>
                <c:ptCount val="76"/>
                <c:pt idx="0">
                  <c:v>-0.625</c:v>
                </c:pt>
                <c:pt idx="1">
                  <c:v>4.5833333333333339</c:v>
                </c:pt>
                <c:pt idx="2">
                  <c:v>3.75</c:v>
                </c:pt>
                <c:pt idx="3">
                  <c:v>4.1666666666666661</c:v>
                </c:pt>
                <c:pt idx="4">
                  <c:v>5.4166666666666679</c:v>
                </c:pt>
                <c:pt idx="5">
                  <c:v>5.4166666666666679</c:v>
                </c:pt>
                <c:pt idx="6">
                  <c:v>2.2916666666666679</c:v>
                </c:pt>
                <c:pt idx="7">
                  <c:v>4.7916666666666679</c:v>
                </c:pt>
                <c:pt idx="8">
                  <c:v>6.875</c:v>
                </c:pt>
                <c:pt idx="9">
                  <c:v>6.0416666666666643</c:v>
                </c:pt>
                <c:pt idx="10">
                  <c:v>5.8333333333333357</c:v>
                </c:pt>
                <c:pt idx="11">
                  <c:v>8.9583333333333357</c:v>
                </c:pt>
                <c:pt idx="12">
                  <c:v>7.5</c:v>
                </c:pt>
                <c:pt idx="13">
                  <c:v>8.9583333333333357</c:v>
                </c:pt>
                <c:pt idx="14">
                  <c:v>8.75</c:v>
                </c:pt>
                <c:pt idx="15">
                  <c:v>7.9166666666666643</c:v>
                </c:pt>
                <c:pt idx="16">
                  <c:v>6.6666666666666643</c:v>
                </c:pt>
                <c:pt idx="17">
                  <c:v>7.2916666666666643</c:v>
                </c:pt>
                <c:pt idx="18">
                  <c:v>7.2916666666666643</c:v>
                </c:pt>
                <c:pt idx="19">
                  <c:v>8.9583333333333357</c:v>
                </c:pt>
                <c:pt idx="20">
                  <c:v>11.25</c:v>
                </c:pt>
                <c:pt idx="21">
                  <c:v>13.125</c:v>
                </c:pt>
                <c:pt idx="22">
                  <c:v>12.291666666666671</c:v>
                </c:pt>
                <c:pt idx="23">
                  <c:v>12.291666666666671</c:v>
                </c:pt>
                <c:pt idx="24">
                  <c:v>9.7916666666666714</c:v>
                </c:pt>
                <c:pt idx="25">
                  <c:v>10.833333333333329</c:v>
                </c:pt>
                <c:pt idx="26">
                  <c:v>15.833333333333329</c:v>
                </c:pt>
                <c:pt idx="27">
                  <c:v>15.416666666666671</c:v>
                </c:pt>
                <c:pt idx="28">
                  <c:v>14.166666666666671</c:v>
                </c:pt>
                <c:pt idx="29">
                  <c:v>21.25</c:v>
                </c:pt>
                <c:pt idx="30">
                  <c:v>25</c:v>
                </c:pt>
                <c:pt idx="31">
                  <c:v>23.75</c:v>
                </c:pt>
                <c:pt idx="32">
                  <c:v>23.75</c:v>
                </c:pt>
                <c:pt idx="33">
                  <c:v>20.416666666666671</c:v>
                </c:pt>
                <c:pt idx="34">
                  <c:v>20.416666666666671</c:v>
                </c:pt>
                <c:pt idx="35">
                  <c:v>20.833333333333329</c:v>
                </c:pt>
                <c:pt idx="36">
                  <c:v>19.583333333333329</c:v>
                </c:pt>
                <c:pt idx="37">
                  <c:v>15</c:v>
                </c:pt>
                <c:pt idx="38">
                  <c:v>14.583333333333329</c:v>
                </c:pt>
                <c:pt idx="39">
                  <c:v>14.375</c:v>
                </c:pt>
                <c:pt idx="40">
                  <c:v>16.875</c:v>
                </c:pt>
                <c:pt idx="41">
                  <c:v>19.166666666666657</c:v>
                </c:pt>
                <c:pt idx="42">
                  <c:v>17.708333333333343</c:v>
                </c:pt>
                <c:pt idx="43">
                  <c:v>18.958333333333343</c:v>
                </c:pt>
                <c:pt idx="44">
                  <c:v>18.958333333333343</c:v>
                </c:pt>
                <c:pt idx="45">
                  <c:v>20.416666666666657</c:v>
                </c:pt>
                <c:pt idx="46">
                  <c:v>16.666666666666657</c:v>
                </c:pt>
                <c:pt idx="47">
                  <c:v>17.916666666666657</c:v>
                </c:pt>
                <c:pt idx="48">
                  <c:v>26.458333333333343</c:v>
                </c:pt>
                <c:pt idx="49">
                  <c:v>21.458333333333343</c:v>
                </c:pt>
                <c:pt idx="50">
                  <c:v>26.25</c:v>
                </c:pt>
                <c:pt idx="51">
                  <c:v>26.25</c:v>
                </c:pt>
                <c:pt idx="52">
                  <c:v>25.416666666666657</c:v>
                </c:pt>
                <c:pt idx="53">
                  <c:v>30.208333333333343</c:v>
                </c:pt>
                <c:pt idx="54">
                  <c:v>28.75</c:v>
                </c:pt>
                <c:pt idx="55">
                  <c:v>29.166666666666657</c:v>
                </c:pt>
                <c:pt idx="56">
                  <c:v>33.75</c:v>
                </c:pt>
                <c:pt idx="57">
                  <c:v>32.5</c:v>
                </c:pt>
                <c:pt idx="58">
                  <c:v>32.708333333333343</c:v>
                </c:pt>
                <c:pt idx="59">
                  <c:v>30.833333333333343</c:v>
                </c:pt>
                <c:pt idx="60">
                  <c:v>30.833333333333343</c:v>
                </c:pt>
                <c:pt idx="61">
                  <c:v>30.833333333333343</c:v>
                </c:pt>
                <c:pt idx="62">
                  <c:v>26.25</c:v>
                </c:pt>
                <c:pt idx="63">
                  <c:v>25.833333333333343</c:v>
                </c:pt>
                <c:pt idx="64">
                  <c:v>-5.4166666666666856</c:v>
                </c:pt>
                <c:pt idx="65">
                  <c:v>-10.833333333333314</c:v>
                </c:pt>
                <c:pt idx="66">
                  <c:v>-6.0416666666666856</c:v>
                </c:pt>
                <c:pt idx="67">
                  <c:v>-7.5</c:v>
                </c:pt>
                <c:pt idx="68">
                  <c:v>-1.6666666666666856</c:v>
                </c:pt>
                <c:pt idx="69">
                  <c:v>-13.333333333333314</c:v>
                </c:pt>
                <c:pt idx="70">
                  <c:v>-14.583333333333314</c:v>
                </c:pt>
                <c:pt idx="71">
                  <c:v>-15.833333333333314</c:v>
                </c:pt>
                <c:pt idx="72">
                  <c:v>-51.666666666666686</c:v>
                </c:pt>
                <c:pt idx="73">
                  <c:v>-52.916666666666686</c:v>
                </c:pt>
                <c:pt idx="74">
                  <c:v>-46.25</c:v>
                </c:pt>
                <c:pt idx="75">
                  <c:v>-58.75</c:v>
                </c:pt>
              </c:numCache>
            </c:numRef>
          </c:val>
        </c:ser>
        <c:ser>
          <c:idx val="21"/>
          <c:order val="21"/>
          <c:tx>
            <c:strRef>
              <c:f>score!$AY$1</c:f>
              <c:strCache>
                <c:ptCount val="1"/>
                <c:pt idx="0">
                  <c:v>Reindert</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score!$AY$2:$AY$77</c:f>
              <c:numCache>
                <c:formatCode>0.0</c:formatCode>
                <c:ptCount val="76"/>
                <c:pt idx="0">
                  <c:v>-0.625</c:v>
                </c:pt>
                <c:pt idx="1">
                  <c:v>-5.4166666666666661</c:v>
                </c:pt>
                <c:pt idx="2">
                  <c:v>-6.25</c:v>
                </c:pt>
                <c:pt idx="3">
                  <c:v>-5.8333333333333339</c:v>
                </c:pt>
                <c:pt idx="4">
                  <c:v>-4.5833333333333321</c:v>
                </c:pt>
                <c:pt idx="5">
                  <c:v>-4.5833333333333321</c:v>
                </c:pt>
                <c:pt idx="6">
                  <c:v>-7.7083333333333321</c:v>
                </c:pt>
                <c:pt idx="7">
                  <c:v>-10.208333333333332</c:v>
                </c:pt>
                <c:pt idx="8">
                  <c:v>-3.125</c:v>
                </c:pt>
                <c:pt idx="9">
                  <c:v>1.0416666666666643</c:v>
                </c:pt>
                <c:pt idx="10">
                  <c:v>0.8333333333333357</c:v>
                </c:pt>
                <c:pt idx="11">
                  <c:v>-1.0416666666666643</c:v>
                </c:pt>
                <c:pt idx="12">
                  <c:v>-2.5</c:v>
                </c:pt>
                <c:pt idx="13">
                  <c:v>-6.0416666666666643</c:v>
                </c:pt>
                <c:pt idx="14">
                  <c:v>-6.25</c:v>
                </c:pt>
                <c:pt idx="15">
                  <c:v>-7.0833333333333357</c:v>
                </c:pt>
                <c:pt idx="16">
                  <c:v>-8.3333333333333357</c:v>
                </c:pt>
                <c:pt idx="17">
                  <c:v>-7.7083333333333357</c:v>
                </c:pt>
                <c:pt idx="18">
                  <c:v>-7.7083333333333357</c:v>
                </c:pt>
                <c:pt idx="19">
                  <c:v>-11.041666666666664</c:v>
                </c:pt>
                <c:pt idx="20">
                  <c:v>-13.75</c:v>
                </c:pt>
                <c:pt idx="21">
                  <c:v>-16.875</c:v>
                </c:pt>
                <c:pt idx="22">
                  <c:v>-17.708333333333329</c:v>
                </c:pt>
                <c:pt idx="23">
                  <c:v>-17.708333333333329</c:v>
                </c:pt>
                <c:pt idx="24">
                  <c:v>-20.208333333333329</c:v>
                </c:pt>
                <c:pt idx="25">
                  <c:v>-19.166666666666671</c:v>
                </c:pt>
                <c:pt idx="26">
                  <c:v>-19.166666666666671</c:v>
                </c:pt>
                <c:pt idx="27">
                  <c:v>-9.5833333333333286</c:v>
                </c:pt>
                <c:pt idx="28">
                  <c:v>-0.8333333333333286</c:v>
                </c:pt>
                <c:pt idx="29">
                  <c:v>1.25</c:v>
                </c:pt>
                <c:pt idx="30">
                  <c:v>0</c:v>
                </c:pt>
                <c:pt idx="31">
                  <c:v>-1.25</c:v>
                </c:pt>
                <c:pt idx="32">
                  <c:v>-6.25</c:v>
                </c:pt>
                <c:pt idx="33">
                  <c:v>-4.5833333333333286</c:v>
                </c:pt>
                <c:pt idx="34">
                  <c:v>-4.5833333333333286</c:v>
                </c:pt>
                <c:pt idx="35">
                  <c:v>-9.1666666666666714</c:v>
                </c:pt>
                <c:pt idx="36">
                  <c:v>-10.416666666666671</c:v>
                </c:pt>
                <c:pt idx="37">
                  <c:v>-15</c:v>
                </c:pt>
                <c:pt idx="38">
                  <c:v>-15.416666666666671</c:v>
                </c:pt>
                <c:pt idx="39">
                  <c:v>-15.625</c:v>
                </c:pt>
                <c:pt idx="40">
                  <c:v>-23.125</c:v>
                </c:pt>
                <c:pt idx="41">
                  <c:v>-25.833333333333343</c:v>
                </c:pt>
                <c:pt idx="42">
                  <c:v>-27.291666666666657</c:v>
                </c:pt>
                <c:pt idx="43">
                  <c:v>-36.041666666666657</c:v>
                </c:pt>
                <c:pt idx="44">
                  <c:v>-41.041666666666657</c:v>
                </c:pt>
                <c:pt idx="45">
                  <c:v>-44.583333333333343</c:v>
                </c:pt>
                <c:pt idx="46">
                  <c:v>-38.333333333333343</c:v>
                </c:pt>
                <c:pt idx="47">
                  <c:v>-42.083333333333343</c:v>
                </c:pt>
                <c:pt idx="48">
                  <c:v>-43.541666666666657</c:v>
                </c:pt>
                <c:pt idx="49">
                  <c:v>-38.541666666666657</c:v>
                </c:pt>
                <c:pt idx="50">
                  <c:v>-38.75</c:v>
                </c:pt>
                <c:pt idx="51">
                  <c:v>-43.75</c:v>
                </c:pt>
                <c:pt idx="52">
                  <c:v>-44.583333333333343</c:v>
                </c:pt>
                <c:pt idx="53">
                  <c:v>-49.791666666666657</c:v>
                </c:pt>
                <c:pt idx="54">
                  <c:v>-41.25</c:v>
                </c:pt>
                <c:pt idx="55">
                  <c:v>-40.833333333333343</c:v>
                </c:pt>
                <c:pt idx="56">
                  <c:v>-41.25</c:v>
                </c:pt>
                <c:pt idx="57">
                  <c:v>-42.5</c:v>
                </c:pt>
                <c:pt idx="58">
                  <c:v>-47.291666666666657</c:v>
                </c:pt>
                <c:pt idx="59">
                  <c:v>-49.166666666666657</c:v>
                </c:pt>
                <c:pt idx="60">
                  <c:v>-54.166666666666657</c:v>
                </c:pt>
                <c:pt idx="61">
                  <c:v>-59.166666666666657</c:v>
                </c:pt>
                <c:pt idx="62">
                  <c:v>-58.75</c:v>
                </c:pt>
                <c:pt idx="63">
                  <c:v>-59.166666666666657</c:v>
                </c:pt>
                <c:pt idx="64">
                  <c:v>-60.416666666666686</c:v>
                </c:pt>
                <c:pt idx="65">
                  <c:v>-60.833333333333314</c:v>
                </c:pt>
                <c:pt idx="66">
                  <c:v>-66.041666666666686</c:v>
                </c:pt>
                <c:pt idx="67">
                  <c:v>-67.5</c:v>
                </c:pt>
                <c:pt idx="68">
                  <c:v>-66.666666666666686</c:v>
                </c:pt>
                <c:pt idx="69">
                  <c:v>-78.333333333333314</c:v>
                </c:pt>
                <c:pt idx="70">
                  <c:v>-79.583333333333314</c:v>
                </c:pt>
                <c:pt idx="71">
                  <c:v>-80.833333333333314</c:v>
                </c:pt>
                <c:pt idx="72">
                  <c:v>-61.666666666666686</c:v>
                </c:pt>
                <c:pt idx="73">
                  <c:v>-57.916666666666686</c:v>
                </c:pt>
                <c:pt idx="74">
                  <c:v>-61.25</c:v>
                </c:pt>
                <c:pt idx="75">
                  <c:v>-73.75</c:v>
                </c:pt>
              </c:numCache>
            </c:numRef>
          </c:val>
        </c:ser>
        <c:ser>
          <c:idx val="22"/>
          <c:order val="22"/>
          <c:tx>
            <c:strRef>
              <c:f>score!$AZ$1</c:f>
              <c:strCache>
                <c:ptCount val="1"/>
                <c:pt idx="0">
                  <c:v>Annita</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score!$AZ$2:$AZ$77</c:f>
              <c:numCache>
                <c:formatCode>0.0</c:formatCode>
                <c:ptCount val="76"/>
                <c:pt idx="0">
                  <c:v>-0.625</c:v>
                </c:pt>
                <c:pt idx="1">
                  <c:v>4.5833333333333339</c:v>
                </c:pt>
                <c:pt idx="2">
                  <c:v>3.75</c:v>
                </c:pt>
                <c:pt idx="3">
                  <c:v>4.1666666666666661</c:v>
                </c:pt>
                <c:pt idx="4">
                  <c:v>5.4166666666666679</c:v>
                </c:pt>
                <c:pt idx="5">
                  <c:v>5.4166666666666679</c:v>
                </c:pt>
                <c:pt idx="6">
                  <c:v>12.291666666666668</c:v>
                </c:pt>
                <c:pt idx="7">
                  <c:v>9.7916666666666679</c:v>
                </c:pt>
                <c:pt idx="8">
                  <c:v>6.875</c:v>
                </c:pt>
                <c:pt idx="9">
                  <c:v>6.0416666666666643</c:v>
                </c:pt>
                <c:pt idx="10">
                  <c:v>5.8333333333333357</c:v>
                </c:pt>
                <c:pt idx="11">
                  <c:v>3.9583333333333357</c:v>
                </c:pt>
                <c:pt idx="12">
                  <c:v>2.5</c:v>
                </c:pt>
                <c:pt idx="13">
                  <c:v>-1.0416666666666643</c:v>
                </c:pt>
                <c:pt idx="14">
                  <c:v>-1.25</c:v>
                </c:pt>
                <c:pt idx="15">
                  <c:v>-2.0833333333333357</c:v>
                </c:pt>
                <c:pt idx="16">
                  <c:v>1.6666666666666643</c:v>
                </c:pt>
                <c:pt idx="17">
                  <c:v>2.2916666666666643</c:v>
                </c:pt>
                <c:pt idx="18">
                  <c:v>2.2916666666666643</c:v>
                </c:pt>
                <c:pt idx="19">
                  <c:v>3.9583333333333357</c:v>
                </c:pt>
                <c:pt idx="20">
                  <c:v>11.25</c:v>
                </c:pt>
                <c:pt idx="21">
                  <c:v>8.125</c:v>
                </c:pt>
                <c:pt idx="22">
                  <c:v>7.2916666666666714</c:v>
                </c:pt>
                <c:pt idx="23">
                  <c:v>7.2916666666666714</c:v>
                </c:pt>
                <c:pt idx="24">
                  <c:v>4.7916666666666714</c:v>
                </c:pt>
                <c:pt idx="25">
                  <c:v>5.8333333333333286</c:v>
                </c:pt>
                <c:pt idx="26">
                  <c:v>5.8333333333333286</c:v>
                </c:pt>
                <c:pt idx="27">
                  <c:v>5.4166666666666714</c:v>
                </c:pt>
                <c:pt idx="28">
                  <c:v>4.1666666666666714</c:v>
                </c:pt>
                <c:pt idx="29">
                  <c:v>6.25</c:v>
                </c:pt>
                <c:pt idx="30">
                  <c:v>5</c:v>
                </c:pt>
                <c:pt idx="31">
                  <c:v>3.75</c:v>
                </c:pt>
                <c:pt idx="32">
                  <c:v>3.75</c:v>
                </c:pt>
                <c:pt idx="33">
                  <c:v>0.4166666666666714</c:v>
                </c:pt>
                <c:pt idx="34">
                  <c:v>0.4166666666666714</c:v>
                </c:pt>
                <c:pt idx="35">
                  <c:v>0.8333333333333286</c:v>
                </c:pt>
                <c:pt idx="36">
                  <c:v>-0.4166666666666714</c:v>
                </c:pt>
                <c:pt idx="37">
                  <c:v>-5</c:v>
                </c:pt>
                <c:pt idx="38">
                  <c:v>-5.4166666666666714</c:v>
                </c:pt>
                <c:pt idx="39">
                  <c:v>-5.625</c:v>
                </c:pt>
                <c:pt idx="40">
                  <c:v>-3.125</c:v>
                </c:pt>
                <c:pt idx="41">
                  <c:v>-0.83333333333334281</c:v>
                </c:pt>
                <c:pt idx="42">
                  <c:v>-2.2916666666666572</c:v>
                </c:pt>
                <c:pt idx="43">
                  <c:v>-1.0416666666666572</c:v>
                </c:pt>
                <c:pt idx="44">
                  <c:v>-1.0416666666666572</c:v>
                </c:pt>
                <c:pt idx="45">
                  <c:v>0.41666666666665719</c:v>
                </c:pt>
                <c:pt idx="46">
                  <c:v>-3.3333333333333428</c:v>
                </c:pt>
                <c:pt idx="47">
                  <c:v>-2.0833333333333428</c:v>
                </c:pt>
                <c:pt idx="48">
                  <c:v>1.4583333333333428</c:v>
                </c:pt>
                <c:pt idx="49">
                  <c:v>-3.5416666666666572</c:v>
                </c:pt>
                <c:pt idx="50">
                  <c:v>-3.75</c:v>
                </c:pt>
                <c:pt idx="51">
                  <c:v>1.25</c:v>
                </c:pt>
                <c:pt idx="52">
                  <c:v>0.41666666666665719</c:v>
                </c:pt>
                <c:pt idx="53">
                  <c:v>0.20833333333334281</c:v>
                </c:pt>
                <c:pt idx="54">
                  <c:v>-1.25</c:v>
                </c:pt>
                <c:pt idx="55">
                  <c:v>-0.83333333333334281</c:v>
                </c:pt>
                <c:pt idx="56">
                  <c:v>-1.25</c:v>
                </c:pt>
                <c:pt idx="57">
                  <c:v>-2.5</c:v>
                </c:pt>
                <c:pt idx="58">
                  <c:v>-2.2916666666666572</c:v>
                </c:pt>
                <c:pt idx="59">
                  <c:v>-4.1666666666666572</c:v>
                </c:pt>
                <c:pt idx="60">
                  <c:v>-9.1666666666666572</c:v>
                </c:pt>
                <c:pt idx="61">
                  <c:v>-4.1666666666666572</c:v>
                </c:pt>
                <c:pt idx="62">
                  <c:v>-3.75</c:v>
                </c:pt>
                <c:pt idx="63">
                  <c:v>-4.1666666666666572</c:v>
                </c:pt>
                <c:pt idx="64">
                  <c:v>-20.416666666666686</c:v>
                </c:pt>
                <c:pt idx="65">
                  <c:v>-20.833333333333314</c:v>
                </c:pt>
                <c:pt idx="66">
                  <c:v>-21.041666666666686</c:v>
                </c:pt>
                <c:pt idx="67">
                  <c:v>-17.5</c:v>
                </c:pt>
                <c:pt idx="68">
                  <c:v>-21.666666666666686</c:v>
                </c:pt>
                <c:pt idx="69">
                  <c:v>-33.333333333333314</c:v>
                </c:pt>
                <c:pt idx="70">
                  <c:v>-34.583333333333314</c:v>
                </c:pt>
                <c:pt idx="71">
                  <c:v>-35.833333333333314</c:v>
                </c:pt>
                <c:pt idx="72">
                  <c:v>-41.666666666666686</c:v>
                </c:pt>
                <c:pt idx="73">
                  <c:v>-42.916666666666686</c:v>
                </c:pt>
                <c:pt idx="74">
                  <c:v>-46.25</c:v>
                </c:pt>
                <c:pt idx="75">
                  <c:v>-58.75</c:v>
                </c:pt>
              </c:numCache>
            </c:numRef>
          </c:val>
        </c:ser>
        <c:ser>
          <c:idx val="23"/>
          <c:order val="23"/>
          <c:tx>
            <c:strRef>
              <c:f>score!$BA$1</c:f>
              <c:strCache>
                <c:ptCount val="1"/>
                <c:pt idx="0">
                  <c:v>Dries</c:v>
                </c:pt>
              </c:strCache>
            </c:strRef>
          </c:tx>
          <c:cat>
            <c:strRef>
              <c:f>score!$AC$2:$AC$77</c:f>
              <c:strCache>
                <c:ptCount val="76"/>
                <c:pt idx="0">
                  <c:v>Brazilië-Kroatië</c:v>
                </c:pt>
                <c:pt idx="1">
                  <c:v>Mexico-Kameroen</c:v>
                </c:pt>
                <c:pt idx="2">
                  <c:v>Spanje-Nederland</c:v>
                </c:pt>
                <c:pt idx="3">
                  <c:v>Chili-Australië</c:v>
                </c:pt>
                <c:pt idx="4">
                  <c:v>Colombia-Griekenland</c:v>
                </c:pt>
                <c:pt idx="5">
                  <c:v>Uruguay-Costa Rica</c:v>
                </c:pt>
                <c:pt idx="6">
                  <c:v>Engeland-Italië</c:v>
                </c:pt>
                <c:pt idx="7">
                  <c:v>Ivoorkust-Japan</c:v>
                </c:pt>
                <c:pt idx="8">
                  <c:v>Zwitserland-Ecuador</c:v>
                </c:pt>
                <c:pt idx="9">
                  <c:v>Frankrijk-Honduras</c:v>
                </c:pt>
                <c:pt idx="10">
                  <c:v>Argentinië-Bosnië-Herzegovina</c:v>
                </c:pt>
                <c:pt idx="11">
                  <c:v>Duitsland-Portugal</c:v>
                </c:pt>
                <c:pt idx="12">
                  <c:v>Iran-Nigeria</c:v>
                </c:pt>
                <c:pt idx="13">
                  <c:v>Ghana-USA</c:v>
                </c:pt>
                <c:pt idx="14">
                  <c:v>België-Algerije</c:v>
                </c:pt>
                <c:pt idx="15">
                  <c:v>Brazilië-Mexico</c:v>
                </c:pt>
                <c:pt idx="16">
                  <c:v>Rusland-Zuid-Korea</c:v>
                </c:pt>
                <c:pt idx="17">
                  <c:v>Australië-Nederland</c:v>
                </c:pt>
                <c:pt idx="18">
                  <c:v>Spanje-Chili</c:v>
                </c:pt>
                <c:pt idx="19">
                  <c:v>Kameroen-Kroatië</c:v>
                </c:pt>
                <c:pt idx="20">
                  <c:v>Colombia-Ivoorkust</c:v>
                </c:pt>
                <c:pt idx="21">
                  <c:v>Uruguay-Engeland</c:v>
                </c:pt>
                <c:pt idx="22">
                  <c:v>Japan-Griekenland</c:v>
                </c:pt>
                <c:pt idx="23">
                  <c:v>Italië-Costa Rica</c:v>
                </c:pt>
                <c:pt idx="24">
                  <c:v>Zwitserland-Frankrijk</c:v>
                </c:pt>
                <c:pt idx="25">
                  <c:v>Honduras-Ecuador</c:v>
                </c:pt>
                <c:pt idx="26">
                  <c:v>Argentinië-Iran</c:v>
                </c:pt>
                <c:pt idx="27">
                  <c:v>Duitsland-Ghana</c:v>
                </c:pt>
                <c:pt idx="28">
                  <c:v>Nigeria-Bosnië-Herzegovina</c:v>
                </c:pt>
                <c:pt idx="29">
                  <c:v>België-Rusland</c:v>
                </c:pt>
                <c:pt idx="30">
                  <c:v>Zuid-Korea-Algerije</c:v>
                </c:pt>
                <c:pt idx="31">
                  <c:v>USA-Portugal</c:v>
                </c:pt>
                <c:pt idx="32">
                  <c:v>Australië-Spanje</c:v>
                </c:pt>
                <c:pt idx="33">
                  <c:v>Nederland-Chili</c:v>
                </c:pt>
                <c:pt idx="34">
                  <c:v>Boni</c:v>
                </c:pt>
                <c:pt idx="35">
                  <c:v>Kameroen-Brazilië</c:v>
                </c:pt>
                <c:pt idx="36">
                  <c:v>Kroatië-Mexico</c:v>
                </c:pt>
                <c:pt idx="37">
                  <c:v>Boni</c:v>
                </c:pt>
                <c:pt idx="38">
                  <c:v>Italië-Uruguay</c:v>
                </c:pt>
                <c:pt idx="39">
                  <c:v>Costa Rica-Engeland</c:v>
                </c:pt>
                <c:pt idx="40">
                  <c:v>Boni</c:v>
                </c:pt>
                <c:pt idx="41">
                  <c:v>Japan-Colombia</c:v>
                </c:pt>
                <c:pt idx="42">
                  <c:v>Griekenland-Ivoorkust</c:v>
                </c:pt>
                <c:pt idx="43">
                  <c:v>Boni</c:v>
                </c:pt>
                <c:pt idx="44">
                  <c:v>Nigeria-Argentinië</c:v>
                </c:pt>
                <c:pt idx="45">
                  <c:v>Bosnië-Herzegovina-Iran</c:v>
                </c:pt>
                <c:pt idx="46">
                  <c:v>Boni</c:v>
                </c:pt>
                <c:pt idx="47">
                  <c:v>Honduras-Zwitserland</c:v>
                </c:pt>
                <c:pt idx="48">
                  <c:v>Ecuador-Frankrijk</c:v>
                </c:pt>
                <c:pt idx="49">
                  <c:v>Boni</c:v>
                </c:pt>
                <c:pt idx="50">
                  <c:v>USA-Duitsland</c:v>
                </c:pt>
                <c:pt idx="51">
                  <c:v>Portugal-Ghana</c:v>
                </c:pt>
                <c:pt idx="52">
                  <c:v>Boni</c:v>
                </c:pt>
                <c:pt idx="53">
                  <c:v>Zuid-Korea-België</c:v>
                </c:pt>
                <c:pt idx="54">
                  <c:v>Algerije-Rusland</c:v>
                </c:pt>
                <c:pt idx="55">
                  <c:v>Boni</c:v>
                </c:pt>
                <c:pt idx="56">
                  <c:v>Brazilië-Chili</c:v>
                </c:pt>
                <c:pt idx="57">
                  <c:v>Colombia-Uruguay</c:v>
                </c:pt>
                <c:pt idx="58">
                  <c:v>Nederland-Mexico</c:v>
                </c:pt>
                <c:pt idx="59">
                  <c:v>Costa Rica-Griekenland</c:v>
                </c:pt>
                <c:pt idx="60">
                  <c:v>Frankrijk-Nigeria</c:v>
                </c:pt>
                <c:pt idx="61">
                  <c:v>Duitsland-Algerije</c:v>
                </c:pt>
                <c:pt idx="62">
                  <c:v>Argentinië-Zwitserland</c:v>
                </c:pt>
                <c:pt idx="63">
                  <c:v>België-USA</c:v>
                </c:pt>
                <c:pt idx="64">
                  <c:v>Boni 1/4</c:v>
                </c:pt>
                <c:pt idx="65">
                  <c:v>Brazilië-Colombia</c:v>
                </c:pt>
                <c:pt idx="66">
                  <c:v>Frankrijk-Duitsland</c:v>
                </c:pt>
                <c:pt idx="67">
                  <c:v>Nederland-Costa Rica</c:v>
                </c:pt>
                <c:pt idx="68">
                  <c:v>Argentinië-België</c:v>
                </c:pt>
                <c:pt idx="69">
                  <c:v>Boni 1/2</c:v>
                </c:pt>
                <c:pt idx="70">
                  <c:v>Brazilië-Duitsland</c:v>
                </c:pt>
                <c:pt idx="71">
                  <c:v>Nederland-Argentinië</c:v>
                </c:pt>
                <c:pt idx="72">
                  <c:v>Boni finale</c:v>
                </c:pt>
                <c:pt idx="73">
                  <c:v>Brazilië-Nederland</c:v>
                </c:pt>
                <c:pt idx="74">
                  <c:v>Duitsland-Argentinië</c:v>
                </c:pt>
                <c:pt idx="75">
                  <c:v>Bonus winnaar</c:v>
                </c:pt>
              </c:strCache>
            </c:strRef>
          </c:cat>
          <c:val>
            <c:numRef>
              <c:f>score!$BA$2:$BA$77</c:f>
              <c:numCache>
                <c:formatCode>0.0</c:formatCode>
                <c:ptCount val="76"/>
                <c:pt idx="0">
                  <c:v>-0.625</c:v>
                </c:pt>
                <c:pt idx="1">
                  <c:v>4.5833333333333339</c:v>
                </c:pt>
                <c:pt idx="2">
                  <c:v>3.75</c:v>
                </c:pt>
                <c:pt idx="3">
                  <c:v>4.1666666666666661</c:v>
                </c:pt>
                <c:pt idx="4">
                  <c:v>5.4166666666666679</c:v>
                </c:pt>
                <c:pt idx="5">
                  <c:v>5.4166666666666679</c:v>
                </c:pt>
                <c:pt idx="6">
                  <c:v>12.291666666666668</c:v>
                </c:pt>
                <c:pt idx="7">
                  <c:v>9.7916666666666679</c:v>
                </c:pt>
                <c:pt idx="8">
                  <c:v>11.875</c:v>
                </c:pt>
                <c:pt idx="9">
                  <c:v>11.041666666666664</c:v>
                </c:pt>
                <c:pt idx="10">
                  <c:v>10.833333333333336</c:v>
                </c:pt>
                <c:pt idx="11">
                  <c:v>8.9583333333333357</c:v>
                </c:pt>
                <c:pt idx="12">
                  <c:v>7.5</c:v>
                </c:pt>
                <c:pt idx="13">
                  <c:v>3.9583333333333357</c:v>
                </c:pt>
                <c:pt idx="14">
                  <c:v>3.75</c:v>
                </c:pt>
                <c:pt idx="15">
                  <c:v>2.9166666666666643</c:v>
                </c:pt>
                <c:pt idx="16">
                  <c:v>1.6666666666666643</c:v>
                </c:pt>
                <c:pt idx="17">
                  <c:v>2.2916666666666643</c:v>
                </c:pt>
                <c:pt idx="18">
                  <c:v>2.2916666666666643</c:v>
                </c:pt>
                <c:pt idx="19">
                  <c:v>3.9583333333333357</c:v>
                </c:pt>
                <c:pt idx="20">
                  <c:v>6.25</c:v>
                </c:pt>
                <c:pt idx="21">
                  <c:v>8.125</c:v>
                </c:pt>
                <c:pt idx="22">
                  <c:v>7.2916666666666714</c:v>
                </c:pt>
                <c:pt idx="23">
                  <c:v>7.2916666666666714</c:v>
                </c:pt>
                <c:pt idx="24">
                  <c:v>9.7916666666666714</c:v>
                </c:pt>
                <c:pt idx="25">
                  <c:v>15.833333333333329</c:v>
                </c:pt>
                <c:pt idx="26">
                  <c:v>15.833333333333329</c:v>
                </c:pt>
                <c:pt idx="27">
                  <c:v>15.416666666666671</c:v>
                </c:pt>
                <c:pt idx="28">
                  <c:v>14.166666666666671</c:v>
                </c:pt>
                <c:pt idx="29">
                  <c:v>11.25</c:v>
                </c:pt>
                <c:pt idx="30">
                  <c:v>10</c:v>
                </c:pt>
                <c:pt idx="31">
                  <c:v>8.75</c:v>
                </c:pt>
                <c:pt idx="32">
                  <c:v>8.75</c:v>
                </c:pt>
                <c:pt idx="33">
                  <c:v>10.416666666666671</c:v>
                </c:pt>
                <c:pt idx="34">
                  <c:v>10.416666666666671</c:v>
                </c:pt>
                <c:pt idx="35">
                  <c:v>10.833333333333329</c:v>
                </c:pt>
                <c:pt idx="36">
                  <c:v>9.5833333333333286</c:v>
                </c:pt>
                <c:pt idx="37">
                  <c:v>5</c:v>
                </c:pt>
                <c:pt idx="38">
                  <c:v>4.5833333333333286</c:v>
                </c:pt>
                <c:pt idx="39">
                  <c:v>4.375</c:v>
                </c:pt>
                <c:pt idx="40">
                  <c:v>6.875</c:v>
                </c:pt>
                <c:pt idx="41">
                  <c:v>4.1666666666666572</c:v>
                </c:pt>
                <c:pt idx="42">
                  <c:v>2.7083333333333428</c:v>
                </c:pt>
                <c:pt idx="43">
                  <c:v>3.9583333333333428</c:v>
                </c:pt>
                <c:pt idx="44">
                  <c:v>3.9583333333333428</c:v>
                </c:pt>
                <c:pt idx="45">
                  <c:v>5.4166666666666572</c:v>
                </c:pt>
                <c:pt idx="46">
                  <c:v>1.6666666666666572</c:v>
                </c:pt>
                <c:pt idx="47">
                  <c:v>2.9166666666666572</c:v>
                </c:pt>
                <c:pt idx="48">
                  <c:v>1.4583333333333428</c:v>
                </c:pt>
                <c:pt idx="49">
                  <c:v>6.4583333333333428</c:v>
                </c:pt>
                <c:pt idx="50">
                  <c:v>1.25</c:v>
                </c:pt>
                <c:pt idx="51">
                  <c:v>6.25</c:v>
                </c:pt>
                <c:pt idx="52">
                  <c:v>5.4166666666666572</c:v>
                </c:pt>
                <c:pt idx="53">
                  <c:v>5.2083333333333428</c:v>
                </c:pt>
                <c:pt idx="54">
                  <c:v>3.75</c:v>
                </c:pt>
                <c:pt idx="55">
                  <c:v>4.1666666666666572</c:v>
                </c:pt>
                <c:pt idx="56">
                  <c:v>3.75</c:v>
                </c:pt>
                <c:pt idx="57">
                  <c:v>7.5</c:v>
                </c:pt>
                <c:pt idx="58">
                  <c:v>12.708333333333343</c:v>
                </c:pt>
                <c:pt idx="59">
                  <c:v>10.833333333333343</c:v>
                </c:pt>
                <c:pt idx="60">
                  <c:v>5.8333333333333428</c:v>
                </c:pt>
                <c:pt idx="61">
                  <c:v>0.83333333333334281</c:v>
                </c:pt>
                <c:pt idx="62">
                  <c:v>1.25</c:v>
                </c:pt>
                <c:pt idx="63">
                  <c:v>0.83333333333334281</c:v>
                </c:pt>
                <c:pt idx="64">
                  <c:v>-15.416666666666686</c:v>
                </c:pt>
                <c:pt idx="65">
                  <c:v>-15.833333333333314</c:v>
                </c:pt>
                <c:pt idx="66">
                  <c:v>-21.041666666666686</c:v>
                </c:pt>
                <c:pt idx="67">
                  <c:v>-22.5</c:v>
                </c:pt>
                <c:pt idx="68">
                  <c:v>-21.666666666666686</c:v>
                </c:pt>
                <c:pt idx="69">
                  <c:v>-33.333333333333314</c:v>
                </c:pt>
                <c:pt idx="70">
                  <c:v>-34.583333333333314</c:v>
                </c:pt>
                <c:pt idx="71">
                  <c:v>-35.833333333333314</c:v>
                </c:pt>
                <c:pt idx="72">
                  <c:v>-41.666666666666686</c:v>
                </c:pt>
                <c:pt idx="73">
                  <c:v>-37.916666666666686</c:v>
                </c:pt>
                <c:pt idx="74">
                  <c:v>-36.25</c:v>
                </c:pt>
                <c:pt idx="75">
                  <c:v>-48.75</c:v>
                </c:pt>
              </c:numCache>
            </c:numRef>
          </c:val>
        </c:ser>
        <c:marker val="1"/>
        <c:axId val="224771456"/>
        <c:axId val="224785536"/>
      </c:lineChart>
      <c:catAx>
        <c:axId val="224771456"/>
        <c:scaling>
          <c:orientation val="minMax"/>
        </c:scaling>
        <c:axPos val="b"/>
        <c:numFmt formatCode="General" sourceLinked="1"/>
        <c:tickLblPos val="low"/>
        <c:spPr>
          <a:ln w="12700">
            <a:solidFill>
              <a:srgbClr val="FFFFFF"/>
            </a:solidFill>
            <a:prstDash val="solid"/>
          </a:ln>
        </c:spPr>
        <c:txPr>
          <a:bodyPr rot="-5400000" vert="horz"/>
          <a:lstStyle/>
          <a:p>
            <a:pPr>
              <a:defRPr sz="950" b="1" i="1" u="none" strike="noStrike" baseline="0">
                <a:solidFill>
                  <a:srgbClr val="FFFFFF"/>
                </a:solidFill>
                <a:latin typeface="Arial"/>
                <a:ea typeface="Arial"/>
                <a:cs typeface="Arial"/>
              </a:defRPr>
            </a:pPr>
            <a:endParaRPr lang="nl-NL"/>
          </a:p>
        </c:txPr>
        <c:crossAx val="224785536"/>
        <c:crossesAt val="0"/>
        <c:auto val="1"/>
        <c:lblAlgn val="ctr"/>
        <c:lblOffset val="100"/>
        <c:tickLblSkip val="1"/>
        <c:tickMarkSkip val="1"/>
      </c:catAx>
      <c:valAx>
        <c:axId val="224785536"/>
        <c:scaling>
          <c:orientation val="minMax"/>
          <c:min val="-40"/>
        </c:scaling>
        <c:axPos val="l"/>
        <c:majorGridlines>
          <c:spPr>
            <a:ln w="12700">
              <a:solidFill>
                <a:schemeClr val="tx1">
                  <a:lumMod val="85000"/>
                  <a:lumOff val="15000"/>
                </a:schemeClr>
              </a:solidFill>
              <a:prstDash val="sysDot"/>
            </a:ln>
          </c:spPr>
        </c:majorGridlines>
        <c:title>
          <c:tx>
            <c:rich>
              <a:bodyPr rot="5400000" vert="horz"/>
              <a:lstStyle/>
              <a:p>
                <a:pPr algn="ctr">
                  <a:defRPr sz="900" b="1" i="0" u="none" strike="noStrike" baseline="0">
                    <a:solidFill>
                      <a:srgbClr val="FFFFFF"/>
                    </a:solidFill>
                    <a:latin typeface="Arial"/>
                    <a:ea typeface="Arial"/>
                    <a:cs typeface="Arial"/>
                  </a:defRPr>
                </a:pPr>
                <a:r>
                  <a:rPr lang="nl-NL"/>
                  <a:t>Titel</a:t>
                </a:r>
              </a:p>
            </c:rich>
          </c:tx>
          <c:layout>
            <c:manualLayout>
              <c:xMode val="edge"/>
              <c:yMode val="edge"/>
              <c:x val="8.2403433476394682E-3"/>
              <c:y val="0.50379848060775689"/>
            </c:manualLayout>
          </c:layout>
          <c:spPr>
            <a:noFill/>
            <a:ln w="25400">
              <a:noFill/>
            </a:ln>
          </c:spPr>
        </c:title>
        <c:numFmt formatCode="0" sourceLinked="0"/>
        <c:tickLblPos val="high"/>
        <c:spPr>
          <a:ln w="9525">
            <a:noFill/>
          </a:ln>
        </c:spPr>
        <c:txPr>
          <a:bodyPr rot="0" vert="horz"/>
          <a:lstStyle/>
          <a:p>
            <a:pPr>
              <a:defRPr sz="950" b="1" i="1" u="none" strike="noStrike" baseline="0">
                <a:solidFill>
                  <a:srgbClr val="FFFFFF"/>
                </a:solidFill>
                <a:latin typeface="Arial"/>
                <a:ea typeface="Arial"/>
                <a:cs typeface="Arial"/>
              </a:defRPr>
            </a:pPr>
            <a:endParaRPr lang="nl-NL"/>
          </a:p>
        </c:txPr>
        <c:crossAx val="224771456"/>
        <c:crosses val="autoZero"/>
        <c:crossBetween val="midCat"/>
      </c:valAx>
      <c:spPr>
        <a:noFill/>
        <a:ln w="25400">
          <a:noFill/>
        </a:ln>
      </c:spPr>
    </c:plotArea>
    <c:legend>
      <c:legendPos val="r"/>
      <c:layout>
        <c:manualLayout>
          <c:xMode val="edge"/>
          <c:yMode val="edge"/>
          <c:x val="0.94693662484434959"/>
          <c:y val="0.10520071570626191"/>
          <c:w val="4.6738002185129142E-2"/>
          <c:h val="0.35610093620187239"/>
        </c:manualLayout>
      </c:layout>
      <c:spPr>
        <a:noFill/>
        <a:ln w="12700">
          <a:solidFill>
            <a:srgbClr val="000000"/>
          </a:solidFill>
          <a:prstDash val="solid"/>
        </a:ln>
      </c:spPr>
      <c:txPr>
        <a:bodyPr/>
        <a:lstStyle/>
        <a:p>
          <a:pPr>
            <a:defRPr sz="735" b="1" i="1" u="none" strike="noStrike" baseline="0">
              <a:solidFill>
                <a:srgbClr val="FFFFFF"/>
              </a:solidFill>
              <a:latin typeface="Arial"/>
              <a:ea typeface="Arial"/>
              <a:cs typeface="Arial"/>
            </a:defRPr>
          </a:pPr>
          <a:endParaRPr lang="nl-NL"/>
        </a:p>
      </c:txPr>
    </c:legend>
    <c:plotVisOnly val="1"/>
    <c:dispBlanksAs val="gap"/>
  </c:chart>
  <c:spPr>
    <a:solidFill>
      <a:srgbClr val="000000"/>
    </a:solidFill>
    <a:ln w="9525">
      <a:noFill/>
    </a:ln>
  </c:spPr>
  <c:txPr>
    <a:bodyPr/>
    <a:lstStyle/>
    <a:p>
      <a:pPr>
        <a:defRPr sz="1000" b="0" i="0" u="none" strike="noStrike" baseline="0">
          <a:solidFill>
            <a:srgbClr val="000000"/>
          </a:solidFill>
          <a:latin typeface="Arial"/>
          <a:ea typeface="Arial"/>
          <a:cs typeface="Arial"/>
        </a:defRPr>
      </a:pPr>
      <a:endParaRPr lang="nl-NL"/>
    </a:p>
  </c:txPr>
  <c:printSettings>
    <c:headerFooter alignWithMargins="0"/>
    <c:pageMargins b="1" l="0.750000000000005" r="0.750000000000005" t="1" header="0.51180555555555562" footer="0.51180555555555562"/>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9525</xdr:rowOff>
    </xdr:from>
    <xdr:to>
      <xdr:col>0</xdr:col>
      <xdr:colOff>9525</xdr:colOff>
      <xdr:row>10</xdr:row>
      <xdr:rowOff>85725</xdr:rowOff>
    </xdr:to>
    <xdr:pic>
      <xdr:nvPicPr>
        <xdr:cNvPr id="102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9525"/>
          <a:ext cx="9525" cy="2219325"/>
        </a:xfrm>
        <a:prstGeom prst="rect">
          <a:avLst/>
        </a:prstGeom>
        <a:solidFill>
          <a:srgbClr val="FFFFFF"/>
        </a:solidFill>
        <a:ln w="9360">
          <a:noFill/>
          <a:miter lim="800000"/>
          <a:headEnd/>
          <a:tailEnd/>
        </a:ln>
        <a:effectLst/>
      </xdr:spPr>
    </xdr:pic>
    <xdr:clientData/>
  </xdr:twoCellAnchor>
  <xdr:twoCellAnchor>
    <xdr:from>
      <xdr:col>0</xdr:col>
      <xdr:colOff>0</xdr:colOff>
      <xdr:row>0</xdr:row>
      <xdr:rowOff>0</xdr:rowOff>
    </xdr:from>
    <xdr:to>
      <xdr:col>0</xdr:col>
      <xdr:colOff>9525</xdr:colOff>
      <xdr:row>8</xdr:row>
      <xdr:rowOff>123825</xdr:rowOff>
    </xdr:to>
    <xdr:pic>
      <xdr:nvPicPr>
        <xdr:cNvPr id="1026"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9525" cy="1457325"/>
        </a:xfrm>
        <a:prstGeom prst="rect">
          <a:avLst/>
        </a:prstGeom>
        <a:solidFill>
          <a:srgbClr val="FFFFFF"/>
        </a:solidFill>
        <a:ln w="9360">
          <a:noFill/>
          <a:miter lim="800000"/>
          <a:headEnd/>
          <a:tailEnd/>
        </a:ln>
        <a:effectLst/>
      </xdr:spPr>
    </xdr:pic>
    <xdr:clientData/>
  </xdr:twoCellAnchor>
  <xdr:twoCellAnchor>
    <xdr:from>
      <xdr:col>0</xdr:col>
      <xdr:colOff>0</xdr:colOff>
      <xdr:row>0</xdr:row>
      <xdr:rowOff>0</xdr:rowOff>
    </xdr:from>
    <xdr:to>
      <xdr:col>8</xdr:col>
      <xdr:colOff>38100</xdr:colOff>
      <xdr:row>8</xdr:row>
      <xdr:rowOff>123825</xdr:rowOff>
    </xdr:to>
    <xdr:pic>
      <xdr:nvPicPr>
        <xdr:cNvPr id="1027"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6572250" cy="1457325"/>
        </a:xfrm>
        <a:prstGeom prst="rect">
          <a:avLst/>
        </a:prstGeom>
        <a:solidFill>
          <a:srgbClr val="FFFFFF"/>
        </a:solidFill>
        <a:ln w="9360">
          <a:noFill/>
          <a:miter lim="800000"/>
          <a:headEnd/>
          <a:tailEnd/>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9525</xdr:rowOff>
    </xdr:from>
    <xdr:to>
      <xdr:col>0</xdr:col>
      <xdr:colOff>0</xdr:colOff>
      <xdr:row>8</xdr:row>
      <xdr:rowOff>85725</xdr:rowOff>
    </xdr:to>
    <xdr:pic>
      <xdr:nvPicPr>
        <xdr:cNvPr id="2049" name="banner"/>
        <xdr:cNvPicPr>
          <a:picLocks noChangeAspect="1" noChangeArrowheads="1"/>
        </xdr:cNvPicPr>
      </xdr:nvPicPr>
      <xdr:blipFill>
        <a:blip xmlns:r="http://schemas.openxmlformats.org/officeDocument/2006/relationships" r:embed="rId1"/>
        <a:srcRect/>
        <a:stretch>
          <a:fillRect/>
        </a:stretch>
      </xdr:blipFill>
      <xdr:spPr bwMode="auto">
        <a:xfrm>
          <a:off x="0" y="9525"/>
          <a:ext cx="0" cy="1371600"/>
        </a:xfrm>
        <a:prstGeom prst="rect">
          <a:avLst/>
        </a:prstGeom>
        <a:solidFill>
          <a:srgbClr val="FFFFFF"/>
        </a:solidFill>
        <a:ln w="9360">
          <a:noFill/>
          <a:miter lim="800000"/>
          <a:headEnd/>
          <a:tailEnd/>
        </a:ln>
        <a:effectLst/>
      </xdr:spPr>
    </xdr:pic>
    <xdr:clientData/>
  </xdr:twoCellAnchor>
  <xdr:twoCellAnchor editAs="oneCell">
    <xdr:from>
      <xdr:col>3</xdr:col>
      <xdr:colOff>200025</xdr:colOff>
      <xdr:row>0</xdr:row>
      <xdr:rowOff>0</xdr:rowOff>
    </xdr:from>
    <xdr:to>
      <xdr:col>11</xdr:col>
      <xdr:colOff>0</xdr:colOff>
      <xdr:row>8</xdr:row>
      <xdr:rowOff>201796</xdr:rowOff>
    </xdr:to>
    <xdr:pic>
      <xdr:nvPicPr>
        <xdr:cNvPr id="36865" name="Picture 1" descr="http://4.bp.blogspot.com/-Q1rtDsA5eks/TiqVoEpfUHI/AAAAAAAAAIs/CNxR-H-9EhA/s1600/fifa2014.jpg"/>
        <xdr:cNvPicPr>
          <a:picLocks noChangeAspect="1" noChangeArrowheads="1"/>
        </xdr:cNvPicPr>
      </xdr:nvPicPr>
      <xdr:blipFill>
        <a:blip xmlns:r="http://schemas.openxmlformats.org/officeDocument/2006/relationships" r:embed="rId2" cstate="print"/>
        <a:srcRect/>
        <a:stretch>
          <a:fillRect/>
        </a:stretch>
      </xdr:blipFill>
      <xdr:spPr bwMode="auto">
        <a:xfrm>
          <a:off x="1133475" y="0"/>
          <a:ext cx="3286125" cy="1497196"/>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142875</xdr:colOff>
      <xdr:row>0</xdr:row>
      <xdr:rowOff>28575</xdr:rowOff>
    </xdr:from>
    <xdr:to>
      <xdr:col>22</xdr:col>
      <xdr:colOff>447675</xdr:colOff>
      <xdr:row>10</xdr:row>
      <xdr:rowOff>57150</xdr:rowOff>
    </xdr:to>
    <xdr:sp macro="" textlink="" fLocksText="0">
      <xdr:nvSpPr>
        <xdr:cNvPr id="30726" name="Text Box 60"/>
        <xdr:cNvSpPr>
          <a:spLocks noChangeArrowheads="1"/>
        </xdr:cNvSpPr>
      </xdr:nvSpPr>
      <xdr:spPr bwMode="auto">
        <a:xfrm>
          <a:off x="142875" y="28575"/>
          <a:ext cx="6591300" cy="1457325"/>
        </a:xfrm>
        <a:prstGeom prst="rect">
          <a:avLst/>
        </a:prstGeom>
        <a:solidFill>
          <a:srgbClr val="FFFFFF"/>
        </a:solidFill>
        <a:ln w="9360">
          <a:solidFill>
            <a:srgbClr val="000000"/>
          </a:solidFill>
          <a:miter lim="800000"/>
          <a:headEnd/>
          <a:tailEnd/>
        </a:ln>
        <a:effectLst/>
      </xdr:spPr>
      <xdr:txBody>
        <a:bodyPr vertOverflow="clip" wrap="square" lIns="0" tIns="0" rIns="0" bIns="0" anchor="t" upright="1"/>
        <a:lstStyle/>
        <a:p>
          <a:pPr algn="l" rtl="0">
            <a:defRPr sz="1000"/>
          </a:pPr>
          <a:r>
            <a:rPr lang="nl-NL" sz="1000" b="0" i="0" u="none" strike="noStrike" baseline="0">
              <a:solidFill>
                <a:srgbClr val="000000"/>
              </a:solidFill>
              <a:latin typeface="Arial"/>
              <a:cs typeface="Arial"/>
            </a:rPr>
            <a:t>De rangschikking van elk team in elke groep wordt als volgt bepaald:</a:t>
          </a:r>
        </a:p>
        <a:p>
          <a:pPr algn="l" rtl="0">
            <a:defRPr sz="1000"/>
          </a:pPr>
          <a:r>
            <a:rPr lang="nl-NL" sz="1000" b="0" i="0" u="none" strike="noStrike" baseline="0">
              <a:solidFill>
                <a:srgbClr val="000000"/>
              </a:solidFill>
              <a:latin typeface="Arial"/>
              <a:cs typeface="Arial"/>
            </a:rPr>
            <a:t>a) hoogste aantal behaalde punten in alle groepswedstrijden;</a:t>
          </a:r>
        </a:p>
        <a:p>
          <a:pPr algn="l" rtl="0">
            <a:defRPr sz="1000"/>
          </a:pPr>
          <a:r>
            <a:rPr lang="nl-NL" sz="1000" b="0" i="0" u="none" strike="noStrike" baseline="0">
              <a:solidFill>
                <a:srgbClr val="000000"/>
              </a:solidFill>
              <a:latin typeface="Arial"/>
              <a:cs typeface="Arial"/>
            </a:rPr>
            <a:t>b) doelpuntenverschil in alle groepswedstrijden;</a:t>
          </a:r>
        </a:p>
        <a:p>
          <a:pPr algn="l" rtl="0">
            <a:defRPr sz="1000"/>
          </a:pPr>
          <a:r>
            <a:rPr lang="nl-NL" sz="1000" b="0" i="0" u="none" strike="noStrike" baseline="0">
              <a:solidFill>
                <a:srgbClr val="000000"/>
              </a:solidFill>
              <a:latin typeface="Arial"/>
              <a:cs typeface="Arial"/>
            </a:rPr>
            <a:t>c) hoogste aantal gescoorde doelpunten in alle groepswedstrijden.</a:t>
          </a:r>
        </a:p>
        <a:p>
          <a:pPr algn="l" rtl="0">
            <a:defRPr sz="1000"/>
          </a:pPr>
          <a:r>
            <a:rPr lang="nl-NL" sz="1000" b="0" i="0" u="none" strike="noStrike" baseline="0">
              <a:solidFill>
                <a:srgbClr val="000000"/>
              </a:solidFill>
              <a:latin typeface="Arial"/>
              <a:cs typeface="Arial"/>
            </a:rPr>
            <a:t>Als twee of meer teams gelijk eindigen op basis van de drie bovenstaande criteria, wordt hun rangschikking als volgt bepaald:</a:t>
          </a:r>
        </a:p>
        <a:p>
          <a:pPr algn="l" rtl="0">
            <a:defRPr sz="1000"/>
          </a:pPr>
          <a:r>
            <a:rPr lang="nl-NL" sz="1000" b="0" i="0" u="none" strike="noStrike" baseline="0">
              <a:solidFill>
                <a:srgbClr val="000000"/>
              </a:solidFill>
              <a:latin typeface="Arial"/>
              <a:cs typeface="Arial"/>
            </a:rPr>
            <a:t>d) Hoogste aantal behaalde punten in de groepswedstrijden tussen de betrokken teams;</a:t>
          </a:r>
        </a:p>
        <a:p>
          <a:pPr algn="l" rtl="0">
            <a:defRPr sz="1000"/>
          </a:pPr>
          <a:r>
            <a:rPr lang="nl-NL" sz="1000" b="0" i="0" u="none" strike="noStrike" baseline="0">
              <a:solidFill>
                <a:srgbClr val="000000"/>
              </a:solidFill>
              <a:latin typeface="Arial"/>
              <a:cs typeface="Arial"/>
            </a:rPr>
            <a:t>e) doelpuntenverschil van de groepswedstrijden tussen de betrokken teams;</a:t>
          </a:r>
        </a:p>
        <a:p>
          <a:pPr algn="l" rtl="0">
            <a:defRPr sz="1000"/>
          </a:pPr>
          <a:r>
            <a:rPr lang="nl-NL" sz="1000" b="0" i="0" u="none" strike="noStrike" baseline="0">
              <a:solidFill>
                <a:srgbClr val="000000"/>
              </a:solidFill>
              <a:latin typeface="Arial"/>
              <a:cs typeface="Arial"/>
            </a:rPr>
            <a:t>f) het hoogste aantal gescoorde doelpunten in alle groepswedstrijden tussen de betrokken teams;</a:t>
          </a:r>
        </a:p>
        <a:p>
          <a:pPr algn="l" rtl="0">
            <a:defRPr sz="1000"/>
          </a:pPr>
          <a:r>
            <a:rPr lang="nl-NL" sz="1000" b="0" i="0" u="none" strike="noStrike" baseline="0">
              <a:solidFill>
                <a:srgbClr val="000000"/>
              </a:solidFill>
              <a:latin typeface="Arial"/>
              <a:cs typeface="Arial"/>
            </a:rPr>
            <a:t>g) loting door het organisatiecomité van WK 2010™.</a:t>
          </a:r>
        </a:p>
        <a:p>
          <a:pPr algn="l" rtl="0">
            <a:defRPr sz="1000"/>
          </a:pPr>
          <a:r>
            <a:rPr lang="nl-NL" sz="1000" b="0" i="0" u="none" strike="noStrike" baseline="0">
              <a:solidFill>
                <a:srgbClr val="000000"/>
              </a:solidFill>
              <a:latin typeface="Arial"/>
              <a:cs typeface="Arial"/>
            </a:rPr>
            <a:t>-------------</a:t>
          </a:r>
          <a:r>
            <a:rPr lang="nl-NL" sz="1000" b="1" i="0" u="none" strike="noStrike" baseline="0">
              <a:solidFill>
                <a:srgbClr val="000000"/>
              </a:solidFill>
              <a:latin typeface="Arial"/>
              <a:cs typeface="Arial"/>
            </a:rPr>
            <a:t>Indien er loting plaats zal vinden, dient de final rank handmatig ingevuld te worden (kolom "N")</a:t>
          </a:r>
          <a:r>
            <a:rPr lang="nl-NL" sz="1000" b="0" i="0" u="none" strike="noStrike" baseline="0">
              <a:solidFill>
                <a:srgbClr val="000000"/>
              </a:solidFill>
              <a:latin typeface="Arial"/>
              <a:cs typeface="Arial"/>
            </a:rPr>
            <a: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xdr:colOff>
      <xdr:row>0</xdr:row>
      <xdr:rowOff>0</xdr:rowOff>
    </xdr:from>
    <xdr:to>
      <xdr:col>31</xdr:col>
      <xdr:colOff>0</xdr:colOff>
      <xdr:row>49</xdr:row>
      <xdr:rowOff>19050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0</xdr:row>
      <xdr:rowOff>0</xdr:rowOff>
    </xdr:from>
    <xdr:to>
      <xdr:col>31</xdr:col>
      <xdr:colOff>122464</xdr:colOff>
      <xdr:row>74</xdr:row>
      <xdr:rowOff>13607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676275</xdr:colOff>
      <xdr:row>27</xdr:row>
      <xdr:rowOff>19050</xdr:rowOff>
    </xdr:from>
    <xdr:to>
      <xdr:col>4</xdr:col>
      <xdr:colOff>171450</xdr:colOff>
      <xdr:row>28</xdr:row>
      <xdr:rowOff>133350</xdr:rowOff>
    </xdr:to>
    <xdr:sp macro="" textlink="">
      <xdr:nvSpPr>
        <xdr:cNvPr id="24577" name="Picture 27"/>
        <xdr:cNvSpPr>
          <a:spLocks noChangeAspect="1" noChangeArrowheads="1"/>
        </xdr:cNvSpPr>
      </xdr:nvSpPr>
      <xdr:spPr bwMode="auto">
        <a:xfrm>
          <a:off x="2209800" y="5238750"/>
          <a:ext cx="295275" cy="304800"/>
        </a:xfrm>
        <a:prstGeom prst="rect">
          <a:avLst/>
        </a:prstGeom>
        <a:noFill/>
        <a:ln w="9525">
          <a:noFill/>
          <a:round/>
          <a:headEnd/>
          <a:tailEnd/>
        </a:ln>
        <a:effectLst/>
      </xdr:spPr>
    </xdr:sp>
    <xdr:clientData/>
  </xdr:twoCellAnchor>
  <xdr:twoCellAnchor>
    <xdr:from>
      <xdr:col>4</xdr:col>
      <xdr:colOff>981075</xdr:colOff>
      <xdr:row>27</xdr:row>
      <xdr:rowOff>19050</xdr:rowOff>
    </xdr:from>
    <xdr:to>
      <xdr:col>6</xdr:col>
      <xdr:colOff>9525</xdr:colOff>
      <xdr:row>28</xdr:row>
      <xdr:rowOff>133350</xdr:rowOff>
    </xdr:to>
    <xdr:sp macro="" textlink="">
      <xdr:nvSpPr>
        <xdr:cNvPr id="24578" name="Picture 28"/>
        <xdr:cNvSpPr>
          <a:spLocks noChangeAspect="1" noChangeArrowheads="1"/>
        </xdr:cNvSpPr>
      </xdr:nvSpPr>
      <xdr:spPr bwMode="auto">
        <a:xfrm>
          <a:off x="3314700" y="5238750"/>
          <a:ext cx="285750" cy="304800"/>
        </a:xfrm>
        <a:prstGeom prst="rect">
          <a:avLst/>
        </a:prstGeom>
        <a:noFill/>
        <a:ln w="9525">
          <a:noFill/>
          <a:round/>
          <a:headEnd/>
          <a:tailEnd/>
        </a:ln>
        <a:effectLst/>
      </xdr:spPr>
    </xdr:sp>
    <xdr:clientData/>
  </xdr:twoCellAnchor>
  <xdr:twoCellAnchor>
    <xdr:from>
      <xdr:col>3</xdr:col>
      <xdr:colOff>676275</xdr:colOff>
      <xdr:row>28</xdr:row>
      <xdr:rowOff>19050</xdr:rowOff>
    </xdr:from>
    <xdr:to>
      <xdr:col>4</xdr:col>
      <xdr:colOff>171450</xdr:colOff>
      <xdr:row>29</xdr:row>
      <xdr:rowOff>133350</xdr:rowOff>
    </xdr:to>
    <xdr:sp macro="" textlink="">
      <xdr:nvSpPr>
        <xdr:cNvPr id="24579" name="Picture 29"/>
        <xdr:cNvSpPr>
          <a:spLocks noChangeAspect="1" noChangeArrowheads="1"/>
        </xdr:cNvSpPr>
      </xdr:nvSpPr>
      <xdr:spPr bwMode="auto">
        <a:xfrm>
          <a:off x="2209800" y="5429250"/>
          <a:ext cx="295275" cy="304800"/>
        </a:xfrm>
        <a:prstGeom prst="rect">
          <a:avLst/>
        </a:prstGeom>
        <a:noFill/>
        <a:ln w="9525">
          <a:noFill/>
          <a:round/>
          <a:headEnd/>
          <a:tailEnd/>
        </a:ln>
        <a:effectLst/>
      </xdr:spPr>
    </xdr:sp>
    <xdr:clientData/>
  </xdr:twoCellAnchor>
  <xdr:twoCellAnchor>
    <xdr:from>
      <xdr:col>4</xdr:col>
      <xdr:colOff>981075</xdr:colOff>
      <xdr:row>28</xdr:row>
      <xdr:rowOff>19050</xdr:rowOff>
    </xdr:from>
    <xdr:to>
      <xdr:col>6</xdr:col>
      <xdr:colOff>9525</xdr:colOff>
      <xdr:row>29</xdr:row>
      <xdr:rowOff>133350</xdr:rowOff>
    </xdr:to>
    <xdr:sp macro="" textlink="">
      <xdr:nvSpPr>
        <xdr:cNvPr id="24580" name="Picture 30"/>
        <xdr:cNvSpPr>
          <a:spLocks noChangeAspect="1" noChangeArrowheads="1"/>
        </xdr:cNvSpPr>
      </xdr:nvSpPr>
      <xdr:spPr bwMode="auto">
        <a:xfrm>
          <a:off x="3314700" y="5429250"/>
          <a:ext cx="285750" cy="304800"/>
        </a:xfrm>
        <a:prstGeom prst="rect">
          <a:avLst/>
        </a:prstGeom>
        <a:noFill/>
        <a:ln w="9525">
          <a:noFill/>
          <a:round/>
          <a:headEnd/>
          <a:tailEnd/>
        </a:ln>
        <a:effectLst/>
      </xdr:spPr>
    </xdr:sp>
    <xdr:clientData/>
  </xdr:twoCellAnchor>
  <xdr:twoCellAnchor>
    <xdr:from>
      <xdr:col>3</xdr:col>
      <xdr:colOff>676275</xdr:colOff>
      <xdr:row>29</xdr:row>
      <xdr:rowOff>19050</xdr:rowOff>
    </xdr:from>
    <xdr:to>
      <xdr:col>4</xdr:col>
      <xdr:colOff>171450</xdr:colOff>
      <xdr:row>30</xdr:row>
      <xdr:rowOff>133350</xdr:rowOff>
    </xdr:to>
    <xdr:sp macro="" textlink="">
      <xdr:nvSpPr>
        <xdr:cNvPr id="24581" name="Picture 31"/>
        <xdr:cNvSpPr>
          <a:spLocks noChangeAspect="1" noChangeArrowheads="1"/>
        </xdr:cNvSpPr>
      </xdr:nvSpPr>
      <xdr:spPr bwMode="auto">
        <a:xfrm>
          <a:off x="2209800" y="5619750"/>
          <a:ext cx="295275" cy="304800"/>
        </a:xfrm>
        <a:prstGeom prst="rect">
          <a:avLst/>
        </a:prstGeom>
        <a:noFill/>
        <a:ln w="9525">
          <a:noFill/>
          <a:round/>
          <a:headEnd/>
          <a:tailEnd/>
        </a:ln>
        <a:effectLst/>
      </xdr:spPr>
    </xdr:sp>
    <xdr:clientData/>
  </xdr:twoCellAnchor>
  <xdr:twoCellAnchor>
    <xdr:from>
      <xdr:col>4</xdr:col>
      <xdr:colOff>981075</xdr:colOff>
      <xdr:row>29</xdr:row>
      <xdr:rowOff>19050</xdr:rowOff>
    </xdr:from>
    <xdr:to>
      <xdr:col>6</xdr:col>
      <xdr:colOff>9525</xdr:colOff>
      <xdr:row>30</xdr:row>
      <xdr:rowOff>133350</xdr:rowOff>
    </xdr:to>
    <xdr:sp macro="" textlink="">
      <xdr:nvSpPr>
        <xdr:cNvPr id="24582" name="Picture 32"/>
        <xdr:cNvSpPr>
          <a:spLocks noChangeAspect="1" noChangeArrowheads="1"/>
        </xdr:cNvSpPr>
      </xdr:nvSpPr>
      <xdr:spPr bwMode="auto">
        <a:xfrm>
          <a:off x="3314700" y="5619750"/>
          <a:ext cx="285750" cy="304800"/>
        </a:xfrm>
        <a:prstGeom prst="rect">
          <a:avLst/>
        </a:prstGeom>
        <a:noFill/>
        <a:ln w="9525">
          <a:noFill/>
          <a:round/>
          <a:headEnd/>
          <a:tailEnd/>
        </a:ln>
        <a:effectLst/>
      </xdr:spPr>
    </xdr:sp>
    <xdr:clientData/>
  </xdr:twoCellAnchor>
  <xdr:twoCellAnchor>
    <xdr:from>
      <xdr:col>3</xdr:col>
      <xdr:colOff>676275</xdr:colOff>
      <xdr:row>30</xdr:row>
      <xdr:rowOff>19050</xdr:rowOff>
    </xdr:from>
    <xdr:to>
      <xdr:col>4</xdr:col>
      <xdr:colOff>171450</xdr:colOff>
      <xdr:row>31</xdr:row>
      <xdr:rowOff>133350</xdr:rowOff>
    </xdr:to>
    <xdr:sp macro="" textlink="">
      <xdr:nvSpPr>
        <xdr:cNvPr id="24583" name="Picture 33"/>
        <xdr:cNvSpPr>
          <a:spLocks noChangeAspect="1" noChangeArrowheads="1"/>
        </xdr:cNvSpPr>
      </xdr:nvSpPr>
      <xdr:spPr bwMode="auto">
        <a:xfrm>
          <a:off x="2209800" y="5810250"/>
          <a:ext cx="295275" cy="304800"/>
        </a:xfrm>
        <a:prstGeom prst="rect">
          <a:avLst/>
        </a:prstGeom>
        <a:noFill/>
        <a:ln w="9525">
          <a:noFill/>
          <a:round/>
          <a:headEnd/>
          <a:tailEnd/>
        </a:ln>
        <a:effectLst/>
      </xdr:spPr>
    </xdr:sp>
    <xdr:clientData/>
  </xdr:twoCellAnchor>
  <xdr:twoCellAnchor>
    <xdr:from>
      <xdr:col>4</xdr:col>
      <xdr:colOff>981075</xdr:colOff>
      <xdr:row>30</xdr:row>
      <xdr:rowOff>19050</xdr:rowOff>
    </xdr:from>
    <xdr:to>
      <xdr:col>6</xdr:col>
      <xdr:colOff>9525</xdr:colOff>
      <xdr:row>31</xdr:row>
      <xdr:rowOff>133350</xdr:rowOff>
    </xdr:to>
    <xdr:sp macro="" textlink="">
      <xdr:nvSpPr>
        <xdr:cNvPr id="24584" name="Picture 34"/>
        <xdr:cNvSpPr>
          <a:spLocks noChangeAspect="1" noChangeArrowheads="1"/>
        </xdr:cNvSpPr>
      </xdr:nvSpPr>
      <xdr:spPr bwMode="auto">
        <a:xfrm>
          <a:off x="3314700" y="5810250"/>
          <a:ext cx="285750" cy="304800"/>
        </a:xfrm>
        <a:prstGeom prst="rect">
          <a:avLst/>
        </a:prstGeom>
        <a:noFill/>
        <a:ln w="9525">
          <a:noFill/>
          <a:round/>
          <a:headEnd/>
          <a:tailEnd/>
        </a:ln>
        <a:effectLst/>
      </xdr:spPr>
    </xdr:sp>
    <xdr:clientData/>
  </xdr:twoCellAnchor>
  <xdr:twoCellAnchor>
    <xdr:from>
      <xdr:col>3</xdr:col>
      <xdr:colOff>676275</xdr:colOff>
      <xdr:row>31</xdr:row>
      <xdr:rowOff>19050</xdr:rowOff>
    </xdr:from>
    <xdr:to>
      <xdr:col>4</xdr:col>
      <xdr:colOff>171450</xdr:colOff>
      <xdr:row>32</xdr:row>
      <xdr:rowOff>133350</xdr:rowOff>
    </xdr:to>
    <xdr:sp macro="" textlink="">
      <xdr:nvSpPr>
        <xdr:cNvPr id="24585" name="Picture 35"/>
        <xdr:cNvSpPr>
          <a:spLocks noChangeAspect="1" noChangeArrowheads="1"/>
        </xdr:cNvSpPr>
      </xdr:nvSpPr>
      <xdr:spPr bwMode="auto">
        <a:xfrm>
          <a:off x="2209800" y="6000750"/>
          <a:ext cx="295275" cy="304800"/>
        </a:xfrm>
        <a:prstGeom prst="rect">
          <a:avLst/>
        </a:prstGeom>
        <a:noFill/>
        <a:ln w="9525">
          <a:noFill/>
          <a:round/>
          <a:headEnd/>
          <a:tailEnd/>
        </a:ln>
        <a:effectLst/>
      </xdr:spPr>
    </xdr:sp>
    <xdr:clientData/>
  </xdr:twoCellAnchor>
  <xdr:twoCellAnchor>
    <xdr:from>
      <xdr:col>4</xdr:col>
      <xdr:colOff>981075</xdr:colOff>
      <xdr:row>31</xdr:row>
      <xdr:rowOff>19050</xdr:rowOff>
    </xdr:from>
    <xdr:to>
      <xdr:col>6</xdr:col>
      <xdr:colOff>9525</xdr:colOff>
      <xdr:row>32</xdr:row>
      <xdr:rowOff>133350</xdr:rowOff>
    </xdr:to>
    <xdr:sp macro="" textlink="">
      <xdr:nvSpPr>
        <xdr:cNvPr id="24586" name="Picture 36"/>
        <xdr:cNvSpPr>
          <a:spLocks noChangeAspect="1" noChangeArrowheads="1"/>
        </xdr:cNvSpPr>
      </xdr:nvSpPr>
      <xdr:spPr bwMode="auto">
        <a:xfrm>
          <a:off x="3314700" y="6000750"/>
          <a:ext cx="285750" cy="304800"/>
        </a:xfrm>
        <a:prstGeom prst="rect">
          <a:avLst/>
        </a:prstGeom>
        <a:noFill/>
        <a:ln w="9525">
          <a:noFill/>
          <a:round/>
          <a:headEnd/>
          <a:tailEnd/>
        </a:ln>
        <a:effectLst/>
      </xdr:spPr>
    </xdr:sp>
    <xdr:clientData/>
  </xdr:twoCellAnchor>
  <xdr:twoCellAnchor>
    <xdr:from>
      <xdr:col>3</xdr:col>
      <xdr:colOff>676275</xdr:colOff>
      <xdr:row>32</xdr:row>
      <xdr:rowOff>19050</xdr:rowOff>
    </xdr:from>
    <xdr:to>
      <xdr:col>4</xdr:col>
      <xdr:colOff>171450</xdr:colOff>
      <xdr:row>33</xdr:row>
      <xdr:rowOff>133350</xdr:rowOff>
    </xdr:to>
    <xdr:sp macro="" textlink="">
      <xdr:nvSpPr>
        <xdr:cNvPr id="24587" name="Picture 37"/>
        <xdr:cNvSpPr>
          <a:spLocks noChangeAspect="1" noChangeArrowheads="1"/>
        </xdr:cNvSpPr>
      </xdr:nvSpPr>
      <xdr:spPr bwMode="auto">
        <a:xfrm>
          <a:off x="2209800" y="6191250"/>
          <a:ext cx="295275" cy="304800"/>
        </a:xfrm>
        <a:prstGeom prst="rect">
          <a:avLst/>
        </a:prstGeom>
        <a:noFill/>
        <a:ln w="9525">
          <a:noFill/>
          <a:round/>
          <a:headEnd/>
          <a:tailEnd/>
        </a:ln>
        <a:effectLst/>
      </xdr:spPr>
    </xdr:sp>
    <xdr:clientData/>
  </xdr:twoCellAnchor>
  <xdr:twoCellAnchor>
    <xdr:from>
      <xdr:col>4</xdr:col>
      <xdr:colOff>981075</xdr:colOff>
      <xdr:row>32</xdr:row>
      <xdr:rowOff>19050</xdr:rowOff>
    </xdr:from>
    <xdr:to>
      <xdr:col>6</xdr:col>
      <xdr:colOff>9525</xdr:colOff>
      <xdr:row>33</xdr:row>
      <xdr:rowOff>133350</xdr:rowOff>
    </xdr:to>
    <xdr:sp macro="" textlink="">
      <xdr:nvSpPr>
        <xdr:cNvPr id="24588" name="Picture 38"/>
        <xdr:cNvSpPr>
          <a:spLocks noChangeAspect="1" noChangeArrowheads="1"/>
        </xdr:cNvSpPr>
      </xdr:nvSpPr>
      <xdr:spPr bwMode="auto">
        <a:xfrm>
          <a:off x="3314700" y="6191250"/>
          <a:ext cx="285750" cy="304800"/>
        </a:xfrm>
        <a:prstGeom prst="rect">
          <a:avLst/>
        </a:prstGeom>
        <a:noFill/>
        <a:ln w="9525">
          <a:noFill/>
          <a:round/>
          <a:headEnd/>
          <a:tailEnd/>
        </a:ln>
        <a:effectLst/>
      </xdr:spPr>
    </xdr:sp>
    <xdr:clientData/>
  </xdr:twoCellAnchor>
  <xdr:twoCellAnchor>
    <xdr:from>
      <xdr:col>3</xdr:col>
      <xdr:colOff>676275</xdr:colOff>
      <xdr:row>34</xdr:row>
      <xdr:rowOff>28575</xdr:rowOff>
    </xdr:from>
    <xdr:to>
      <xdr:col>4</xdr:col>
      <xdr:colOff>171450</xdr:colOff>
      <xdr:row>35</xdr:row>
      <xdr:rowOff>142875</xdr:rowOff>
    </xdr:to>
    <xdr:sp macro="" textlink="">
      <xdr:nvSpPr>
        <xdr:cNvPr id="24589" name="Picture 39"/>
        <xdr:cNvSpPr>
          <a:spLocks noChangeAspect="1" noChangeArrowheads="1"/>
        </xdr:cNvSpPr>
      </xdr:nvSpPr>
      <xdr:spPr bwMode="auto">
        <a:xfrm>
          <a:off x="2209800" y="6581775"/>
          <a:ext cx="295275" cy="304800"/>
        </a:xfrm>
        <a:prstGeom prst="rect">
          <a:avLst/>
        </a:prstGeom>
        <a:noFill/>
        <a:ln w="9525">
          <a:noFill/>
          <a:round/>
          <a:headEnd/>
          <a:tailEnd/>
        </a:ln>
        <a:effectLst/>
      </xdr:spPr>
    </xdr:sp>
    <xdr:clientData/>
  </xdr:twoCellAnchor>
  <xdr:twoCellAnchor>
    <xdr:from>
      <xdr:col>4</xdr:col>
      <xdr:colOff>981075</xdr:colOff>
      <xdr:row>34</xdr:row>
      <xdr:rowOff>28575</xdr:rowOff>
    </xdr:from>
    <xdr:to>
      <xdr:col>6</xdr:col>
      <xdr:colOff>9525</xdr:colOff>
      <xdr:row>35</xdr:row>
      <xdr:rowOff>142875</xdr:rowOff>
    </xdr:to>
    <xdr:sp macro="" textlink="">
      <xdr:nvSpPr>
        <xdr:cNvPr id="24590" name="Picture 40"/>
        <xdr:cNvSpPr>
          <a:spLocks noChangeAspect="1" noChangeArrowheads="1"/>
        </xdr:cNvSpPr>
      </xdr:nvSpPr>
      <xdr:spPr bwMode="auto">
        <a:xfrm>
          <a:off x="3314700" y="6581775"/>
          <a:ext cx="285750" cy="304800"/>
        </a:xfrm>
        <a:prstGeom prst="rect">
          <a:avLst/>
        </a:prstGeom>
        <a:noFill/>
        <a:ln w="9525">
          <a:noFill/>
          <a:round/>
          <a:headEnd/>
          <a:tailEnd/>
        </a:ln>
        <a:effectLst/>
      </xdr:spPr>
    </xdr:sp>
    <xdr:clientData/>
  </xdr:twoCellAnchor>
  <xdr:twoCellAnchor>
    <xdr:from>
      <xdr:col>3</xdr:col>
      <xdr:colOff>676275</xdr:colOff>
      <xdr:row>35</xdr:row>
      <xdr:rowOff>28575</xdr:rowOff>
    </xdr:from>
    <xdr:to>
      <xdr:col>4</xdr:col>
      <xdr:colOff>171450</xdr:colOff>
      <xdr:row>36</xdr:row>
      <xdr:rowOff>142875</xdr:rowOff>
    </xdr:to>
    <xdr:sp macro="" textlink="">
      <xdr:nvSpPr>
        <xdr:cNvPr id="24591" name="Picture 41"/>
        <xdr:cNvSpPr>
          <a:spLocks noChangeAspect="1" noChangeArrowheads="1"/>
        </xdr:cNvSpPr>
      </xdr:nvSpPr>
      <xdr:spPr bwMode="auto">
        <a:xfrm>
          <a:off x="2209800" y="6772275"/>
          <a:ext cx="295275" cy="304800"/>
        </a:xfrm>
        <a:prstGeom prst="rect">
          <a:avLst/>
        </a:prstGeom>
        <a:noFill/>
        <a:ln w="9525">
          <a:noFill/>
          <a:round/>
          <a:headEnd/>
          <a:tailEnd/>
        </a:ln>
        <a:effectLst/>
      </xdr:spPr>
    </xdr:sp>
    <xdr:clientData/>
  </xdr:twoCellAnchor>
  <xdr:twoCellAnchor>
    <xdr:from>
      <xdr:col>4</xdr:col>
      <xdr:colOff>981075</xdr:colOff>
      <xdr:row>35</xdr:row>
      <xdr:rowOff>28575</xdr:rowOff>
    </xdr:from>
    <xdr:to>
      <xdr:col>6</xdr:col>
      <xdr:colOff>9525</xdr:colOff>
      <xdr:row>36</xdr:row>
      <xdr:rowOff>142875</xdr:rowOff>
    </xdr:to>
    <xdr:sp macro="" textlink="">
      <xdr:nvSpPr>
        <xdr:cNvPr id="24592" name="Picture 42"/>
        <xdr:cNvSpPr>
          <a:spLocks noChangeAspect="1" noChangeArrowheads="1"/>
        </xdr:cNvSpPr>
      </xdr:nvSpPr>
      <xdr:spPr bwMode="auto">
        <a:xfrm>
          <a:off x="3314700" y="6772275"/>
          <a:ext cx="285750" cy="304800"/>
        </a:xfrm>
        <a:prstGeom prst="rect">
          <a:avLst/>
        </a:prstGeom>
        <a:noFill/>
        <a:ln w="9525">
          <a:noFill/>
          <a:round/>
          <a:headEnd/>
          <a:tailEnd/>
        </a:ln>
        <a:effectLst/>
      </xdr:spPr>
    </xdr:sp>
    <xdr:clientData/>
  </xdr:twoCellAnchor>
  <xdr:twoCellAnchor>
    <xdr:from>
      <xdr:col>3</xdr:col>
      <xdr:colOff>676275</xdr:colOff>
      <xdr:row>36</xdr:row>
      <xdr:rowOff>28575</xdr:rowOff>
    </xdr:from>
    <xdr:to>
      <xdr:col>4</xdr:col>
      <xdr:colOff>171450</xdr:colOff>
      <xdr:row>37</xdr:row>
      <xdr:rowOff>142875</xdr:rowOff>
    </xdr:to>
    <xdr:sp macro="" textlink="">
      <xdr:nvSpPr>
        <xdr:cNvPr id="24593" name="Picture 43"/>
        <xdr:cNvSpPr>
          <a:spLocks noChangeAspect="1" noChangeArrowheads="1"/>
        </xdr:cNvSpPr>
      </xdr:nvSpPr>
      <xdr:spPr bwMode="auto">
        <a:xfrm>
          <a:off x="2209800" y="6962775"/>
          <a:ext cx="295275" cy="304800"/>
        </a:xfrm>
        <a:prstGeom prst="rect">
          <a:avLst/>
        </a:prstGeom>
        <a:noFill/>
        <a:ln w="9525">
          <a:noFill/>
          <a:round/>
          <a:headEnd/>
          <a:tailEnd/>
        </a:ln>
        <a:effectLst/>
      </xdr:spPr>
    </xdr:sp>
    <xdr:clientData/>
  </xdr:twoCellAnchor>
  <xdr:twoCellAnchor>
    <xdr:from>
      <xdr:col>4</xdr:col>
      <xdr:colOff>981075</xdr:colOff>
      <xdr:row>36</xdr:row>
      <xdr:rowOff>28575</xdr:rowOff>
    </xdr:from>
    <xdr:to>
      <xdr:col>6</xdr:col>
      <xdr:colOff>9525</xdr:colOff>
      <xdr:row>37</xdr:row>
      <xdr:rowOff>142875</xdr:rowOff>
    </xdr:to>
    <xdr:sp macro="" textlink="">
      <xdr:nvSpPr>
        <xdr:cNvPr id="24594" name="Picture 44"/>
        <xdr:cNvSpPr>
          <a:spLocks noChangeAspect="1" noChangeArrowheads="1"/>
        </xdr:cNvSpPr>
      </xdr:nvSpPr>
      <xdr:spPr bwMode="auto">
        <a:xfrm>
          <a:off x="3314700" y="6962775"/>
          <a:ext cx="285750" cy="304800"/>
        </a:xfrm>
        <a:prstGeom prst="rect">
          <a:avLst/>
        </a:prstGeom>
        <a:noFill/>
        <a:ln w="9525">
          <a:noFill/>
          <a:round/>
          <a:headEnd/>
          <a:tailEnd/>
        </a:ln>
        <a:effectLst/>
      </xdr:spPr>
    </xdr:sp>
    <xdr:clientData/>
  </xdr:twoCellAnchor>
  <xdr:twoCellAnchor>
    <xdr:from>
      <xdr:col>3</xdr:col>
      <xdr:colOff>676275</xdr:colOff>
      <xdr:row>37</xdr:row>
      <xdr:rowOff>28575</xdr:rowOff>
    </xdr:from>
    <xdr:to>
      <xdr:col>4</xdr:col>
      <xdr:colOff>171450</xdr:colOff>
      <xdr:row>38</xdr:row>
      <xdr:rowOff>142875</xdr:rowOff>
    </xdr:to>
    <xdr:sp macro="" textlink="">
      <xdr:nvSpPr>
        <xdr:cNvPr id="24595" name="Picture 45"/>
        <xdr:cNvSpPr>
          <a:spLocks noChangeAspect="1" noChangeArrowheads="1"/>
        </xdr:cNvSpPr>
      </xdr:nvSpPr>
      <xdr:spPr bwMode="auto">
        <a:xfrm>
          <a:off x="2209800" y="7153275"/>
          <a:ext cx="295275" cy="304800"/>
        </a:xfrm>
        <a:prstGeom prst="rect">
          <a:avLst/>
        </a:prstGeom>
        <a:noFill/>
        <a:ln w="9525">
          <a:noFill/>
          <a:round/>
          <a:headEnd/>
          <a:tailEnd/>
        </a:ln>
        <a:effectLst/>
      </xdr:spPr>
    </xdr:sp>
    <xdr:clientData/>
  </xdr:twoCellAnchor>
  <xdr:twoCellAnchor>
    <xdr:from>
      <xdr:col>4</xdr:col>
      <xdr:colOff>981075</xdr:colOff>
      <xdr:row>37</xdr:row>
      <xdr:rowOff>28575</xdr:rowOff>
    </xdr:from>
    <xdr:to>
      <xdr:col>6</xdr:col>
      <xdr:colOff>9525</xdr:colOff>
      <xdr:row>38</xdr:row>
      <xdr:rowOff>142875</xdr:rowOff>
    </xdr:to>
    <xdr:sp macro="" textlink="">
      <xdr:nvSpPr>
        <xdr:cNvPr id="24596" name="Picture 46"/>
        <xdr:cNvSpPr>
          <a:spLocks noChangeAspect="1" noChangeArrowheads="1"/>
        </xdr:cNvSpPr>
      </xdr:nvSpPr>
      <xdr:spPr bwMode="auto">
        <a:xfrm>
          <a:off x="3314700" y="7153275"/>
          <a:ext cx="285750" cy="304800"/>
        </a:xfrm>
        <a:prstGeom prst="rect">
          <a:avLst/>
        </a:prstGeom>
        <a:noFill/>
        <a:ln w="9525">
          <a:noFill/>
          <a:round/>
          <a:headEnd/>
          <a:tailEnd/>
        </a:ln>
        <a:effectLst/>
      </xdr:spPr>
    </xdr:sp>
    <xdr:clientData/>
  </xdr:twoCellAnchor>
  <xdr:twoCellAnchor>
    <xdr:from>
      <xdr:col>3</xdr:col>
      <xdr:colOff>676275</xdr:colOff>
      <xdr:row>38</xdr:row>
      <xdr:rowOff>28575</xdr:rowOff>
    </xdr:from>
    <xdr:to>
      <xdr:col>4</xdr:col>
      <xdr:colOff>171450</xdr:colOff>
      <xdr:row>39</xdr:row>
      <xdr:rowOff>142875</xdr:rowOff>
    </xdr:to>
    <xdr:sp macro="" textlink="">
      <xdr:nvSpPr>
        <xdr:cNvPr id="24597" name="Picture 47"/>
        <xdr:cNvSpPr>
          <a:spLocks noChangeAspect="1" noChangeArrowheads="1"/>
        </xdr:cNvSpPr>
      </xdr:nvSpPr>
      <xdr:spPr bwMode="auto">
        <a:xfrm>
          <a:off x="2209800" y="7343775"/>
          <a:ext cx="295275" cy="304800"/>
        </a:xfrm>
        <a:prstGeom prst="rect">
          <a:avLst/>
        </a:prstGeom>
        <a:noFill/>
        <a:ln w="9525">
          <a:noFill/>
          <a:round/>
          <a:headEnd/>
          <a:tailEnd/>
        </a:ln>
        <a:effectLst/>
      </xdr:spPr>
    </xdr:sp>
    <xdr:clientData/>
  </xdr:twoCellAnchor>
  <xdr:twoCellAnchor>
    <xdr:from>
      <xdr:col>4</xdr:col>
      <xdr:colOff>981075</xdr:colOff>
      <xdr:row>38</xdr:row>
      <xdr:rowOff>28575</xdr:rowOff>
    </xdr:from>
    <xdr:to>
      <xdr:col>6</xdr:col>
      <xdr:colOff>9525</xdr:colOff>
      <xdr:row>39</xdr:row>
      <xdr:rowOff>142875</xdr:rowOff>
    </xdr:to>
    <xdr:sp macro="" textlink="">
      <xdr:nvSpPr>
        <xdr:cNvPr id="24598" name="Picture 48"/>
        <xdr:cNvSpPr>
          <a:spLocks noChangeAspect="1" noChangeArrowheads="1"/>
        </xdr:cNvSpPr>
      </xdr:nvSpPr>
      <xdr:spPr bwMode="auto">
        <a:xfrm>
          <a:off x="3314700" y="7343775"/>
          <a:ext cx="285750" cy="304800"/>
        </a:xfrm>
        <a:prstGeom prst="rect">
          <a:avLst/>
        </a:prstGeom>
        <a:noFill/>
        <a:ln w="9525">
          <a:noFill/>
          <a:round/>
          <a:headEnd/>
          <a:tailEnd/>
        </a:ln>
        <a:effectLst/>
      </xdr:spPr>
    </xdr:sp>
    <xdr:clientData/>
  </xdr:twoCellAnchor>
  <xdr:twoCellAnchor>
    <xdr:from>
      <xdr:col>3</xdr:col>
      <xdr:colOff>676275</xdr:colOff>
      <xdr:row>39</xdr:row>
      <xdr:rowOff>28575</xdr:rowOff>
    </xdr:from>
    <xdr:to>
      <xdr:col>4</xdr:col>
      <xdr:colOff>171450</xdr:colOff>
      <xdr:row>40</xdr:row>
      <xdr:rowOff>142875</xdr:rowOff>
    </xdr:to>
    <xdr:sp macro="" textlink="">
      <xdr:nvSpPr>
        <xdr:cNvPr id="24599" name="Picture 49"/>
        <xdr:cNvSpPr>
          <a:spLocks noChangeAspect="1" noChangeArrowheads="1"/>
        </xdr:cNvSpPr>
      </xdr:nvSpPr>
      <xdr:spPr bwMode="auto">
        <a:xfrm>
          <a:off x="2209800" y="7534275"/>
          <a:ext cx="295275" cy="304800"/>
        </a:xfrm>
        <a:prstGeom prst="rect">
          <a:avLst/>
        </a:prstGeom>
        <a:noFill/>
        <a:ln w="9525">
          <a:noFill/>
          <a:round/>
          <a:headEnd/>
          <a:tailEnd/>
        </a:ln>
        <a:effectLst/>
      </xdr:spPr>
    </xdr:sp>
    <xdr:clientData/>
  </xdr:twoCellAnchor>
  <xdr:twoCellAnchor>
    <xdr:from>
      <xdr:col>4</xdr:col>
      <xdr:colOff>981075</xdr:colOff>
      <xdr:row>39</xdr:row>
      <xdr:rowOff>28575</xdr:rowOff>
    </xdr:from>
    <xdr:to>
      <xdr:col>6</xdr:col>
      <xdr:colOff>9525</xdr:colOff>
      <xdr:row>40</xdr:row>
      <xdr:rowOff>142875</xdr:rowOff>
    </xdr:to>
    <xdr:sp macro="" textlink="">
      <xdr:nvSpPr>
        <xdr:cNvPr id="24600" name="Picture 50"/>
        <xdr:cNvSpPr>
          <a:spLocks noChangeAspect="1" noChangeArrowheads="1"/>
        </xdr:cNvSpPr>
      </xdr:nvSpPr>
      <xdr:spPr bwMode="auto">
        <a:xfrm>
          <a:off x="3314700" y="7534275"/>
          <a:ext cx="285750" cy="304800"/>
        </a:xfrm>
        <a:prstGeom prst="rect">
          <a:avLst/>
        </a:prstGeom>
        <a:noFill/>
        <a:ln w="9525">
          <a:noFill/>
          <a:round/>
          <a:headEnd/>
          <a:tailEnd/>
        </a:ln>
        <a:effectLst/>
      </xdr:spPr>
    </xdr:sp>
    <xdr:clientData/>
  </xdr:twoCellAnchor>
  <xdr:twoCellAnchor>
    <xdr:from>
      <xdr:col>3</xdr:col>
      <xdr:colOff>676275</xdr:colOff>
      <xdr:row>55</xdr:row>
      <xdr:rowOff>38100</xdr:rowOff>
    </xdr:from>
    <xdr:to>
      <xdr:col>4</xdr:col>
      <xdr:colOff>171450</xdr:colOff>
      <xdr:row>56</xdr:row>
      <xdr:rowOff>152400</xdr:rowOff>
    </xdr:to>
    <xdr:sp macro="" textlink="">
      <xdr:nvSpPr>
        <xdr:cNvPr id="24601" name="Picture 75"/>
        <xdr:cNvSpPr>
          <a:spLocks noChangeAspect="1" noChangeArrowheads="1"/>
        </xdr:cNvSpPr>
      </xdr:nvSpPr>
      <xdr:spPr bwMode="auto">
        <a:xfrm>
          <a:off x="2209800" y="10591800"/>
          <a:ext cx="295275" cy="304800"/>
        </a:xfrm>
        <a:prstGeom prst="rect">
          <a:avLst/>
        </a:prstGeom>
        <a:noFill/>
        <a:ln w="9525">
          <a:noFill/>
          <a:round/>
          <a:headEnd/>
          <a:tailEnd/>
        </a:ln>
        <a:effectLst/>
      </xdr:spPr>
    </xdr:sp>
    <xdr:clientData/>
  </xdr:twoCellAnchor>
  <xdr:twoCellAnchor>
    <xdr:from>
      <xdr:col>4</xdr:col>
      <xdr:colOff>981075</xdr:colOff>
      <xdr:row>55</xdr:row>
      <xdr:rowOff>38100</xdr:rowOff>
    </xdr:from>
    <xdr:to>
      <xdr:col>6</xdr:col>
      <xdr:colOff>9525</xdr:colOff>
      <xdr:row>56</xdr:row>
      <xdr:rowOff>152400</xdr:rowOff>
    </xdr:to>
    <xdr:sp macro="" textlink="">
      <xdr:nvSpPr>
        <xdr:cNvPr id="24602" name="Picture 76"/>
        <xdr:cNvSpPr>
          <a:spLocks noChangeAspect="1" noChangeArrowheads="1"/>
        </xdr:cNvSpPr>
      </xdr:nvSpPr>
      <xdr:spPr bwMode="auto">
        <a:xfrm>
          <a:off x="3314700" y="10591800"/>
          <a:ext cx="285750" cy="304800"/>
        </a:xfrm>
        <a:prstGeom prst="rect">
          <a:avLst/>
        </a:prstGeom>
        <a:noFill/>
        <a:ln w="9525">
          <a:noFill/>
          <a:round/>
          <a:headEnd/>
          <a:tailEnd/>
        </a:ln>
        <a:effectLst/>
      </xdr:spPr>
    </xdr:sp>
    <xdr:clientData/>
  </xdr:twoCellAnchor>
  <xdr:twoCellAnchor>
    <xdr:from>
      <xdr:col>3</xdr:col>
      <xdr:colOff>676275</xdr:colOff>
      <xdr:row>56</xdr:row>
      <xdr:rowOff>38100</xdr:rowOff>
    </xdr:from>
    <xdr:to>
      <xdr:col>4</xdr:col>
      <xdr:colOff>171450</xdr:colOff>
      <xdr:row>57</xdr:row>
      <xdr:rowOff>152400</xdr:rowOff>
    </xdr:to>
    <xdr:sp macro="" textlink="">
      <xdr:nvSpPr>
        <xdr:cNvPr id="24603" name="Picture 77"/>
        <xdr:cNvSpPr>
          <a:spLocks noChangeAspect="1" noChangeArrowheads="1"/>
        </xdr:cNvSpPr>
      </xdr:nvSpPr>
      <xdr:spPr bwMode="auto">
        <a:xfrm>
          <a:off x="2209800" y="10782300"/>
          <a:ext cx="295275" cy="304800"/>
        </a:xfrm>
        <a:prstGeom prst="rect">
          <a:avLst/>
        </a:prstGeom>
        <a:noFill/>
        <a:ln w="9525">
          <a:noFill/>
          <a:round/>
          <a:headEnd/>
          <a:tailEnd/>
        </a:ln>
        <a:effectLst/>
      </xdr:spPr>
    </xdr:sp>
    <xdr:clientData/>
  </xdr:twoCellAnchor>
  <xdr:twoCellAnchor>
    <xdr:from>
      <xdr:col>4</xdr:col>
      <xdr:colOff>981075</xdr:colOff>
      <xdr:row>56</xdr:row>
      <xdr:rowOff>38100</xdr:rowOff>
    </xdr:from>
    <xdr:to>
      <xdr:col>6</xdr:col>
      <xdr:colOff>9525</xdr:colOff>
      <xdr:row>57</xdr:row>
      <xdr:rowOff>152400</xdr:rowOff>
    </xdr:to>
    <xdr:sp macro="" textlink="">
      <xdr:nvSpPr>
        <xdr:cNvPr id="24604" name="Picture 78"/>
        <xdr:cNvSpPr>
          <a:spLocks noChangeAspect="1" noChangeArrowheads="1"/>
        </xdr:cNvSpPr>
      </xdr:nvSpPr>
      <xdr:spPr bwMode="auto">
        <a:xfrm>
          <a:off x="3314700" y="10782300"/>
          <a:ext cx="285750" cy="304800"/>
        </a:xfrm>
        <a:prstGeom prst="rect">
          <a:avLst/>
        </a:prstGeom>
        <a:noFill/>
        <a:ln w="9525">
          <a:noFill/>
          <a:round/>
          <a:headEnd/>
          <a:tailEnd/>
        </a:ln>
        <a:effectLst/>
      </xdr:spPr>
    </xdr:sp>
    <xdr:clientData/>
  </xdr:twoCellAnchor>
  <xdr:twoCellAnchor>
    <xdr:from>
      <xdr:col>3</xdr:col>
      <xdr:colOff>676275</xdr:colOff>
      <xdr:row>57</xdr:row>
      <xdr:rowOff>38100</xdr:rowOff>
    </xdr:from>
    <xdr:to>
      <xdr:col>4</xdr:col>
      <xdr:colOff>171450</xdr:colOff>
      <xdr:row>58</xdr:row>
      <xdr:rowOff>152400</xdr:rowOff>
    </xdr:to>
    <xdr:sp macro="" textlink="">
      <xdr:nvSpPr>
        <xdr:cNvPr id="24605" name="Picture 79"/>
        <xdr:cNvSpPr>
          <a:spLocks noChangeAspect="1" noChangeArrowheads="1"/>
        </xdr:cNvSpPr>
      </xdr:nvSpPr>
      <xdr:spPr bwMode="auto">
        <a:xfrm>
          <a:off x="2209800" y="10972800"/>
          <a:ext cx="295275" cy="304800"/>
        </a:xfrm>
        <a:prstGeom prst="rect">
          <a:avLst/>
        </a:prstGeom>
        <a:noFill/>
        <a:ln w="9525">
          <a:noFill/>
          <a:round/>
          <a:headEnd/>
          <a:tailEnd/>
        </a:ln>
        <a:effectLst/>
      </xdr:spPr>
    </xdr:sp>
    <xdr:clientData/>
  </xdr:twoCellAnchor>
  <xdr:twoCellAnchor>
    <xdr:from>
      <xdr:col>4</xdr:col>
      <xdr:colOff>981075</xdr:colOff>
      <xdr:row>57</xdr:row>
      <xdr:rowOff>38100</xdr:rowOff>
    </xdr:from>
    <xdr:to>
      <xdr:col>6</xdr:col>
      <xdr:colOff>9525</xdr:colOff>
      <xdr:row>58</xdr:row>
      <xdr:rowOff>152400</xdr:rowOff>
    </xdr:to>
    <xdr:sp macro="" textlink="">
      <xdr:nvSpPr>
        <xdr:cNvPr id="24606" name="Picture 80"/>
        <xdr:cNvSpPr>
          <a:spLocks noChangeAspect="1" noChangeArrowheads="1"/>
        </xdr:cNvSpPr>
      </xdr:nvSpPr>
      <xdr:spPr bwMode="auto">
        <a:xfrm>
          <a:off x="3314700" y="10972800"/>
          <a:ext cx="285750" cy="304800"/>
        </a:xfrm>
        <a:prstGeom prst="rect">
          <a:avLst/>
        </a:prstGeom>
        <a:noFill/>
        <a:ln w="9525">
          <a:noFill/>
          <a:round/>
          <a:headEnd/>
          <a:tailEnd/>
        </a:ln>
        <a:effectLst/>
      </xdr:spPr>
    </xdr:sp>
    <xdr:clientData/>
  </xdr:twoCellAnchor>
  <xdr:twoCellAnchor>
    <xdr:from>
      <xdr:col>3</xdr:col>
      <xdr:colOff>676275</xdr:colOff>
      <xdr:row>58</xdr:row>
      <xdr:rowOff>38100</xdr:rowOff>
    </xdr:from>
    <xdr:to>
      <xdr:col>4</xdr:col>
      <xdr:colOff>171450</xdr:colOff>
      <xdr:row>59</xdr:row>
      <xdr:rowOff>152400</xdr:rowOff>
    </xdr:to>
    <xdr:sp macro="" textlink="">
      <xdr:nvSpPr>
        <xdr:cNvPr id="24607" name="Picture 81"/>
        <xdr:cNvSpPr>
          <a:spLocks noChangeAspect="1" noChangeArrowheads="1"/>
        </xdr:cNvSpPr>
      </xdr:nvSpPr>
      <xdr:spPr bwMode="auto">
        <a:xfrm>
          <a:off x="2209800" y="11163300"/>
          <a:ext cx="295275" cy="304800"/>
        </a:xfrm>
        <a:prstGeom prst="rect">
          <a:avLst/>
        </a:prstGeom>
        <a:noFill/>
        <a:ln w="9525">
          <a:noFill/>
          <a:round/>
          <a:headEnd/>
          <a:tailEnd/>
        </a:ln>
        <a:effectLst/>
      </xdr:spPr>
    </xdr:sp>
    <xdr:clientData/>
  </xdr:twoCellAnchor>
  <xdr:twoCellAnchor>
    <xdr:from>
      <xdr:col>4</xdr:col>
      <xdr:colOff>981075</xdr:colOff>
      <xdr:row>58</xdr:row>
      <xdr:rowOff>38100</xdr:rowOff>
    </xdr:from>
    <xdr:to>
      <xdr:col>6</xdr:col>
      <xdr:colOff>9525</xdr:colOff>
      <xdr:row>59</xdr:row>
      <xdr:rowOff>152400</xdr:rowOff>
    </xdr:to>
    <xdr:sp macro="" textlink="">
      <xdr:nvSpPr>
        <xdr:cNvPr id="24608" name="Picture 82"/>
        <xdr:cNvSpPr>
          <a:spLocks noChangeAspect="1" noChangeArrowheads="1"/>
        </xdr:cNvSpPr>
      </xdr:nvSpPr>
      <xdr:spPr bwMode="auto">
        <a:xfrm>
          <a:off x="3314700" y="11163300"/>
          <a:ext cx="285750" cy="304800"/>
        </a:xfrm>
        <a:prstGeom prst="rect">
          <a:avLst/>
        </a:prstGeom>
        <a:noFill/>
        <a:ln w="9525">
          <a:noFill/>
          <a:round/>
          <a:headEnd/>
          <a:tailEnd/>
        </a:ln>
        <a:effectLst/>
      </xdr:spPr>
    </xdr:sp>
    <xdr:clientData/>
  </xdr:twoCellAnchor>
  <xdr:twoCellAnchor>
    <xdr:from>
      <xdr:col>3</xdr:col>
      <xdr:colOff>676275</xdr:colOff>
      <xdr:row>59</xdr:row>
      <xdr:rowOff>38100</xdr:rowOff>
    </xdr:from>
    <xdr:to>
      <xdr:col>4</xdr:col>
      <xdr:colOff>171450</xdr:colOff>
      <xdr:row>60</xdr:row>
      <xdr:rowOff>161925</xdr:rowOff>
    </xdr:to>
    <xdr:sp macro="" textlink="">
      <xdr:nvSpPr>
        <xdr:cNvPr id="24609" name="Picture 83"/>
        <xdr:cNvSpPr>
          <a:spLocks noChangeAspect="1" noChangeArrowheads="1"/>
        </xdr:cNvSpPr>
      </xdr:nvSpPr>
      <xdr:spPr bwMode="auto">
        <a:xfrm>
          <a:off x="2209800" y="11353800"/>
          <a:ext cx="295275" cy="314325"/>
        </a:xfrm>
        <a:prstGeom prst="rect">
          <a:avLst/>
        </a:prstGeom>
        <a:noFill/>
        <a:ln w="9525">
          <a:noFill/>
          <a:round/>
          <a:headEnd/>
          <a:tailEnd/>
        </a:ln>
        <a:effectLst/>
      </xdr:spPr>
    </xdr:sp>
    <xdr:clientData/>
  </xdr:twoCellAnchor>
  <xdr:twoCellAnchor>
    <xdr:from>
      <xdr:col>4</xdr:col>
      <xdr:colOff>981075</xdr:colOff>
      <xdr:row>59</xdr:row>
      <xdr:rowOff>38100</xdr:rowOff>
    </xdr:from>
    <xdr:to>
      <xdr:col>6</xdr:col>
      <xdr:colOff>9525</xdr:colOff>
      <xdr:row>60</xdr:row>
      <xdr:rowOff>161925</xdr:rowOff>
    </xdr:to>
    <xdr:sp macro="" textlink="">
      <xdr:nvSpPr>
        <xdr:cNvPr id="24610" name="Picture 84"/>
        <xdr:cNvSpPr>
          <a:spLocks noChangeAspect="1" noChangeArrowheads="1"/>
        </xdr:cNvSpPr>
      </xdr:nvSpPr>
      <xdr:spPr bwMode="auto">
        <a:xfrm>
          <a:off x="3314700" y="11353800"/>
          <a:ext cx="285750" cy="314325"/>
        </a:xfrm>
        <a:prstGeom prst="rect">
          <a:avLst/>
        </a:prstGeom>
        <a:noFill/>
        <a:ln w="9525">
          <a:noFill/>
          <a:round/>
          <a:headEnd/>
          <a:tailEnd/>
        </a:ln>
        <a:effectLst/>
      </xdr:spPr>
    </xdr:sp>
    <xdr:clientData/>
  </xdr:twoCellAnchor>
  <xdr:twoCellAnchor>
    <xdr:from>
      <xdr:col>3</xdr:col>
      <xdr:colOff>676275</xdr:colOff>
      <xdr:row>60</xdr:row>
      <xdr:rowOff>47625</xdr:rowOff>
    </xdr:from>
    <xdr:to>
      <xdr:col>4</xdr:col>
      <xdr:colOff>171450</xdr:colOff>
      <xdr:row>61</xdr:row>
      <xdr:rowOff>161925</xdr:rowOff>
    </xdr:to>
    <xdr:sp macro="" textlink="">
      <xdr:nvSpPr>
        <xdr:cNvPr id="24611" name="Picture 85"/>
        <xdr:cNvSpPr>
          <a:spLocks noChangeAspect="1" noChangeArrowheads="1"/>
        </xdr:cNvSpPr>
      </xdr:nvSpPr>
      <xdr:spPr bwMode="auto">
        <a:xfrm>
          <a:off x="2209800" y="11553825"/>
          <a:ext cx="295275" cy="304800"/>
        </a:xfrm>
        <a:prstGeom prst="rect">
          <a:avLst/>
        </a:prstGeom>
        <a:noFill/>
        <a:ln w="9525">
          <a:noFill/>
          <a:round/>
          <a:headEnd/>
          <a:tailEnd/>
        </a:ln>
        <a:effectLst/>
      </xdr:spPr>
    </xdr:sp>
    <xdr:clientData/>
  </xdr:twoCellAnchor>
  <xdr:twoCellAnchor>
    <xdr:from>
      <xdr:col>4</xdr:col>
      <xdr:colOff>981075</xdr:colOff>
      <xdr:row>60</xdr:row>
      <xdr:rowOff>47625</xdr:rowOff>
    </xdr:from>
    <xdr:to>
      <xdr:col>6</xdr:col>
      <xdr:colOff>9525</xdr:colOff>
      <xdr:row>61</xdr:row>
      <xdr:rowOff>161925</xdr:rowOff>
    </xdr:to>
    <xdr:sp macro="" textlink="">
      <xdr:nvSpPr>
        <xdr:cNvPr id="24612" name="Picture 86"/>
        <xdr:cNvSpPr>
          <a:spLocks noChangeAspect="1" noChangeArrowheads="1"/>
        </xdr:cNvSpPr>
      </xdr:nvSpPr>
      <xdr:spPr bwMode="auto">
        <a:xfrm>
          <a:off x="3314700" y="11553825"/>
          <a:ext cx="285750" cy="304800"/>
        </a:xfrm>
        <a:prstGeom prst="rect">
          <a:avLst/>
        </a:prstGeom>
        <a:noFill/>
        <a:ln w="9525">
          <a:noFill/>
          <a:round/>
          <a:headEnd/>
          <a:tailEnd/>
        </a:ln>
        <a:effectLst/>
      </xdr:spPr>
    </xdr:sp>
    <xdr:clientData/>
  </xdr:twoCellAnchor>
  <xdr:twoCellAnchor>
    <xdr:from>
      <xdr:col>3</xdr:col>
      <xdr:colOff>676275</xdr:colOff>
      <xdr:row>62</xdr:row>
      <xdr:rowOff>47625</xdr:rowOff>
    </xdr:from>
    <xdr:to>
      <xdr:col>4</xdr:col>
      <xdr:colOff>171450</xdr:colOff>
      <xdr:row>63</xdr:row>
      <xdr:rowOff>161925</xdr:rowOff>
    </xdr:to>
    <xdr:sp macro="" textlink="">
      <xdr:nvSpPr>
        <xdr:cNvPr id="24613" name="Picture 87"/>
        <xdr:cNvSpPr>
          <a:spLocks noChangeAspect="1" noChangeArrowheads="1"/>
        </xdr:cNvSpPr>
      </xdr:nvSpPr>
      <xdr:spPr bwMode="auto">
        <a:xfrm>
          <a:off x="2209800" y="11934825"/>
          <a:ext cx="295275" cy="304800"/>
        </a:xfrm>
        <a:prstGeom prst="rect">
          <a:avLst/>
        </a:prstGeom>
        <a:noFill/>
        <a:ln w="9525">
          <a:noFill/>
          <a:round/>
          <a:headEnd/>
          <a:tailEnd/>
        </a:ln>
        <a:effectLst/>
      </xdr:spPr>
    </xdr:sp>
    <xdr:clientData/>
  </xdr:twoCellAnchor>
  <xdr:twoCellAnchor>
    <xdr:from>
      <xdr:col>4</xdr:col>
      <xdr:colOff>981075</xdr:colOff>
      <xdr:row>62</xdr:row>
      <xdr:rowOff>47625</xdr:rowOff>
    </xdr:from>
    <xdr:to>
      <xdr:col>6</xdr:col>
      <xdr:colOff>9525</xdr:colOff>
      <xdr:row>63</xdr:row>
      <xdr:rowOff>161925</xdr:rowOff>
    </xdr:to>
    <xdr:sp macro="" textlink="">
      <xdr:nvSpPr>
        <xdr:cNvPr id="24614" name="Picture 88"/>
        <xdr:cNvSpPr>
          <a:spLocks noChangeAspect="1" noChangeArrowheads="1"/>
        </xdr:cNvSpPr>
      </xdr:nvSpPr>
      <xdr:spPr bwMode="auto">
        <a:xfrm>
          <a:off x="3314700" y="11934825"/>
          <a:ext cx="285750" cy="304800"/>
        </a:xfrm>
        <a:prstGeom prst="rect">
          <a:avLst/>
        </a:prstGeom>
        <a:noFill/>
        <a:ln w="9525">
          <a:noFill/>
          <a:round/>
          <a:headEnd/>
          <a:tailEnd/>
        </a:ln>
        <a:effectLst/>
      </xdr:spPr>
    </xdr:sp>
    <xdr:clientData/>
  </xdr:twoCellAnchor>
  <xdr:twoCellAnchor>
    <xdr:from>
      <xdr:col>3</xdr:col>
      <xdr:colOff>676275</xdr:colOff>
      <xdr:row>63</xdr:row>
      <xdr:rowOff>47625</xdr:rowOff>
    </xdr:from>
    <xdr:to>
      <xdr:col>4</xdr:col>
      <xdr:colOff>171450</xdr:colOff>
      <xdr:row>64</xdr:row>
      <xdr:rowOff>161925</xdr:rowOff>
    </xdr:to>
    <xdr:sp macro="" textlink="">
      <xdr:nvSpPr>
        <xdr:cNvPr id="24615" name="Picture 89"/>
        <xdr:cNvSpPr>
          <a:spLocks noChangeAspect="1" noChangeArrowheads="1"/>
        </xdr:cNvSpPr>
      </xdr:nvSpPr>
      <xdr:spPr bwMode="auto">
        <a:xfrm>
          <a:off x="2209800" y="12125325"/>
          <a:ext cx="295275" cy="304800"/>
        </a:xfrm>
        <a:prstGeom prst="rect">
          <a:avLst/>
        </a:prstGeom>
        <a:noFill/>
        <a:ln w="9525">
          <a:noFill/>
          <a:round/>
          <a:headEnd/>
          <a:tailEnd/>
        </a:ln>
        <a:effectLst/>
      </xdr:spPr>
    </xdr:sp>
    <xdr:clientData/>
  </xdr:twoCellAnchor>
  <xdr:twoCellAnchor>
    <xdr:from>
      <xdr:col>4</xdr:col>
      <xdr:colOff>981075</xdr:colOff>
      <xdr:row>63</xdr:row>
      <xdr:rowOff>47625</xdr:rowOff>
    </xdr:from>
    <xdr:to>
      <xdr:col>6</xdr:col>
      <xdr:colOff>9525</xdr:colOff>
      <xdr:row>64</xdr:row>
      <xdr:rowOff>161925</xdr:rowOff>
    </xdr:to>
    <xdr:sp macro="" textlink="">
      <xdr:nvSpPr>
        <xdr:cNvPr id="24616" name="Picture 90"/>
        <xdr:cNvSpPr>
          <a:spLocks noChangeAspect="1" noChangeArrowheads="1"/>
        </xdr:cNvSpPr>
      </xdr:nvSpPr>
      <xdr:spPr bwMode="auto">
        <a:xfrm>
          <a:off x="3314700" y="12125325"/>
          <a:ext cx="285750" cy="304800"/>
        </a:xfrm>
        <a:prstGeom prst="rect">
          <a:avLst/>
        </a:prstGeom>
        <a:noFill/>
        <a:ln w="9525">
          <a:noFill/>
          <a:round/>
          <a:headEnd/>
          <a:tailEnd/>
        </a:ln>
        <a:effectLst/>
      </xdr:spPr>
    </xdr:sp>
    <xdr:clientData/>
  </xdr:twoCellAnchor>
  <xdr:twoCellAnchor>
    <xdr:from>
      <xdr:col>3</xdr:col>
      <xdr:colOff>676275</xdr:colOff>
      <xdr:row>64</xdr:row>
      <xdr:rowOff>47625</xdr:rowOff>
    </xdr:from>
    <xdr:to>
      <xdr:col>4</xdr:col>
      <xdr:colOff>171450</xdr:colOff>
      <xdr:row>65</xdr:row>
      <xdr:rowOff>161925</xdr:rowOff>
    </xdr:to>
    <xdr:sp macro="" textlink="">
      <xdr:nvSpPr>
        <xdr:cNvPr id="24617" name="Picture 91"/>
        <xdr:cNvSpPr>
          <a:spLocks noChangeAspect="1" noChangeArrowheads="1"/>
        </xdr:cNvSpPr>
      </xdr:nvSpPr>
      <xdr:spPr bwMode="auto">
        <a:xfrm>
          <a:off x="2209800" y="12315825"/>
          <a:ext cx="295275" cy="304800"/>
        </a:xfrm>
        <a:prstGeom prst="rect">
          <a:avLst/>
        </a:prstGeom>
        <a:noFill/>
        <a:ln w="9525">
          <a:noFill/>
          <a:round/>
          <a:headEnd/>
          <a:tailEnd/>
        </a:ln>
        <a:effectLst/>
      </xdr:spPr>
    </xdr:sp>
    <xdr:clientData/>
  </xdr:twoCellAnchor>
  <xdr:twoCellAnchor>
    <xdr:from>
      <xdr:col>4</xdr:col>
      <xdr:colOff>981075</xdr:colOff>
      <xdr:row>64</xdr:row>
      <xdr:rowOff>47625</xdr:rowOff>
    </xdr:from>
    <xdr:to>
      <xdr:col>6</xdr:col>
      <xdr:colOff>9525</xdr:colOff>
      <xdr:row>65</xdr:row>
      <xdr:rowOff>161925</xdr:rowOff>
    </xdr:to>
    <xdr:sp macro="" textlink="">
      <xdr:nvSpPr>
        <xdr:cNvPr id="24618" name="Picture 92"/>
        <xdr:cNvSpPr>
          <a:spLocks noChangeAspect="1" noChangeArrowheads="1"/>
        </xdr:cNvSpPr>
      </xdr:nvSpPr>
      <xdr:spPr bwMode="auto">
        <a:xfrm>
          <a:off x="3314700" y="12315825"/>
          <a:ext cx="285750" cy="304800"/>
        </a:xfrm>
        <a:prstGeom prst="rect">
          <a:avLst/>
        </a:prstGeom>
        <a:noFill/>
        <a:ln w="9525">
          <a:noFill/>
          <a:round/>
          <a:headEnd/>
          <a:tailEnd/>
        </a:ln>
        <a:effectLst/>
      </xdr:spPr>
    </xdr:sp>
    <xdr:clientData/>
  </xdr:twoCellAnchor>
  <xdr:twoCellAnchor>
    <xdr:from>
      <xdr:col>3</xdr:col>
      <xdr:colOff>676275</xdr:colOff>
      <xdr:row>65</xdr:row>
      <xdr:rowOff>47625</xdr:rowOff>
    </xdr:from>
    <xdr:to>
      <xdr:col>4</xdr:col>
      <xdr:colOff>171450</xdr:colOff>
      <xdr:row>66</xdr:row>
      <xdr:rowOff>161925</xdr:rowOff>
    </xdr:to>
    <xdr:sp macro="" textlink="">
      <xdr:nvSpPr>
        <xdr:cNvPr id="24619" name="Picture 93"/>
        <xdr:cNvSpPr>
          <a:spLocks noChangeAspect="1" noChangeArrowheads="1"/>
        </xdr:cNvSpPr>
      </xdr:nvSpPr>
      <xdr:spPr bwMode="auto">
        <a:xfrm>
          <a:off x="2209800" y="12506325"/>
          <a:ext cx="295275" cy="304800"/>
        </a:xfrm>
        <a:prstGeom prst="rect">
          <a:avLst/>
        </a:prstGeom>
        <a:noFill/>
        <a:ln w="9525">
          <a:noFill/>
          <a:round/>
          <a:headEnd/>
          <a:tailEnd/>
        </a:ln>
        <a:effectLst/>
      </xdr:spPr>
    </xdr:sp>
    <xdr:clientData/>
  </xdr:twoCellAnchor>
  <xdr:twoCellAnchor>
    <xdr:from>
      <xdr:col>4</xdr:col>
      <xdr:colOff>981075</xdr:colOff>
      <xdr:row>65</xdr:row>
      <xdr:rowOff>47625</xdr:rowOff>
    </xdr:from>
    <xdr:to>
      <xdr:col>6</xdr:col>
      <xdr:colOff>9525</xdr:colOff>
      <xdr:row>66</xdr:row>
      <xdr:rowOff>161925</xdr:rowOff>
    </xdr:to>
    <xdr:sp macro="" textlink="">
      <xdr:nvSpPr>
        <xdr:cNvPr id="24620" name="Picture 94"/>
        <xdr:cNvSpPr>
          <a:spLocks noChangeAspect="1" noChangeArrowheads="1"/>
        </xdr:cNvSpPr>
      </xdr:nvSpPr>
      <xdr:spPr bwMode="auto">
        <a:xfrm>
          <a:off x="3314700" y="12506325"/>
          <a:ext cx="285750" cy="304800"/>
        </a:xfrm>
        <a:prstGeom prst="rect">
          <a:avLst/>
        </a:prstGeom>
        <a:noFill/>
        <a:ln w="9525">
          <a:noFill/>
          <a:round/>
          <a:headEnd/>
          <a:tailEnd/>
        </a:ln>
        <a:effectLst/>
      </xdr:spPr>
    </xdr:sp>
    <xdr:clientData/>
  </xdr:twoCellAnchor>
  <xdr:twoCellAnchor>
    <xdr:from>
      <xdr:col>3</xdr:col>
      <xdr:colOff>676275</xdr:colOff>
      <xdr:row>66</xdr:row>
      <xdr:rowOff>47625</xdr:rowOff>
    </xdr:from>
    <xdr:to>
      <xdr:col>4</xdr:col>
      <xdr:colOff>171450</xdr:colOff>
      <xdr:row>67</xdr:row>
      <xdr:rowOff>161925</xdr:rowOff>
    </xdr:to>
    <xdr:sp macro="" textlink="">
      <xdr:nvSpPr>
        <xdr:cNvPr id="24621" name="Picture 95"/>
        <xdr:cNvSpPr>
          <a:spLocks noChangeAspect="1" noChangeArrowheads="1"/>
        </xdr:cNvSpPr>
      </xdr:nvSpPr>
      <xdr:spPr bwMode="auto">
        <a:xfrm>
          <a:off x="2209800" y="12696825"/>
          <a:ext cx="295275" cy="304800"/>
        </a:xfrm>
        <a:prstGeom prst="rect">
          <a:avLst/>
        </a:prstGeom>
        <a:noFill/>
        <a:ln w="9525">
          <a:noFill/>
          <a:round/>
          <a:headEnd/>
          <a:tailEnd/>
        </a:ln>
        <a:effectLst/>
      </xdr:spPr>
    </xdr:sp>
    <xdr:clientData/>
  </xdr:twoCellAnchor>
  <xdr:twoCellAnchor>
    <xdr:from>
      <xdr:col>4</xdr:col>
      <xdr:colOff>981075</xdr:colOff>
      <xdr:row>66</xdr:row>
      <xdr:rowOff>47625</xdr:rowOff>
    </xdr:from>
    <xdr:to>
      <xdr:col>6</xdr:col>
      <xdr:colOff>9525</xdr:colOff>
      <xdr:row>67</xdr:row>
      <xdr:rowOff>161925</xdr:rowOff>
    </xdr:to>
    <xdr:sp macro="" textlink="">
      <xdr:nvSpPr>
        <xdr:cNvPr id="24622" name="Picture 96"/>
        <xdr:cNvSpPr>
          <a:spLocks noChangeAspect="1" noChangeArrowheads="1"/>
        </xdr:cNvSpPr>
      </xdr:nvSpPr>
      <xdr:spPr bwMode="auto">
        <a:xfrm>
          <a:off x="3314700" y="12696825"/>
          <a:ext cx="285750" cy="304800"/>
        </a:xfrm>
        <a:prstGeom prst="rect">
          <a:avLst/>
        </a:prstGeom>
        <a:noFill/>
        <a:ln w="9525">
          <a:noFill/>
          <a:round/>
          <a:headEnd/>
          <a:tailEnd/>
        </a:ln>
        <a:effectLst/>
      </xdr:spPr>
    </xdr:sp>
    <xdr:clientData/>
  </xdr:twoCellAnchor>
  <xdr:twoCellAnchor>
    <xdr:from>
      <xdr:col>3</xdr:col>
      <xdr:colOff>676275</xdr:colOff>
      <xdr:row>67</xdr:row>
      <xdr:rowOff>47625</xdr:rowOff>
    </xdr:from>
    <xdr:to>
      <xdr:col>4</xdr:col>
      <xdr:colOff>171450</xdr:colOff>
      <xdr:row>68</xdr:row>
      <xdr:rowOff>161925</xdr:rowOff>
    </xdr:to>
    <xdr:sp macro="" textlink="">
      <xdr:nvSpPr>
        <xdr:cNvPr id="24623" name="Picture 97"/>
        <xdr:cNvSpPr>
          <a:spLocks noChangeAspect="1" noChangeArrowheads="1"/>
        </xdr:cNvSpPr>
      </xdr:nvSpPr>
      <xdr:spPr bwMode="auto">
        <a:xfrm>
          <a:off x="2209800" y="12887325"/>
          <a:ext cx="295275" cy="304800"/>
        </a:xfrm>
        <a:prstGeom prst="rect">
          <a:avLst/>
        </a:prstGeom>
        <a:noFill/>
        <a:ln w="9525">
          <a:noFill/>
          <a:round/>
          <a:headEnd/>
          <a:tailEnd/>
        </a:ln>
        <a:effectLst/>
      </xdr:spPr>
    </xdr:sp>
    <xdr:clientData/>
  </xdr:twoCellAnchor>
  <xdr:twoCellAnchor>
    <xdr:from>
      <xdr:col>4</xdr:col>
      <xdr:colOff>981075</xdr:colOff>
      <xdr:row>67</xdr:row>
      <xdr:rowOff>47625</xdr:rowOff>
    </xdr:from>
    <xdr:to>
      <xdr:col>6</xdr:col>
      <xdr:colOff>9525</xdr:colOff>
      <xdr:row>68</xdr:row>
      <xdr:rowOff>161925</xdr:rowOff>
    </xdr:to>
    <xdr:sp macro="" textlink="">
      <xdr:nvSpPr>
        <xdr:cNvPr id="24624" name="Picture 98"/>
        <xdr:cNvSpPr>
          <a:spLocks noChangeAspect="1" noChangeArrowheads="1"/>
        </xdr:cNvSpPr>
      </xdr:nvSpPr>
      <xdr:spPr bwMode="auto">
        <a:xfrm>
          <a:off x="3314700" y="12887325"/>
          <a:ext cx="285750" cy="304800"/>
        </a:xfrm>
        <a:prstGeom prst="rect">
          <a:avLst/>
        </a:prstGeom>
        <a:noFill/>
        <a:ln w="9525">
          <a:noFill/>
          <a:round/>
          <a:headEnd/>
          <a:tailEnd/>
        </a:ln>
        <a:effectLst/>
      </xdr:spPr>
    </xdr:sp>
    <xdr:clientData/>
  </xdr:twoCellAnchor>
  <xdr:twoCellAnchor>
    <xdr:from>
      <xdr:col>0</xdr:col>
      <xdr:colOff>428625</xdr:colOff>
      <xdr:row>89</xdr:row>
      <xdr:rowOff>66675</xdr:rowOff>
    </xdr:from>
    <xdr:to>
      <xdr:col>1</xdr:col>
      <xdr:colOff>85725</xdr:colOff>
      <xdr:row>90</xdr:row>
      <xdr:rowOff>0</xdr:rowOff>
    </xdr:to>
    <xdr:sp macro="" textlink="">
      <xdr:nvSpPr>
        <xdr:cNvPr id="24625" name="Picture 99"/>
        <xdr:cNvSpPr>
          <a:spLocks noChangeAspect="1" noChangeArrowheads="1"/>
        </xdr:cNvSpPr>
      </xdr:nvSpPr>
      <xdr:spPr bwMode="auto">
        <a:xfrm>
          <a:off x="428625" y="17097375"/>
          <a:ext cx="104775" cy="123825"/>
        </a:xfrm>
        <a:prstGeom prst="rect">
          <a:avLst/>
        </a:prstGeom>
        <a:noFill/>
        <a:ln w="9525">
          <a:noFill/>
          <a:round/>
          <a:headEnd/>
          <a:tailEnd/>
        </a:ln>
        <a:effectLst/>
      </xdr:spPr>
    </xdr:sp>
    <xdr:clientData/>
  </xdr:twoCellAnchor>
  <xdr:twoCellAnchor>
    <xdr:from>
      <xdr:col>0</xdr:col>
      <xdr:colOff>428625</xdr:colOff>
      <xdr:row>92</xdr:row>
      <xdr:rowOff>161925</xdr:rowOff>
    </xdr:from>
    <xdr:to>
      <xdr:col>0</xdr:col>
      <xdr:colOff>428625</xdr:colOff>
      <xdr:row>93</xdr:row>
      <xdr:rowOff>28575</xdr:rowOff>
    </xdr:to>
    <xdr:sp macro="" textlink="">
      <xdr:nvSpPr>
        <xdr:cNvPr id="24626" name="Picture 100"/>
        <xdr:cNvSpPr>
          <a:spLocks noChangeAspect="1" noChangeArrowheads="1"/>
        </xdr:cNvSpPr>
      </xdr:nvSpPr>
      <xdr:spPr bwMode="auto">
        <a:xfrm>
          <a:off x="428625" y="17764125"/>
          <a:ext cx="0" cy="57150"/>
        </a:xfrm>
        <a:prstGeom prst="rect">
          <a:avLst/>
        </a:prstGeom>
        <a:noFill/>
        <a:ln w="9525">
          <a:noFill/>
          <a:round/>
          <a:headEnd/>
          <a:tailEnd/>
        </a:ln>
        <a:effectLst/>
      </xdr:spPr>
    </xdr:sp>
    <xdr:clientData/>
  </xdr:twoCellAnchor>
  <xdr:twoCellAnchor>
    <xdr:from>
      <xdr:col>0</xdr:col>
      <xdr:colOff>428625</xdr:colOff>
      <xdr:row>99</xdr:row>
      <xdr:rowOff>171450</xdr:rowOff>
    </xdr:from>
    <xdr:to>
      <xdr:col>0</xdr:col>
      <xdr:colOff>428625</xdr:colOff>
      <xdr:row>100</xdr:row>
      <xdr:rowOff>38100</xdr:rowOff>
    </xdr:to>
    <xdr:sp macro="" textlink="">
      <xdr:nvSpPr>
        <xdr:cNvPr id="24627" name="Picture 101"/>
        <xdr:cNvSpPr>
          <a:spLocks noChangeAspect="1" noChangeArrowheads="1"/>
        </xdr:cNvSpPr>
      </xdr:nvSpPr>
      <xdr:spPr bwMode="auto">
        <a:xfrm>
          <a:off x="428625" y="19107150"/>
          <a:ext cx="0" cy="57150"/>
        </a:xfrm>
        <a:prstGeom prst="rect">
          <a:avLst/>
        </a:prstGeom>
        <a:noFill/>
        <a:ln w="9525">
          <a:noFill/>
          <a:round/>
          <a:headEnd/>
          <a:tailEnd/>
        </a:ln>
        <a:effectLst/>
      </xdr:spPr>
    </xdr:sp>
    <xdr:clientData/>
  </xdr:twoCellAnchor>
  <xdr:twoCellAnchor>
    <xdr:from>
      <xdr:col>0</xdr:col>
      <xdr:colOff>428625</xdr:colOff>
      <xdr:row>121</xdr:row>
      <xdr:rowOff>76200</xdr:rowOff>
    </xdr:from>
    <xdr:to>
      <xdr:col>0</xdr:col>
      <xdr:colOff>438150</xdr:colOff>
      <xdr:row>121</xdr:row>
      <xdr:rowOff>152400</xdr:rowOff>
    </xdr:to>
    <xdr:sp macro="" textlink="">
      <xdr:nvSpPr>
        <xdr:cNvPr id="24628" name="Picture 102"/>
        <xdr:cNvSpPr>
          <a:spLocks noChangeAspect="1" noChangeArrowheads="1"/>
        </xdr:cNvSpPr>
      </xdr:nvSpPr>
      <xdr:spPr bwMode="auto">
        <a:xfrm>
          <a:off x="428625" y="23202900"/>
          <a:ext cx="9525" cy="76200"/>
        </a:xfrm>
        <a:prstGeom prst="rect">
          <a:avLst/>
        </a:prstGeom>
        <a:noFill/>
        <a:ln w="9525">
          <a:noFill/>
          <a:round/>
          <a:headEnd/>
          <a:tailEnd/>
        </a:ln>
        <a:effectLst/>
      </xdr:spPr>
    </xdr:sp>
    <xdr:clientData/>
  </xdr:twoCellAnchor>
  <xdr:twoCellAnchor>
    <xdr:from>
      <xdr:col>0</xdr:col>
      <xdr:colOff>428625</xdr:colOff>
      <xdr:row>128</xdr:row>
      <xdr:rowOff>104775</xdr:rowOff>
    </xdr:from>
    <xdr:to>
      <xdr:col>0</xdr:col>
      <xdr:colOff>438150</xdr:colOff>
      <xdr:row>128</xdr:row>
      <xdr:rowOff>161925</xdr:rowOff>
    </xdr:to>
    <xdr:sp macro="" textlink="">
      <xdr:nvSpPr>
        <xdr:cNvPr id="24629" name="Picture 103"/>
        <xdr:cNvSpPr>
          <a:spLocks noChangeAspect="1" noChangeArrowheads="1"/>
        </xdr:cNvSpPr>
      </xdr:nvSpPr>
      <xdr:spPr bwMode="auto">
        <a:xfrm>
          <a:off x="428625" y="24564975"/>
          <a:ext cx="9525" cy="57150"/>
        </a:xfrm>
        <a:prstGeom prst="rect">
          <a:avLst/>
        </a:prstGeom>
        <a:noFill/>
        <a:ln w="9525">
          <a:noFill/>
          <a:round/>
          <a:headEnd/>
          <a:tailEnd/>
        </a:ln>
        <a:effectLst/>
      </xdr:spPr>
    </xdr:sp>
    <xdr:clientData/>
  </xdr:twoCellAnchor>
  <xdr:twoCellAnchor>
    <xdr:from>
      <xdr:col>0</xdr:col>
      <xdr:colOff>428625</xdr:colOff>
      <xdr:row>150</xdr:row>
      <xdr:rowOff>0</xdr:rowOff>
    </xdr:from>
    <xdr:to>
      <xdr:col>0</xdr:col>
      <xdr:colOff>438150</xdr:colOff>
      <xdr:row>150</xdr:row>
      <xdr:rowOff>57150</xdr:rowOff>
    </xdr:to>
    <xdr:sp macro="" textlink="">
      <xdr:nvSpPr>
        <xdr:cNvPr id="24630" name="Picture 104"/>
        <xdr:cNvSpPr>
          <a:spLocks noChangeAspect="1" noChangeArrowheads="1"/>
        </xdr:cNvSpPr>
      </xdr:nvSpPr>
      <xdr:spPr bwMode="auto">
        <a:xfrm>
          <a:off x="428625" y="28651200"/>
          <a:ext cx="9525" cy="57150"/>
        </a:xfrm>
        <a:prstGeom prst="rect">
          <a:avLst/>
        </a:prstGeom>
        <a:noFill/>
        <a:ln w="9525">
          <a:noFill/>
          <a:round/>
          <a:headEnd/>
          <a:tailEnd/>
        </a:ln>
        <a:effectLst/>
      </xdr:spPr>
    </xdr:sp>
    <xdr:clientData/>
  </xdr:twoCellAnchor>
  <xdr:twoCellAnchor>
    <xdr:from>
      <xdr:col>0</xdr:col>
      <xdr:colOff>428625</xdr:colOff>
      <xdr:row>157</xdr:row>
      <xdr:rowOff>9525</xdr:rowOff>
    </xdr:from>
    <xdr:to>
      <xdr:col>0</xdr:col>
      <xdr:colOff>438150</xdr:colOff>
      <xdr:row>157</xdr:row>
      <xdr:rowOff>66675</xdr:rowOff>
    </xdr:to>
    <xdr:sp macro="" textlink="">
      <xdr:nvSpPr>
        <xdr:cNvPr id="24631" name="Picture 105"/>
        <xdr:cNvSpPr>
          <a:spLocks noChangeAspect="1" noChangeArrowheads="1"/>
        </xdr:cNvSpPr>
      </xdr:nvSpPr>
      <xdr:spPr bwMode="auto">
        <a:xfrm>
          <a:off x="428625" y="29994225"/>
          <a:ext cx="9525" cy="57150"/>
        </a:xfrm>
        <a:prstGeom prst="rect">
          <a:avLst/>
        </a:prstGeom>
        <a:noFill/>
        <a:ln w="9525">
          <a:noFill/>
          <a:round/>
          <a:headEnd/>
          <a:tailEnd/>
        </a:ln>
        <a:effectLst/>
      </xdr:spPr>
    </xdr:sp>
    <xdr:clientData/>
  </xdr:twoCellAnchor>
  <xdr:twoCellAnchor>
    <xdr:from>
      <xdr:col>0</xdr:col>
      <xdr:colOff>428625</xdr:colOff>
      <xdr:row>178</xdr:row>
      <xdr:rowOff>104775</xdr:rowOff>
    </xdr:from>
    <xdr:to>
      <xdr:col>0</xdr:col>
      <xdr:colOff>438150</xdr:colOff>
      <xdr:row>178</xdr:row>
      <xdr:rowOff>180975</xdr:rowOff>
    </xdr:to>
    <xdr:sp macro="" textlink="">
      <xdr:nvSpPr>
        <xdr:cNvPr id="24632" name="Picture 106"/>
        <xdr:cNvSpPr>
          <a:spLocks noChangeAspect="1" noChangeArrowheads="1"/>
        </xdr:cNvSpPr>
      </xdr:nvSpPr>
      <xdr:spPr bwMode="auto">
        <a:xfrm>
          <a:off x="428625" y="34089975"/>
          <a:ext cx="9525" cy="76200"/>
        </a:xfrm>
        <a:prstGeom prst="rect">
          <a:avLst/>
        </a:prstGeom>
        <a:noFill/>
        <a:ln w="9525">
          <a:noFill/>
          <a:round/>
          <a:headEnd/>
          <a:tailEnd/>
        </a:ln>
        <a:effectLst/>
      </xdr:spPr>
    </xdr:sp>
    <xdr:clientData/>
  </xdr:twoCellAnchor>
  <xdr:twoCellAnchor>
    <xdr:from>
      <xdr:col>0</xdr:col>
      <xdr:colOff>428625</xdr:colOff>
      <xdr:row>185</xdr:row>
      <xdr:rowOff>114300</xdr:rowOff>
    </xdr:from>
    <xdr:to>
      <xdr:col>0</xdr:col>
      <xdr:colOff>428625</xdr:colOff>
      <xdr:row>186</xdr:row>
      <xdr:rowOff>0</xdr:rowOff>
    </xdr:to>
    <xdr:sp macro="" textlink="">
      <xdr:nvSpPr>
        <xdr:cNvPr id="24633" name="Picture 107"/>
        <xdr:cNvSpPr>
          <a:spLocks noChangeAspect="1" noChangeArrowheads="1"/>
        </xdr:cNvSpPr>
      </xdr:nvSpPr>
      <xdr:spPr bwMode="auto">
        <a:xfrm>
          <a:off x="428625" y="35433000"/>
          <a:ext cx="0" cy="76200"/>
        </a:xfrm>
        <a:prstGeom prst="rect">
          <a:avLst/>
        </a:prstGeom>
        <a:noFill/>
        <a:ln w="9525">
          <a:noFill/>
          <a:round/>
          <a:headEnd/>
          <a:tailEnd/>
        </a:ln>
        <a:effectLst/>
      </xdr:spPr>
    </xdr:sp>
    <xdr:clientData/>
  </xdr:twoCellAnchor>
  <xdr:twoCellAnchor>
    <xdr:from>
      <xdr:col>0</xdr:col>
      <xdr:colOff>428625</xdr:colOff>
      <xdr:row>207</xdr:row>
      <xdr:rowOff>38100</xdr:rowOff>
    </xdr:from>
    <xdr:to>
      <xdr:col>0</xdr:col>
      <xdr:colOff>438150</xdr:colOff>
      <xdr:row>207</xdr:row>
      <xdr:rowOff>95250</xdr:rowOff>
    </xdr:to>
    <xdr:sp macro="" textlink="">
      <xdr:nvSpPr>
        <xdr:cNvPr id="24634" name="Picture 108"/>
        <xdr:cNvSpPr>
          <a:spLocks noChangeAspect="1" noChangeArrowheads="1"/>
        </xdr:cNvSpPr>
      </xdr:nvSpPr>
      <xdr:spPr bwMode="auto">
        <a:xfrm>
          <a:off x="428625" y="39547800"/>
          <a:ext cx="9525" cy="57150"/>
        </a:xfrm>
        <a:prstGeom prst="rect">
          <a:avLst/>
        </a:prstGeom>
        <a:noFill/>
        <a:ln w="9525">
          <a:noFill/>
          <a:round/>
          <a:headEnd/>
          <a:tailEnd/>
        </a:ln>
        <a:effectLst/>
      </xdr:spPr>
    </xdr:sp>
    <xdr:clientData/>
  </xdr:twoCellAnchor>
  <xdr:twoCellAnchor>
    <xdr:from>
      <xdr:col>0</xdr:col>
      <xdr:colOff>428625</xdr:colOff>
      <xdr:row>214</xdr:row>
      <xdr:rowOff>47625</xdr:rowOff>
    </xdr:from>
    <xdr:to>
      <xdr:col>0</xdr:col>
      <xdr:colOff>438150</xdr:colOff>
      <xdr:row>214</xdr:row>
      <xdr:rowOff>104775</xdr:rowOff>
    </xdr:to>
    <xdr:sp macro="" textlink="">
      <xdr:nvSpPr>
        <xdr:cNvPr id="24635" name="Picture 109"/>
        <xdr:cNvSpPr>
          <a:spLocks noChangeAspect="1" noChangeArrowheads="1"/>
        </xdr:cNvSpPr>
      </xdr:nvSpPr>
      <xdr:spPr bwMode="auto">
        <a:xfrm>
          <a:off x="428625" y="40890825"/>
          <a:ext cx="9525" cy="57150"/>
        </a:xfrm>
        <a:prstGeom prst="rect">
          <a:avLst/>
        </a:prstGeom>
        <a:noFill/>
        <a:ln w="9525">
          <a:noFill/>
          <a:round/>
          <a:headEnd/>
          <a:tailEnd/>
        </a:ln>
        <a:effectLst/>
      </xdr:spPr>
    </xdr:sp>
    <xdr:clientData/>
  </xdr:twoCellAnchor>
  <xdr:twoCellAnchor>
    <xdr:from>
      <xdr:col>0</xdr:col>
      <xdr:colOff>428625</xdr:colOff>
      <xdr:row>235</xdr:row>
      <xdr:rowOff>142875</xdr:rowOff>
    </xdr:from>
    <xdr:to>
      <xdr:col>0</xdr:col>
      <xdr:colOff>428625</xdr:colOff>
      <xdr:row>236</xdr:row>
      <xdr:rowOff>28575</xdr:rowOff>
    </xdr:to>
    <xdr:sp macro="" textlink="">
      <xdr:nvSpPr>
        <xdr:cNvPr id="24636" name="Picture 110"/>
        <xdr:cNvSpPr>
          <a:spLocks noChangeAspect="1" noChangeArrowheads="1"/>
        </xdr:cNvSpPr>
      </xdr:nvSpPr>
      <xdr:spPr bwMode="auto">
        <a:xfrm>
          <a:off x="428625" y="44986575"/>
          <a:ext cx="0" cy="76200"/>
        </a:xfrm>
        <a:prstGeom prst="rect">
          <a:avLst/>
        </a:prstGeom>
        <a:noFill/>
        <a:ln w="9525">
          <a:noFill/>
          <a:round/>
          <a:headEnd/>
          <a:tailEnd/>
        </a:ln>
        <a:effectLst/>
      </xdr:spPr>
    </xdr:sp>
    <xdr:clientData/>
  </xdr:twoCellAnchor>
  <xdr:twoCellAnchor>
    <xdr:from>
      <xdr:col>0</xdr:col>
      <xdr:colOff>428625</xdr:colOff>
      <xdr:row>242</xdr:row>
      <xdr:rowOff>152400</xdr:rowOff>
    </xdr:from>
    <xdr:to>
      <xdr:col>0</xdr:col>
      <xdr:colOff>428625</xdr:colOff>
      <xdr:row>243</xdr:row>
      <xdr:rowOff>38100</xdr:rowOff>
    </xdr:to>
    <xdr:sp macro="" textlink="">
      <xdr:nvSpPr>
        <xdr:cNvPr id="24637" name="Picture 111"/>
        <xdr:cNvSpPr>
          <a:spLocks noChangeAspect="1" noChangeArrowheads="1"/>
        </xdr:cNvSpPr>
      </xdr:nvSpPr>
      <xdr:spPr bwMode="auto">
        <a:xfrm>
          <a:off x="428625" y="46329600"/>
          <a:ext cx="0" cy="76200"/>
        </a:xfrm>
        <a:prstGeom prst="rect">
          <a:avLst/>
        </a:prstGeom>
        <a:noFill/>
        <a:ln w="9525">
          <a:noFill/>
          <a:round/>
          <a:headEnd/>
          <a:tailEnd/>
        </a:ln>
        <a:effectLst/>
      </xdr:spPr>
    </xdr:sp>
    <xdr:clientData/>
  </xdr:twoCellAnchor>
  <xdr:twoCellAnchor>
    <xdr:from>
      <xdr:col>0</xdr:col>
      <xdr:colOff>428625</xdr:colOff>
      <xdr:row>264</xdr:row>
      <xdr:rowOff>66675</xdr:rowOff>
    </xdr:from>
    <xdr:to>
      <xdr:col>0</xdr:col>
      <xdr:colOff>438150</xdr:colOff>
      <xdr:row>264</xdr:row>
      <xdr:rowOff>123825</xdr:rowOff>
    </xdr:to>
    <xdr:sp macro="" textlink="">
      <xdr:nvSpPr>
        <xdr:cNvPr id="24638" name="Picture 112"/>
        <xdr:cNvSpPr>
          <a:spLocks noChangeAspect="1" noChangeArrowheads="1"/>
        </xdr:cNvSpPr>
      </xdr:nvSpPr>
      <xdr:spPr bwMode="auto">
        <a:xfrm>
          <a:off x="428625" y="50434875"/>
          <a:ext cx="9525" cy="57150"/>
        </a:xfrm>
        <a:prstGeom prst="rect">
          <a:avLst/>
        </a:prstGeom>
        <a:noFill/>
        <a:ln w="9525">
          <a:noFill/>
          <a:round/>
          <a:headEnd/>
          <a:tailEnd/>
        </a:ln>
        <a:effectLst/>
      </xdr:spPr>
    </xdr:sp>
    <xdr:clientData/>
  </xdr:twoCellAnchor>
  <xdr:twoCellAnchor>
    <xdr:from>
      <xdr:col>0</xdr:col>
      <xdr:colOff>428625</xdr:colOff>
      <xdr:row>272</xdr:row>
      <xdr:rowOff>76200</xdr:rowOff>
    </xdr:from>
    <xdr:to>
      <xdr:col>0</xdr:col>
      <xdr:colOff>438150</xdr:colOff>
      <xdr:row>272</xdr:row>
      <xdr:rowOff>133350</xdr:rowOff>
    </xdr:to>
    <xdr:sp macro="" textlink="">
      <xdr:nvSpPr>
        <xdr:cNvPr id="24639" name="Picture 113"/>
        <xdr:cNvSpPr>
          <a:spLocks noChangeAspect="1" noChangeArrowheads="1"/>
        </xdr:cNvSpPr>
      </xdr:nvSpPr>
      <xdr:spPr bwMode="auto">
        <a:xfrm>
          <a:off x="428625" y="51777900"/>
          <a:ext cx="9525" cy="57150"/>
        </a:xfrm>
        <a:prstGeom prst="rect">
          <a:avLst/>
        </a:prstGeom>
        <a:noFill/>
        <a:ln w="9525">
          <a:noFill/>
          <a:round/>
          <a:headEnd/>
          <a:tailEnd/>
        </a:ln>
        <a:effectLst/>
      </xdr:spPr>
    </xdr:sp>
    <xdr:clientData/>
  </xdr:twoCellAnchor>
  <xdr:twoCellAnchor>
    <xdr:from>
      <xdr:col>0</xdr:col>
      <xdr:colOff>428625</xdr:colOff>
      <xdr:row>290</xdr:row>
      <xdr:rowOff>47625</xdr:rowOff>
    </xdr:from>
    <xdr:to>
      <xdr:col>0</xdr:col>
      <xdr:colOff>438150</xdr:colOff>
      <xdr:row>290</xdr:row>
      <xdr:rowOff>104775</xdr:rowOff>
    </xdr:to>
    <xdr:sp macro="" textlink="">
      <xdr:nvSpPr>
        <xdr:cNvPr id="24640" name="Picture 114"/>
        <xdr:cNvSpPr>
          <a:spLocks noChangeAspect="1" noChangeArrowheads="1"/>
        </xdr:cNvSpPr>
      </xdr:nvSpPr>
      <xdr:spPr bwMode="auto">
        <a:xfrm>
          <a:off x="428625" y="55559325"/>
          <a:ext cx="9525" cy="57150"/>
        </a:xfrm>
        <a:prstGeom prst="rect">
          <a:avLst/>
        </a:prstGeom>
        <a:noFill/>
        <a:ln w="9525">
          <a:noFill/>
          <a:round/>
          <a:headEnd/>
          <a:tailEnd/>
        </a:ln>
        <a:effectLst/>
      </xdr:spPr>
    </xdr:sp>
    <xdr:clientData/>
  </xdr:twoCellAnchor>
  <xdr:twoCellAnchor>
    <xdr:from>
      <xdr:col>0</xdr:col>
      <xdr:colOff>428625</xdr:colOff>
      <xdr:row>297</xdr:row>
      <xdr:rowOff>47625</xdr:rowOff>
    </xdr:from>
    <xdr:to>
      <xdr:col>0</xdr:col>
      <xdr:colOff>438150</xdr:colOff>
      <xdr:row>297</xdr:row>
      <xdr:rowOff>104775</xdr:rowOff>
    </xdr:to>
    <xdr:sp macro="" textlink="">
      <xdr:nvSpPr>
        <xdr:cNvPr id="24641" name="Picture 115"/>
        <xdr:cNvSpPr>
          <a:spLocks noChangeAspect="1" noChangeArrowheads="1"/>
        </xdr:cNvSpPr>
      </xdr:nvSpPr>
      <xdr:spPr bwMode="auto">
        <a:xfrm>
          <a:off x="428625" y="56892825"/>
          <a:ext cx="9525" cy="57150"/>
        </a:xfrm>
        <a:prstGeom prst="rect">
          <a:avLst/>
        </a:prstGeom>
        <a:noFill/>
        <a:ln w="9525">
          <a:noFill/>
          <a:round/>
          <a:headEnd/>
          <a:tailEnd/>
        </a:ln>
        <a:effectLst/>
      </xdr:spPr>
    </xdr:sp>
    <xdr:clientData/>
  </xdr:twoCellAnchor>
  <xdr:twoCellAnchor>
    <xdr:from>
      <xdr:col>0</xdr:col>
      <xdr:colOff>428625</xdr:colOff>
      <xdr:row>325</xdr:row>
      <xdr:rowOff>161925</xdr:rowOff>
    </xdr:from>
    <xdr:to>
      <xdr:col>1</xdr:col>
      <xdr:colOff>85725</xdr:colOff>
      <xdr:row>326</xdr:row>
      <xdr:rowOff>114300</xdr:rowOff>
    </xdr:to>
    <xdr:sp macro="" textlink="">
      <xdr:nvSpPr>
        <xdr:cNvPr id="24642" name="Picture 116"/>
        <xdr:cNvSpPr>
          <a:spLocks noChangeAspect="1" noChangeArrowheads="1"/>
        </xdr:cNvSpPr>
      </xdr:nvSpPr>
      <xdr:spPr bwMode="auto">
        <a:xfrm>
          <a:off x="428625" y="62341125"/>
          <a:ext cx="104775" cy="142875"/>
        </a:xfrm>
        <a:prstGeom prst="rect">
          <a:avLst/>
        </a:prstGeom>
        <a:noFill/>
        <a:ln w="9525">
          <a:noFill/>
          <a:round/>
          <a:headEnd/>
          <a:tailEnd/>
        </a:ln>
        <a:effectLst/>
      </xdr:spPr>
    </xdr:sp>
    <xdr:clientData/>
  </xdr:twoCellAnchor>
  <xdr:twoCellAnchor>
    <xdr:from>
      <xdr:col>0</xdr:col>
      <xdr:colOff>428625</xdr:colOff>
      <xdr:row>329</xdr:row>
      <xdr:rowOff>85725</xdr:rowOff>
    </xdr:from>
    <xdr:to>
      <xdr:col>1</xdr:col>
      <xdr:colOff>85725</xdr:colOff>
      <xdr:row>330</xdr:row>
      <xdr:rowOff>9525</xdr:rowOff>
    </xdr:to>
    <xdr:sp macro="" textlink="">
      <xdr:nvSpPr>
        <xdr:cNvPr id="24643" name="Picture 117"/>
        <xdr:cNvSpPr>
          <a:spLocks noChangeAspect="1" noChangeArrowheads="1"/>
        </xdr:cNvSpPr>
      </xdr:nvSpPr>
      <xdr:spPr bwMode="auto">
        <a:xfrm>
          <a:off x="428625" y="63026925"/>
          <a:ext cx="104775" cy="114300"/>
        </a:xfrm>
        <a:prstGeom prst="rect">
          <a:avLst/>
        </a:prstGeom>
        <a:noFill/>
        <a:ln w="9525">
          <a:noFill/>
          <a:round/>
          <a:headEnd/>
          <a:tailEnd/>
        </a:ln>
        <a:effectLst/>
      </xdr:spPr>
    </xdr:sp>
    <xdr:clientData/>
  </xdr:twoCellAnchor>
  <xdr:twoCellAnchor>
    <xdr:from>
      <xdr:col>0</xdr:col>
      <xdr:colOff>428625</xdr:colOff>
      <xdr:row>330</xdr:row>
      <xdr:rowOff>114300</xdr:rowOff>
    </xdr:from>
    <xdr:to>
      <xdr:col>0</xdr:col>
      <xdr:colOff>438150</xdr:colOff>
      <xdr:row>330</xdr:row>
      <xdr:rowOff>123825</xdr:rowOff>
    </xdr:to>
    <xdr:sp macro="" textlink="">
      <xdr:nvSpPr>
        <xdr:cNvPr id="24644" name="Picture 118"/>
        <xdr:cNvSpPr>
          <a:spLocks noChangeAspect="1" noChangeArrowheads="1"/>
        </xdr:cNvSpPr>
      </xdr:nvSpPr>
      <xdr:spPr bwMode="auto">
        <a:xfrm>
          <a:off x="428625" y="63246000"/>
          <a:ext cx="9525" cy="9525"/>
        </a:xfrm>
        <a:prstGeom prst="rect">
          <a:avLst/>
        </a:prstGeom>
        <a:noFill/>
        <a:ln w="9525">
          <a:noFill/>
          <a:round/>
          <a:headEnd/>
          <a:tailEnd/>
        </a:ln>
        <a:effectLst/>
      </xdr:spPr>
    </xdr:sp>
    <xdr:clientData/>
  </xdr:twoCellAnchor>
  <xdr:twoCellAnchor>
    <xdr:from>
      <xdr:col>1</xdr:col>
      <xdr:colOff>0</xdr:colOff>
      <xdr:row>309</xdr:row>
      <xdr:rowOff>161925</xdr:rowOff>
    </xdr:from>
    <xdr:to>
      <xdr:col>1</xdr:col>
      <xdr:colOff>342900</xdr:colOff>
      <xdr:row>311</xdr:row>
      <xdr:rowOff>133350</xdr:rowOff>
    </xdr:to>
    <xdr:pic>
      <xdr:nvPicPr>
        <xdr:cNvPr id="24646" name="Picture 70"/>
        <xdr:cNvPicPr>
          <a:picLocks noChangeAspect="1" noChangeArrowheads="1"/>
        </xdr:cNvPicPr>
      </xdr:nvPicPr>
      <xdr:blipFill>
        <a:blip xmlns:r="http://schemas.openxmlformats.org/officeDocument/2006/relationships" r:embed="rId1" cstate="print"/>
        <a:srcRect/>
        <a:stretch>
          <a:fillRect/>
        </a:stretch>
      </xdr:blipFill>
      <xdr:spPr bwMode="auto">
        <a:xfrm>
          <a:off x="447675" y="59293125"/>
          <a:ext cx="342900" cy="352425"/>
        </a:xfrm>
        <a:prstGeom prst="rect">
          <a:avLst/>
        </a:prstGeom>
        <a:noFill/>
        <a:ln w="9525">
          <a:noFill/>
          <a:round/>
          <a:headEnd/>
          <a:tailEnd/>
        </a:ln>
        <a:effectLst/>
      </xdr:spPr>
    </xdr:pic>
    <xdr:clientData/>
  </xdr:twoCellAnchor>
  <xdr:twoCellAnchor>
    <xdr:from>
      <xdr:col>1</xdr:col>
      <xdr:colOff>0</xdr:colOff>
      <xdr:row>309</xdr:row>
      <xdr:rowOff>161925</xdr:rowOff>
    </xdr:from>
    <xdr:to>
      <xdr:col>1</xdr:col>
      <xdr:colOff>342900</xdr:colOff>
      <xdr:row>311</xdr:row>
      <xdr:rowOff>133350</xdr:rowOff>
    </xdr:to>
    <xdr:pic>
      <xdr:nvPicPr>
        <xdr:cNvPr id="24647" name="Picture 71"/>
        <xdr:cNvPicPr>
          <a:picLocks noChangeAspect="1" noChangeArrowheads="1"/>
        </xdr:cNvPicPr>
      </xdr:nvPicPr>
      <xdr:blipFill>
        <a:blip xmlns:r="http://schemas.openxmlformats.org/officeDocument/2006/relationships" r:embed="rId1" cstate="print"/>
        <a:srcRect/>
        <a:stretch>
          <a:fillRect/>
        </a:stretch>
      </xdr:blipFill>
      <xdr:spPr bwMode="auto">
        <a:xfrm>
          <a:off x="447675" y="59293125"/>
          <a:ext cx="342900" cy="352425"/>
        </a:xfrm>
        <a:prstGeom prst="rect">
          <a:avLst/>
        </a:prstGeom>
        <a:noFill/>
        <a:ln w="9525">
          <a:noFill/>
          <a:round/>
          <a:headEnd/>
          <a:tailEnd/>
        </a:ln>
        <a:effec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2724150</xdr:colOff>
      <xdr:row>7</xdr:row>
      <xdr:rowOff>123825</xdr:rowOff>
    </xdr:to>
    <xdr:pic>
      <xdr:nvPicPr>
        <xdr:cNvPr id="29697"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391525" cy="1257300"/>
        </a:xfrm>
        <a:prstGeom prst="rect">
          <a:avLst/>
        </a:prstGeom>
        <a:solidFill>
          <a:srgbClr val="FFFFFF"/>
        </a:solidFill>
        <a:ln w="9360">
          <a:noFill/>
          <a:miter lim="800000"/>
          <a:headEnd/>
          <a:tailEnd/>
        </a:ln>
        <a:effectLst/>
      </xdr:spPr>
    </xdr:pic>
    <xdr:clientData/>
  </xdr:twoCellAnchor>
</xdr:wsDr>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8" Type="http://schemas.openxmlformats.org/officeDocument/2006/relationships/hyperlink" Target="file:///C:\Documents%20and%20Settings\ovu00029\Local%20Settings\Backup\home\eric\contact_met_wk_nl" TargetMode="External"/><Relationship Id="rId3" Type="http://schemas.openxmlformats.org/officeDocument/2006/relationships/hyperlink" Target="file:///C:\Documents%20and%20Settings\ovu00029\Local%20Settings\Backup\home\eric\privacy_statement" TargetMode="External"/><Relationship Id="rId7" Type="http://schemas.openxmlformats.org/officeDocument/2006/relationships/hyperlink" Target="http://www.voetbalonline.nl/" TargetMode="External"/><Relationship Id="rId12" Type="http://schemas.openxmlformats.org/officeDocument/2006/relationships/drawing" Target="../drawings/drawing6.xml"/><Relationship Id="rId2" Type="http://schemas.openxmlformats.org/officeDocument/2006/relationships/hyperlink" Target="file:///C:\Documents%20and%20Settings\ovu00029\Local%20Settings\Backup\home\eric\algemene_voorwaarden" TargetMode="External"/><Relationship Id="rId1" Type="http://schemas.openxmlformats.org/officeDocument/2006/relationships/hyperlink" Target="file:///C:\Documents%20and%20Settings\ovu00029\Local%20Settings\Backup\home\eric\vertel_het_door" TargetMode="External"/><Relationship Id="rId6" Type="http://schemas.openxmlformats.org/officeDocument/2006/relationships/hyperlink" Target="http://www.oranjefestival.nl/" TargetMode="External"/><Relationship Id="rId11" Type="http://schemas.openxmlformats.org/officeDocument/2006/relationships/hyperlink" Target="file:///C:\Documents%20and%20Settings\ovu00029\Local%20Settings\Backup\home\eric\over_wk_nl" TargetMode="External"/><Relationship Id="rId5" Type="http://schemas.openxmlformats.org/officeDocument/2006/relationships/hyperlink" Target="http://www.ek.nl/" TargetMode="External"/><Relationship Id="rId10" Type="http://schemas.openxmlformats.org/officeDocument/2006/relationships/hyperlink" Target="file:///C:\Documents%20and%20Settings\ovu00029\Local%20Settings\Backup\home\eric\contact_met_wk_nl" TargetMode="External"/><Relationship Id="rId4" Type="http://schemas.openxmlformats.org/officeDocument/2006/relationships/hyperlink" Target="file:///C:\Documents%20and%20Settings\ovu00029\Local%20Settings\Backup\home\eric\disclaimer" TargetMode="External"/><Relationship Id="rId9" Type="http://schemas.openxmlformats.org/officeDocument/2006/relationships/hyperlink" Target="file:///C:\Documents%20and%20Settings\ovu00029\Local%20Settings\Backup\home\eric\colofon"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xml.rels><?xml version="1.0" encoding="UTF-8" standalone="yes"?>
<Relationships xmlns="http://schemas.openxmlformats.org/package/2006/relationships"><Relationship Id="rId1" Type="http://schemas.openxmlformats.org/officeDocument/2006/relationships/hyperlink" Target="http://www.fifa.com/worldcup/matches/index.htm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sheetPr codeName="Blad1"/>
  <dimension ref="A1:IV78"/>
  <sheetViews>
    <sheetView workbookViewId="0">
      <selection activeCell="F35" sqref="F35"/>
    </sheetView>
  </sheetViews>
  <sheetFormatPr defaultColWidth="0" defaultRowHeight="12.75" customHeight="1" zeroHeight="1"/>
  <cols>
    <col min="1" max="1" width="2.42578125" style="1" customWidth="1"/>
    <col min="2" max="2" width="3.28515625" style="1" customWidth="1"/>
    <col min="3" max="3" width="32.5703125" style="1" customWidth="1"/>
    <col min="4" max="4" width="2" style="1" customWidth="1"/>
    <col min="5" max="5" width="0.5703125" style="1" customWidth="1"/>
    <col min="6" max="6" width="15.7109375" style="1" customWidth="1"/>
    <col min="7" max="8" width="20.7109375" style="1" customWidth="1"/>
    <col min="9" max="9" width="5.85546875" style="1" customWidth="1"/>
    <col min="10" max="16" width="0" style="1" hidden="1" customWidth="1"/>
    <col min="17" max="16384" width="0" style="2" hidden="1"/>
  </cols>
  <sheetData>
    <row r="1" spans="1:24" s="5" customFormat="1">
      <c r="A1" s="3"/>
      <c r="B1" s="3"/>
      <c r="C1" s="3"/>
      <c r="D1" s="3"/>
      <c r="E1" s="3"/>
      <c r="F1" s="3"/>
      <c r="G1" s="3"/>
      <c r="H1" s="3"/>
      <c r="I1" s="3"/>
      <c r="J1" s="3"/>
      <c r="K1" s="3"/>
      <c r="L1" s="3"/>
      <c r="M1" s="3"/>
      <c r="N1" s="3"/>
      <c r="O1" s="3"/>
      <c r="P1" s="3"/>
      <c r="Q1" s="3"/>
      <c r="R1" s="4"/>
      <c r="S1" s="4"/>
      <c r="T1" s="4"/>
      <c r="U1" s="4"/>
      <c r="V1" s="4"/>
      <c r="W1" s="4"/>
      <c r="X1" s="4"/>
    </row>
    <row r="2" spans="1:24" s="5" customFormat="1" ht="18">
      <c r="A2" s="447"/>
      <c r="B2" s="447"/>
      <c r="C2" s="447"/>
      <c r="D2" s="447"/>
      <c r="E2" s="447"/>
      <c r="F2" s="447"/>
      <c r="G2" s="447"/>
      <c r="H2" s="447"/>
      <c r="I2" s="6"/>
      <c r="J2" s="6"/>
      <c r="K2" s="6"/>
      <c r="L2" s="6"/>
      <c r="M2" s="6"/>
      <c r="N2" s="6"/>
      <c r="O2" s="6"/>
      <c r="P2" s="6"/>
      <c r="Q2" s="7"/>
      <c r="R2" s="8"/>
      <c r="S2" s="8"/>
      <c r="T2" s="8"/>
      <c r="U2" s="8"/>
      <c r="V2" s="8"/>
      <c r="W2" s="8"/>
      <c r="X2" s="8"/>
    </row>
    <row r="3" spans="1:24" s="5" customFormat="1" ht="18">
      <c r="A3" s="447"/>
      <c r="B3" s="447"/>
      <c r="C3" s="447"/>
      <c r="D3" s="447"/>
      <c r="E3" s="447"/>
      <c r="F3" s="447"/>
      <c r="G3" s="447"/>
      <c r="H3" s="447"/>
      <c r="I3" s="6"/>
      <c r="J3" s="6"/>
      <c r="K3" s="6"/>
      <c r="L3" s="6"/>
      <c r="M3" s="6"/>
      <c r="N3" s="6"/>
      <c r="O3" s="6"/>
      <c r="P3" s="6"/>
      <c r="Q3" s="7"/>
      <c r="R3" s="8"/>
      <c r="S3" s="8"/>
      <c r="T3" s="8"/>
      <c r="U3" s="8"/>
      <c r="V3" s="8"/>
      <c r="W3" s="8"/>
      <c r="X3" s="8"/>
    </row>
    <row r="4" spans="1:24" s="5" customFormat="1" ht="18">
      <c r="A4" s="447"/>
      <c r="B4" s="447"/>
      <c r="C4" s="447"/>
      <c r="D4" s="447"/>
      <c r="E4" s="447"/>
      <c r="F4" s="447"/>
      <c r="G4" s="447"/>
      <c r="H4" s="447"/>
      <c r="I4" s="6"/>
      <c r="J4" s="6"/>
      <c r="K4" s="6"/>
      <c r="L4" s="6"/>
      <c r="M4" s="6"/>
      <c r="N4" s="6"/>
      <c r="O4" s="6"/>
      <c r="P4" s="6"/>
      <c r="Q4" s="7"/>
      <c r="R4" s="8"/>
      <c r="S4" s="8"/>
      <c r="T4" s="8"/>
      <c r="U4" s="8"/>
      <c r="V4" s="8"/>
      <c r="W4" s="8"/>
      <c r="X4" s="8"/>
    </row>
    <row r="5" spans="1:24" s="5" customFormat="1">
      <c r="A5" s="9"/>
      <c r="B5" s="9"/>
      <c r="C5" s="9"/>
      <c r="D5" s="9"/>
      <c r="E5" s="9"/>
      <c r="F5" s="9"/>
      <c r="G5" s="9"/>
      <c r="H5" s="9"/>
      <c r="I5" s="9"/>
      <c r="J5" s="9"/>
      <c r="K5" s="9"/>
      <c r="L5" s="9"/>
      <c r="M5" s="9"/>
      <c r="N5" s="9"/>
      <c r="O5" s="9"/>
      <c r="P5" s="9"/>
      <c r="Q5" s="9"/>
      <c r="R5" s="4"/>
      <c r="S5" s="4"/>
      <c r="T5" s="4"/>
      <c r="U5" s="4"/>
      <c r="V5" s="4"/>
      <c r="W5" s="4"/>
      <c r="X5" s="4"/>
    </row>
    <row r="6" spans="1:24" s="5" customFormat="1">
      <c r="A6" s="9"/>
      <c r="B6" s="9"/>
      <c r="C6" s="9"/>
      <c r="D6" s="9"/>
      <c r="E6" s="9"/>
      <c r="F6" s="9"/>
      <c r="G6" s="9"/>
      <c r="H6" s="9"/>
      <c r="I6" s="9"/>
      <c r="J6" s="9"/>
      <c r="K6" s="9"/>
      <c r="L6" s="9"/>
      <c r="M6" s="9"/>
      <c r="N6" s="9"/>
      <c r="O6" s="9"/>
      <c r="P6" s="9"/>
      <c r="Q6" s="9"/>
      <c r="R6" s="4"/>
      <c r="S6" s="4"/>
      <c r="T6" s="4"/>
      <c r="U6" s="4"/>
      <c r="V6" s="4"/>
      <c r="W6" s="4"/>
      <c r="X6" s="4"/>
    </row>
    <row r="7" spans="1:24" s="5" customFormat="1">
      <c r="A7" s="10"/>
      <c r="B7" s="10"/>
      <c r="C7" s="11"/>
      <c r="D7" s="12"/>
      <c r="E7" s="10"/>
      <c r="F7" s="10"/>
      <c r="G7" s="10"/>
      <c r="H7" s="10"/>
      <c r="I7" s="10"/>
      <c r="J7" s="10"/>
      <c r="K7" s="10"/>
      <c r="L7" s="10"/>
      <c r="M7" s="10"/>
      <c r="N7" s="10"/>
      <c r="O7" s="10"/>
      <c r="P7" s="10"/>
      <c r="R7" s="2"/>
      <c r="S7" s="2"/>
      <c r="T7" s="2"/>
      <c r="U7" s="2"/>
      <c r="V7" s="2"/>
      <c r="W7" s="2"/>
      <c r="X7" s="2"/>
    </row>
    <row r="8" spans="1:24" s="5" customFormat="1" hidden="1">
      <c r="A8" s="10"/>
      <c r="B8" s="10"/>
      <c r="C8" s="11"/>
      <c r="D8" s="12"/>
      <c r="E8" s="10"/>
      <c r="F8" s="10"/>
      <c r="G8" s="10"/>
      <c r="H8" s="10"/>
      <c r="I8" s="10"/>
      <c r="J8" s="10"/>
      <c r="K8" s="10"/>
      <c r="L8" s="10"/>
      <c r="M8" s="10"/>
      <c r="N8" s="10"/>
      <c r="O8" s="10"/>
      <c r="P8" s="10"/>
      <c r="R8" s="2"/>
      <c r="S8" s="2"/>
      <c r="T8" s="2"/>
      <c r="U8" s="2"/>
      <c r="V8" s="2"/>
      <c r="W8" s="2"/>
      <c r="X8" s="2"/>
    </row>
    <row r="9" spans="1:24" s="19" customFormat="1">
      <c r="A9" s="13" t="s">
        <v>0</v>
      </c>
      <c r="B9" s="14"/>
      <c r="C9" s="15"/>
      <c r="D9" s="16"/>
      <c r="E9" s="14"/>
      <c r="F9" s="17"/>
      <c r="G9" s="18"/>
      <c r="H9" s="18"/>
      <c r="I9" s="14"/>
      <c r="J9" s="14"/>
      <c r="K9" s="14"/>
      <c r="L9" s="14"/>
      <c r="M9" s="14"/>
      <c r="N9" s="14"/>
      <c r="O9" s="14"/>
      <c r="P9" s="14"/>
      <c r="R9" s="2"/>
      <c r="S9" s="2"/>
      <c r="T9" s="2"/>
      <c r="U9" s="2"/>
      <c r="V9" s="2"/>
      <c r="W9" s="2"/>
      <c r="X9" s="2"/>
    </row>
    <row r="10" spans="1:24" s="5" customFormat="1" ht="51">
      <c r="A10" s="20"/>
      <c r="B10" s="21"/>
      <c r="C10" s="11"/>
      <c r="D10" s="12"/>
      <c r="E10" s="10"/>
      <c r="F10" s="22" t="s">
        <v>1</v>
      </c>
      <c r="G10" s="22" t="s">
        <v>2</v>
      </c>
      <c r="H10" s="22" t="s">
        <v>3</v>
      </c>
      <c r="I10" s="23"/>
      <c r="J10" s="23"/>
      <c r="K10" s="23"/>
      <c r="L10" s="10"/>
      <c r="M10" s="10"/>
      <c r="N10" s="10"/>
      <c r="O10" s="10"/>
      <c r="P10" s="10"/>
      <c r="R10" s="2"/>
      <c r="S10" s="2"/>
      <c r="T10" s="2"/>
      <c r="U10" s="2"/>
      <c r="V10" s="2"/>
      <c r="W10" s="2"/>
      <c r="X10" s="2"/>
    </row>
    <row r="11" spans="1:24" s="29" customFormat="1">
      <c r="A11" s="24"/>
      <c r="B11" s="24"/>
      <c r="C11" s="25" t="s">
        <v>4</v>
      </c>
      <c r="D11" s="26"/>
      <c r="E11" s="24"/>
      <c r="F11" s="27">
        <v>0</v>
      </c>
      <c r="G11" s="27">
        <v>0</v>
      </c>
      <c r="H11" s="27">
        <v>0</v>
      </c>
      <c r="I11" s="24"/>
      <c r="J11" s="24"/>
      <c r="K11" s="24"/>
      <c r="L11" s="24"/>
      <c r="M11" s="24"/>
      <c r="N11" s="24"/>
      <c r="O11" s="24"/>
      <c r="P11" s="24"/>
      <c r="Q11" s="28"/>
      <c r="R11" s="2"/>
      <c r="S11" s="2"/>
      <c r="T11" s="2"/>
      <c r="U11" s="2"/>
      <c r="V11" s="2"/>
      <c r="W11" s="2"/>
      <c r="X11" s="2"/>
    </row>
    <row r="12" spans="1:24" s="5" customFormat="1">
      <c r="A12" s="10"/>
      <c r="B12" s="10"/>
      <c r="C12" s="11"/>
      <c r="D12" s="12"/>
      <c r="E12" s="10"/>
      <c r="F12" s="30"/>
      <c r="G12" s="30"/>
      <c r="H12" s="30"/>
      <c r="I12" s="10"/>
      <c r="J12" s="10"/>
      <c r="K12" s="10"/>
      <c r="L12" s="10"/>
      <c r="M12" s="10"/>
      <c r="N12" s="10"/>
      <c r="O12" s="10"/>
      <c r="P12" s="10"/>
      <c r="R12" s="2"/>
      <c r="S12" s="2"/>
      <c r="T12" s="2"/>
      <c r="U12" s="2"/>
      <c r="V12" s="2"/>
      <c r="W12" s="2"/>
      <c r="X12" s="2"/>
    </row>
    <row r="13" spans="1:24" s="29" customFormat="1">
      <c r="A13" s="24"/>
      <c r="B13" s="24"/>
      <c r="C13" s="25" t="s">
        <v>5</v>
      </c>
      <c r="D13" s="26"/>
      <c r="E13" s="24"/>
      <c r="F13" s="27">
        <v>0</v>
      </c>
      <c r="G13" s="27">
        <v>0</v>
      </c>
      <c r="H13" s="27">
        <v>0</v>
      </c>
      <c r="I13" s="24"/>
      <c r="J13" s="24"/>
      <c r="K13" s="24"/>
      <c r="L13" s="24"/>
      <c r="M13" s="24"/>
      <c r="N13" s="24"/>
      <c r="O13" s="24"/>
      <c r="P13" s="24"/>
      <c r="Q13" s="28"/>
      <c r="R13" s="2"/>
      <c r="S13" s="2"/>
      <c r="T13" s="2"/>
      <c r="U13" s="2"/>
      <c r="V13" s="2"/>
      <c r="W13" s="2"/>
      <c r="X13" s="2"/>
    </row>
    <row r="14" spans="1:24" s="5" customFormat="1">
      <c r="A14" s="10"/>
      <c r="B14" s="10"/>
      <c r="C14" s="11"/>
      <c r="D14" s="12"/>
      <c r="E14" s="10"/>
      <c r="F14" s="30"/>
      <c r="G14" s="30"/>
      <c r="H14" s="30"/>
      <c r="I14" s="10"/>
      <c r="J14" s="10"/>
      <c r="K14" s="10"/>
      <c r="L14" s="10"/>
      <c r="M14" s="10"/>
      <c r="N14" s="10"/>
      <c r="O14" s="10"/>
      <c r="P14" s="10"/>
      <c r="R14" s="2"/>
      <c r="S14" s="2"/>
      <c r="T14" s="2"/>
      <c r="U14" s="2"/>
      <c r="V14" s="2"/>
      <c r="W14" s="2"/>
      <c r="X14" s="2"/>
    </row>
    <row r="15" spans="1:24" s="29" customFormat="1">
      <c r="A15" s="24"/>
      <c r="B15" s="24"/>
      <c r="C15" s="25" t="s">
        <v>6</v>
      </c>
      <c r="D15" s="26"/>
      <c r="E15" s="24"/>
      <c r="F15" s="27">
        <v>0</v>
      </c>
      <c r="G15" s="27">
        <v>0</v>
      </c>
      <c r="H15" s="27">
        <v>0</v>
      </c>
      <c r="I15" s="24"/>
      <c r="J15" s="24"/>
      <c r="K15" s="24"/>
      <c r="L15" s="24"/>
      <c r="M15" s="24"/>
      <c r="N15" s="24"/>
      <c r="O15" s="24"/>
      <c r="P15" s="24"/>
      <c r="Q15" s="28"/>
      <c r="R15" s="2"/>
      <c r="S15" s="2"/>
      <c r="T15" s="2"/>
      <c r="U15" s="2"/>
      <c r="V15" s="2"/>
      <c r="W15" s="2"/>
      <c r="X15" s="2"/>
    </row>
    <row r="16" spans="1:24" s="5" customFormat="1">
      <c r="A16" s="10"/>
      <c r="B16" s="10"/>
      <c r="C16" s="11"/>
      <c r="D16" s="12"/>
      <c r="E16" s="10"/>
      <c r="F16" s="30"/>
      <c r="G16" s="30"/>
      <c r="H16" s="30"/>
      <c r="I16" s="10"/>
      <c r="J16" s="10"/>
      <c r="K16" s="10"/>
      <c r="L16" s="10"/>
      <c r="M16" s="10"/>
      <c r="N16" s="10"/>
      <c r="O16" s="10"/>
      <c r="P16" s="10"/>
      <c r="R16" s="2"/>
      <c r="S16" s="2"/>
      <c r="T16" s="2"/>
      <c r="U16" s="2"/>
      <c r="V16" s="2"/>
      <c r="W16" s="2"/>
      <c r="X16" s="2"/>
    </row>
    <row r="17" spans="1:256" s="29" customFormat="1">
      <c r="A17" s="24"/>
      <c r="B17" s="24"/>
      <c r="C17" s="25" t="s">
        <v>7</v>
      </c>
      <c r="D17" s="26"/>
      <c r="E17" s="24"/>
      <c r="F17" s="27">
        <v>10</v>
      </c>
      <c r="G17" s="27">
        <v>10</v>
      </c>
      <c r="H17" s="27">
        <v>10</v>
      </c>
      <c r="I17" s="24"/>
      <c r="J17" s="24"/>
      <c r="K17" s="24"/>
      <c r="L17" s="24"/>
      <c r="M17" s="24"/>
      <c r="N17" s="24"/>
      <c r="O17" s="24"/>
      <c r="P17" s="24"/>
      <c r="Q17" s="28"/>
      <c r="R17" s="2"/>
      <c r="S17" s="2"/>
      <c r="T17" s="2"/>
      <c r="U17" s="2"/>
      <c r="V17" s="2"/>
      <c r="W17" s="2"/>
      <c r="X17" s="2"/>
    </row>
    <row r="18" spans="1:256" s="5" customFormat="1">
      <c r="A18" s="10"/>
      <c r="B18" s="10"/>
      <c r="C18" s="11"/>
      <c r="D18" s="12"/>
      <c r="E18" s="10"/>
      <c r="F18" s="30"/>
      <c r="G18" s="30"/>
      <c r="H18" s="30"/>
      <c r="I18" s="10"/>
      <c r="J18" s="10"/>
      <c r="K18" s="10"/>
      <c r="L18" s="10"/>
      <c r="M18" s="10"/>
      <c r="N18" s="10"/>
      <c r="O18" s="10"/>
      <c r="P18" s="10"/>
      <c r="R18" s="2"/>
      <c r="S18" s="2"/>
      <c r="T18" s="2"/>
      <c r="U18" s="2"/>
      <c r="V18" s="2"/>
      <c r="W18" s="2"/>
      <c r="X18" s="2"/>
    </row>
    <row r="19" spans="1:256" s="29" customFormat="1">
      <c r="A19" s="24"/>
      <c r="B19" s="24"/>
      <c r="C19" s="25" t="s">
        <v>8</v>
      </c>
      <c r="D19" s="26"/>
      <c r="E19" s="24"/>
      <c r="F19" s="27">
        <v>5</v>
      </c>
      <c r="G19" s="27">
        <v>5</v>
      </c>
      <c r="H19" s="27">
        <v>5</v>
      </c>
      <c r="I19" s="24"/>
      <c r="J19" s="24"/>
      <c r="K19" s="24"/>
      <c r="L19" s="24"/>
      <c r="M19" s="24"/>
      <c r="N19" s="24"/>
      <c r="O19" s="24"/>
      <c r="P19" s="24"/>
      <c r="Q19" s="28"/>
      <c r="R19" s="2"/>
      <c r="S19" s="2"/>
      <c r="T19" s="2"/>
      <c r="U19" s="2"/>
      <c r="V19" s="2"/>
      <c r="W19" s="2"/>
      <c r="X19" s="2"/>
    </row>
    <row r="20" spans="1:256" s="5" customFormat="1">
      <c r="A20" s="10"/>
      <c r="B20" s="10"/>
      <c r="C20" s="11"/>
      <c r="D20" s="12"/>
      <c r="E20" s="10"/>
      <c r="F20" s="30"/>
      <c r="G20" s="30"/>
      <c r="H20" s="30"/>
      <c r="I20" s="10"/>
      <c r="J20" s="10"/>
      <c r="K20" s="10"/>
      <c r="L20" s="10"/>
      <c r="M20" s="10"/>
      <c r="N20" s="10"/>
      <c r="O20" s="10"/>
      <c r="P20" s="10"/>
      <c r="R20" s="2"/>
      <c r="S20" s="2"/>
      <c r="T20" s="2"/>
      <c r="U20" s="2"/>
      <c r="V20" s="2"/>
      <c r="W20" s="2"/>
      <c r="X20" s="2"/>
    </row>
    <row r="21" spans="1:256" s="29" customFormat="1">
      <c r="A21" s="24"/>
      <c r="B21" s="24"/>
      <c r="C21" s="25" t="s">
        <v>9</v>
      </c>
      <c r="D21" s="26"/>
      <c r="E21" s="24"/>
      <c r="F21" s="27" t="s">
        <v>10</v>
      </c>
      <c r="G21" s="27">
        <v>0</v>
      </c>
      <c r="H21" s="27">
        <v>0</v>
      </c>
      <c r="I21" s="24"/>
      <c r="J21" s="24"/>
      <c r="K21" s="24"/>
      <c r="L21" s="24"/>
      <c r="M21" s="24"/>
      <c r="N21" s="24"/>
      <c r="O21" s="24"/>
      <c r="P21" s="24"/>
      <c r="Q21" s="28"/>
      <c r="R21" s="2"/>
      <c r="S21" s="2"/>
      <c r="T21" s="2"/>
      <c r="U21" s="2"/>
      <c r="V21" s="2"/>
      <c r="W21" s="2"/>
      <c r="X21" s="2"/>
    </row>
    <row r="22" spans="1:256" s="5" customFormat="1">
      <c r="A22" s="10"/>
      <c r="B22" s="10"/>
      <c r="C22" s="11"/>
      <c r="D22" s="12"/>
      <c r="E22" s="10"/>
      <c r="F22" s="10"/>
      <c r="G22" s="10"/>
      <c r="H22" s="10"/>
      <c r="I22" s="10"/>
      <c r="J22" s="10"/>
      <c r="K22" s="10"/>
      <c r="L22" s="10"/>
      <c r="M22" s="10"/>
      <c r="N22" s="10"/>
      <c r="O22" s="10"/>
      <c r="P22" s="10"/>
      <c r="R22" s="2"/>
      <c r="S22" s="2"/>
      <c r="T22" s="2"/>
      <c r="U22" s="2"/>
      <c r="V22" s="2"/>
      <c r="W22" s="2"/>
      <c r="X22" s="2"/>
    </row>
    <row r="23" spans="1:256" s="19" customFormat="1">
      <c r="A23" s="13" t="s">
        <v>11</v>
      </c>
      <c r="B23" s="14"/>
      <c r="C23" s="15"/>
      <c r="D23" s="16"/>
      <c r="E23" s="14"/>
      <c r="F23" s="14"/>
      <c r="G23" s="14"/>
      <c r="H23" s="14"/>
      <c r="I23" s="14"/>
      <c r="J23" s="14"/>
      <c r="K23" s="14"/>
      <c r="L23" s="14"/>
      <c r="M23" s="14"/>
      <c r="N23" s="14"/>
      <c r="O23" s="14"/>
      <c r="P23" s="14"/>
      <c r="R23" s="2"/>
      <c r="S23" s="2"/>
      <c r="T23" s="2"/>
      <c r="U23" s="2"/>
      <c r="V23" s="2"/>
      <c r="W23" s="2"/>
      <c r="X23" s="2"/>
    </row>
    <row r="24" spans="1:256" s="5" customFormat="1">
      <c r="A24" s="10"/>
      <c r="B24" s="10"/>
      <c r="C24" s="11"/>
      <c r="D24" s="12"/>
      <c r="E24" s="10"/>
      <c r="F24" s="10"/>
      <c r="G24" s="10"/>
      <c r="H24" s="10"/>
      <c r="I24" s="10"/>
      <c r="J24" s="10"/>
      <c r="K24" s="10"/>
      <c r="L24" s="10"/>
      <c r="M24" s="10"/>
      <c r="N24" s="10"/>
      <c r="O24" s="10"/>
      <c r="P24" s="10"/>
      <c r="R24" s="2"/>
      <c r="S24" s="2"/>
      <c r="T24" s="2"/>
      <c r="U24" s="2"/>
      <c r="V24" s="2"/>
      <c r="W24" s="2"/>
      <c r="X24" s="2"/>
    </row>
    <row r="25" spans="1:256" s="29" customFormat="1">
      <c r="A25" s="24"/>
      <c r="B25" s="24"/>
      <c r="C25" s="25" t="s">
        <v>12</v>
      </c>
      <c r="D25" s="26"/>
      <c r="E25" s="24"/>
      <c r="F25" s="31">
        <v>10</v>
      </c>
      <c r="G25" s="24"/>
      <c r="H25" s="24"/>
      <c r="I25" s="24"/>
      <c r="J25" s="24"/>
      <c r="K25" s="24"/>
      <c r="L25" s="24"/>
      <c r="M25" s="24"/>
      <c r="N25" s="24"/>
      <c r="O25" s="24"/>
      <c r="P25" s="24"/>
      <c r="Q25" s="28"/>
      <c r="R25" s="2"/>
      <c r="S25" s="2"/>
      <c r="T25" s="2"/>
      <c r="U25" s="2"/>
      <c r="V25" s="2"/>
      <c r="W25" s="2"/>
      <c r="X25" s="2"/>
    </row>
    <row r="26" spans="1:256" s="5" customFormat="1">
      <c r="A26" s="10"/>
      <c r="B26" s="10"/>
      <c r="C26" s="11"/>
      <c r="D26" s="12"/>
      <c r="E26" s="10"/>
      <c r="F26" s="32"/>
      <c r="G26" s="10"/>
      <c r="H26" s="10"/>
      <c r="I26" s="10"/>
      <c r="J26" s="10"/>
      <c r="K26" s="10"/>
      <c r="L26" s="10"/>
      <c r="M26" s="10"/>
      <c r="N26" s="10"/>
      <c r="O26" s="10"/>
      <c r="P26" s="10"/>
      <c r="R26" s="2"/>
      <c r="S26" s="2"/>
      <c r="T26" s="2"/>
      <c r="U26" s="2"/>
      <c r="V26" s="2"/>
      <c r="W26" s="2"/>
      <c r="X26" s="2"/>
    </row>
    <row r="27" spans="1:256" s="29" customFormat="1">
      <c r="A27" s="24"/>
      <c r="B27" s="24"/>
      <c r="C27" s="25" t="s">
        <v>13</v>
      </c>
      <c r="D27" s="26"/>
      <c r="E27" s="24"/>
      <c r="F27" s="31">
        <v>15</v>
      </c>
      <c r="G27" s="24"/>
      <c r="H27" s="24"/>
      <c r="I27" s="24"/>
      <c r="J27" s="24"/>
      <c r="K27" s="24"/>
      <c r="L27" s="24"/>
      <c r="M27" s="24"/>
      <c r="N27" s="24"/>
      <c r="O27" s="24"/>
      <c r="P27" s="24"/>
      <c r="Q27" s="28"/>
      <c r="R27" s="2"/>
      <c r="S27" s="2"/>
      <c r="T27" s="2"/>
      <c r="U27" s="2"/>
      <c r="V27" s="2"/>
      <c r="W27" s="2"/>
      <c r="X27" s="2"/>
    </row>
    <row r="28" spans="1:256" s="5" customFormat="1">
      <c r="A28" s="10"/>
      <c r="B28" s="10"/>
      <c r="C28" s="11"/>
      <c r="D28" s="12"/>
      <c r="E28" s="10"/>
      <c r="F28" s="32"/>
      <c r="G28" s="10"/>
      <c r="H28" s="10"/>
      <c r="I28" s="10"/>
      <c r="J28" s="10"/>
      <c r="K28" s="10"/>
      <c r="L28" s="10"/>
      <c r="M28" s="10"/>
      <c r="N28" s="10"/>
      <c r="O28" s="10"/>
      <c r="P28" s="10"/>
      <c r="R28" s="2"/>
      <c r="S28" s="2"/>
      <c r="T28" s="2"/>
      <c r="U28" s="2"/>
      <c r="V28" s="2"/>
      <c r="W28" s="2"/>
      <c r="X28" s="2"/>
    </row>
    <row r="29" spans="1:256" s="28" customFormat="1">
      <c r="A29" s="24"/>
      <c r="B29" s="24"/>
      <c r="C29" s="25" t="s">
        <v>14</v>
      </c>
      <c r="D29" s="26"/>
      <c r="E29" s="24"/>
      <c r="F29" s="31">
        <v>20</v>
      </c>
      <c r="G29" s="24"/>
      <c r="H29" s="24"/>
      <c r="I29" s="24"/>
      <c r="J29" s="24"/>
      <c r="K29" s="24"/>
      <c r="L29" s="24"/>
      <c r="M29" s="24"/>
      <c r="N29" s="24"/>
      <c r="O29" s="24"/>
      <c r="P29" s="24"/>
      <c r="R29" s="2"/>
      <c r="S29" s="2"/>
      <c r="T29" s="2"/>
      <c r="U29" s="2"/>
      <c r="V29" s="2"/>
      <c r="W29" s="2"/>
      <c r="X29" s="2"/>
      <c r="IV29" s="29"/>
    </row>
    <row r="30" spans="1:256" s="5" customFormat="1">
      <c r="A30" s="10"/>
      <c r="B30" s="10"/>
      <c r="C30" s="11"/>
      <c r="D30" s="12"/>
      <c r="E30" s="10"/>
      <c r="F30" s="32"/>
      <c r="G30" s="10"/>
      <c r="H30" s="10"/>
      <c r="I30" s="10"/>
      <c r="J30" s="10"/>
      <c r="K30" s="10"/>
      <c r="L30" s="10"/>
      <c r="M30" s="10"/>
      <c r="N30" s="10"/>
      <c r="O30" s="10"/>
      <c r="P30" s="10"/>
      <c r="R30" s="2"/>
      <c r="S30" s="2"/>
      <c r="T30" s="2"/>
      <c r="U30" s="2"/>
      <c r="V30" s="2"/>
      <c r="W30" s="2"/>
      <c r="X30" s="2"/>
    </row>
    <row r="31" spans="1:256" s="28" customFormat="1">
      <c r="A31" s="24"/>
      <c r="B31" s="24"/>
      <c r="C31" s="25" t="s">
        <v>15</v>
      </c>
      <c r="D31" s="26"/>
      <c r="E31" s="24"/>
      <c r="F31" s="31">
        <v>25</v>
      </c>
      <c r="G31" s="24"/>
      <c r="H31" s="24"/>
      <c r="I31" s="24"/>
      <c r="J31" s="24"/>
      <c r="K31" s="24"/>
      <c r="L31" s="24"/>
      <c r="M31" s="24"/>
      <c r="N31" s="24"/>
      <c r="O31" s="24"/>
      <c r="P31" s="24"/>
      <c r="R31" s="2"/>
      <c r="S31" s="2"/>
      <c r="T31" s="2"/>
      <c r="U31" s="2"/>
      <c r="V31" s="2"/>
      <c r="W31" s="2"/>
      <c r="X31" s="2"/>
      <c r="IV31" s="29"/>
    </row>
    <row r="32" spans="1:256" s="5" customFormat="1">
      <c r="A32" s="10"/>
      <c r="B32" s="10"/>
      <c r="C32" s="11"/>
      <c r="D32" s="12"/>
      <c r="E32" s="10"/>
      <c r="F32" s="32"/>
      <c r="G32" s="10"/>
      <c r="H32" s="10"/>
      <c r="I32" s="10"/>
      <c r="J32" s="10"/>
      <c r="K32" s="10"/>
      <c r="L32" s="10"/>
      <c r="M32" s="10"/>
      <c r="N32" s="10"/>
      <c r="O32" s="10"/>
      <c r="P32" s="10"/>
      <c r="R32" s="2"/>
      <c r="S32" s="2"/>
      <c r="T32" s="2"/>
      <c r="U32" s="2"/>
      <c r="V32" s="2"/>
      <c r="W32" s="2"/>
      <c r="X32" s="2"/>
    </row>
    <row r="33" spans="1:24" s="29" customFormat="1">
      <c r="A33" s="24"/>
      <c r="B33" s="24"/>
      <c r="C33" s="25" t="s">
        <v>16</v>
      </c>
      <c r="D33" s="26"/>
      <c r="E33" s="24"/>
      <c r="F33" s="31">
        <v>30</v>
      </c>
      <c r="G33" s="24"/>
      <c r="H33" s="24"/>
      <c r="I33" s="24"/>
      <c r="J33" s="24"/>
      <c r="K33" s="24"/>
      <c r="L33" s="24"/>
      <c r="M33" s="24"/>
      <c r="N33" s="24"/>
      <c r="O33" s="24"/>
      <c r="P33" s="24"/>
      <c r="Q33" s="28"/>
      <c r="R33" s="2"/>
      <c r="S33" s="2"/>
      <c r="T33" s="2"/>
      <c r="U33" s="2"/>
      <c r="V33" s="2"/>
      <c r="W33" s="2"/>
      <c r="X33" s="2"/>
    </row>
    <row r="34" spans="1:24" s="5" customFormat="1">
      <c r="A34" s="10"/>
      <c r="B34" s="10"/>
      <c r="C34" s="11"/>
      <c r="D34" s="12"/>
      <c r="E34" s="10"/>
      <c r="F34" s="32"/>
      <c r="G34" s="10"/>
      <c r="H34" s="10"/>
      <c r="I34" s="10"/>
      <c r="J34" s="10"/>
      <c r="K34" s="10"/>
      <c r="L34" s="10"/>
      <c r="M34" s="10"/>
      <c r="N34" s="10"/>
      <c r="O34" s="10"/>
      <c r="P34" s="10"/>
      <c r="R34" s="2"/>
      <c r="S34" s="2"/>
      <c r="T34" s="2"/>
      <c r="U34" s="2"/>
      <c r="V34" s="2"/>
      <c r="W34" s="2"/>
      <c r="X34" s="2"/>
    </row>
    <row r="35" spans="1:24" s="29" customFormat="1">
      <c r="A35" s="24"/>
      <c r="B35" s="24"/>
      <c r="C35" s="25" t="s">
        <v>17</v>
      </c>
      <c r="D35" s="26"/>
      <c r="E35" s="24"/>
      <c r="F35" s="31">
        <v>50</v>
      </c>
      <c r="G35" s="24"/>
      <c r="H35" s="24"/>
      <c r="I35" s="24"/>
      <c r="J35" s="24"/>
      <c r="K35" s="24"/>
      <c r="L35" s="24"/>
      <c r="M35" s="24"/>
      <c r="N35" s="24"/>
      <c r="O35" s="24"/>
      <c r="P35" s="24"/>
      <c r="Q35" s="28"/>
      <c r="R35" s="2"/>
      <c r="S35" s="2"/>
      <c r="T35" s="2"/>
      <c r="U35" s="2"/>
      <c r="V35" s="2"/>
      <c r="W35" s="2"/>
      <c r="X35" s="2"/>
    </row>
    <row r="36" spans="1:24" s="5" customFormat="1">
      <c r="A36" s="448"/>
      <c r="B36" s="448"/>
      <c r="C36" s="448"/>
      <c r="D36" s="448"/>
      <c r="E36" s="448"/>
      <c r="F36" s="448"/>
      <c r="G36" s="448"/>
      <c r="H36" s="448"/>
      <c r="I36" s="448"/>
      <c r="J36" s="448"/>
      <c r="K36" s="448"/>
      <c r="L36" s="10"/>
      <c r="M36" s="10"/>
      <c r="N36" s="10"/>
      <c r="O36" s="10"/>
      <c r="P36" s="10"/>
      <c r="Q36" s="9"/>
      <c r="R36" s="4"/>
      <c r="S36" s="4"/>
      <c r="T36" s="4"/>
      <c r="U36" s="4"/>
      <c r="V36" s="4"/>
      <c r="W36" s="4"/>
      <c r="X36" s="4"/>
    </row>
    <row r="37" spans="1:24" s="5" customFormat="1">
      <c r="A37" s="449"/>
      <c r="B37" s="449"/>
      <c r="C37" s="449"/>
      <c r="D37" s="449"/>
      <c r="E37" s="449"/>
      <c r="F37" s="449"/>
      <c r="G37" s="449"/>
      <c r="H37" s="33"/>
      <c r="I37" s="33"/>
      <c r="J37" s="33"/>
      <c r="K37" s="33"/>
      <c r="L37" s="33"/>
      <c r="M37" s="33"/>
      <c r="N37" s="33"/>
      <c r="O37" s="33"/>
      <c r="P37" s="33"/>
      <c r="Q37" s="34"/>
      <c r="R37" s="4"/>
      <c r="S37" s="4"/>
      <c r="T37" s="4"/>
      <c r="U37" s="4"/>
      <c r="V37" s="4"/>
      <c r="W37" s="4"/>
      <c r="X37" s="4"/>
    </row>
    <row r="38" spans="1:24" s="10" customFormat="1" ht="12.75" hidden="1" customHeight="1">
      <c r="C38" s="12"/>
      <c r="D38" s="12"/>
      <c r="F38" s="12"/>
      <c r="R38" s="1"/>
      <c r="S38" s="1"/>
      <c r="T38" s="1"/>
      <c r="U38" s="1"/>
      <c r="V38" s="1"/>
      <c r="W38" s="1"/>
      <c r="X38" s="1"/>
    </row>
    <row r="39" spans="1:24" s="10" customFormat="1" ht="12.75" customHeight="1">
      <c r="A39" s="10" t="s">
        <v>18</v>
      </c>
      <c r="C39" s="12"/>
      <c r="D39" s="12"/>
      <c r="F39" s="12"/>
      <c r="R39" s="1"/>
      <c r="S39" s="1"/>
      <c r="T39" s="1"/>
      <c r="U39" s="1"/>
      <c r="V39" s="1"/>
      <c r="W39" s="1"/>
      <c r="X39" s="1"/>
    </row>
    <row r="40" spans="1:24" s="5" customFormat="1" hidden="1">
      <c r="A40" s="10"/>
      <c r="B40" s="10"/>
      <c r="C40" s="10"/>
      <c r="D40" s="10"/>
      <c r="E40" s="10"/>
      <c r="F40" s="10"/>
      <c r="G40" s="10"/>
      <c r="H40" s="10"/>
      <c r="I40" s="10"/>
      <c r="J40" s="10"/>
      <c r="K40" s="10"/>
      <c r="L40" s="10"/>
      <c r="M40" s="10"/>
      <c r="N40" s="10"/>
      <c r="O40" s="10"/>
      <c r="P40" s="10"/>
      <c r="R40" s="2"/>
      <c r="S40" s="2"/>
      <c r="T40" s="2"/>
      <c r="U40" s="2"/>
      <c r="V40" s="2"/>
      <c r="W40" s="2"/>
      <c r="X40" s="2"/>
    </row>
    <row r="41" spans="1:24" s="5" customFormat="1" hidden="1">
      <c r="A41" s="10"/>
      <c r="B41" s="10"/>
      <c r="C41" s="10"/>
      <c r="D41" s="10"/>
      <c r="E41" s="10"/>
      <c r="F41" s="10"/>
      <c r="G41" s="10"/>
      <c r="H41" s="10"/>
      <c r="I41" s="10"/>
      <c r="J41" s="10"/>
      <c r="K41" s="10"/>
      <c r="L41" s="10"/>
      <c r="M41" s="10"/>
      <c r="N41" s="10"/>
      <c r="O41" s="10"/>
      <c r="P41" s="10"/>
      <c r="R41" s="2"/>
      <c r="S41" s="2"/>
      <c r="T41" s="2"/>
      <c r="U41" s="2"/>
      <c r="V41" s="2"/>
      <c r="W41" s="2"/>
      <c r="X41" s="2"/>
    </row>
    <row r="42" spans="1:24" hidden="1"/>
    <row r="43" spans="1:24" hidden="1"/>
    <row r="44" spans="1:24" hidden="1"/>
    <row r="45" spans="1:24" hidden="1"/>
    <row r="46" spans="1:24" hidden="1"/>
    <row r="47" spans="1:24" hidden="1"/>
    <row r="48" spans="1:24"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sheetData>
  <sheetProtection selectLockedCells="1" selectUnlockedCells="1"/>
  <mergeCells count="3">
    <mergeCell ref="A2:H4"/>
    <mergeCell ref="A36:K36"/>
    <mergeCell ref="A37:G37"/>
  </mergeCells>
  <pageMargins left="0.75" right="0.75" top="1" bottom="1" header="0.51180555555555551" footer="0.51180555555555551"/>
  <pageSetup firstPageNumber="0" orientation="portrait" horizontalDpi="300" verticalDpi="300"/>
  <headerFooter alignWithMargins="0"/>
  <drawing r:id="rId1"/>
</worksheet>
</file>

<file path=xl/worksheets/sheet10.xml><?xml version="1.0" encoding="utf-8"?>
<worksheet xmlns="http://schemas.openxmlformats.org/spreadsheetml/2006/main" xmlns:r="http://schemas.openxmlformats.org/officeDocument/2006/relationships">
  <sheetPr codeName="Blad6" enableFormatConditionsCalculation="0">
    <tabColor indexed="13"/>
  </sheetPr>
  <dimension ref="A1:S102"/>
  <sheetViews>
    <sheetView topLeftCell="A70" zoomScale="85" zoomScaleNormal="85" workbookViewId="0">
      <selection activeCell="U24" sqref="U24"/>
    </sheetView>
  </sheetViews>
  <sheetFormatPr defaultRowHeight="15"/>
  <cols>
    <col min="1" max="1" width="6.7109375" style="188" customWidth="1"/>
    <col min="2" max="2" width="15.28515625" style="189" bestFit="1" customWidth="1"/>
    <col min="3" max="4" width="9.140625" style="189"/>
    <col min="5" max="5" width="22.5703125" style="189" customWidth="1"/>
    <col min="6" max="6" width="5" style="189" customWidth="1"/>
    <col min="7" max="7" width="22.85546875" style="189" customWidth="1"/>
    <col min="8" max="8" width="4.140625" style="189" customWidth="1"/>
    <col min="9" max="9" width="2.28515625" style="189" customWidth="1"/>
    <col min="10" max="10" width="5" style="189" customWidth="1"/>
    <col min="11" max="11" width="7.28515625" style="189" customWidth="1"/>
    <col min="12" max="12" width="7.85546875" style="190" customWidth="1"/>
    <col min="13" max="13" width="4.28515625" style="189" customWidth="1"/>
    <col min="14" max="14" width="2.85546875" style="189" customWidth="1"/>
    <col min="15" max="15" width="4.28515625" style="189" customWidth="1"/>
    <col min="16" max="18" width="9.140625" style="189"/>
    <col min="19" max="19" width="14.85546875" style="189" bestFit="1" customWidth="1"/>
    <col min="20" max="16384" width="9.140625" style="189"/>
  </cols>
  <sheetData>
    <row r="1" spans="1:16" s="193" customFormat="1" ht="21">
      <c r="A1" s="191"/>
      <c r="B1" s="192" t="str">
        <f>CONCATENATE("Gemiddelde (N=",aantal_deelnemers,")")</f>
        <v>Gemiddelde (N=24)</v>
      </c>
      <c r="L1" s="194"/>
      <c r="P1" s="193">
        <f>SUM(P21:P90)</f>
        <v>150</v>
      </c>
    </row>
    <row r="2" spans="1:16" s="195" customFormat="1" ht="15" customHeight="1">
      <c r="B2" s="196" t="s">
        <v>86</v>
      </c>
      <c r="G2" s="196" t="s">
        <v>87</v>
      </c>
      <c r="J2" s="196" t="s">
        <v>88</v>
      </c>
      <c r="L2" s="197"/>
    </row>
    <row r="3" spans="1:16" s="195" customFormat="1" ht="15" customHeight="1">
      <c r="B3" s="195" t="str">
        <f>E79</f>
        <v>A1</v>
      </c>
      <c r="D3" s="195" t="str">
        <f>G79</f>
        <v>B2</v>
      </c>
      <c r="G3" s="195" t="str">
        <f>E89</f>
        <v>Winnaar A1-B2</v>
      </c>
      <c r="L3" s="197"/>
    </row>
    <row r="4" spans="1:16" s="195" customFormat="1" ht="15" customHeight="1">
      <c r="B4" s="195" t="str">
        <f t="shared" ref="B4:B10" si="0">E80</f>
        <v>C1</v>
      </c>
      <c r="D4" s="195" t="str">
        <f t="shared" ref="D4:D10" si="1">G80</f>
        <v>D2</v>
      </c>
      <c r="G4" s="195" t="str">
        <f t="shared" ref="G4:G6" si="2">E90</f>
        <v>Winnaar E1-F2</v>
      </c>
      <c r="L4" s="197"/>
    </row>
    <row r="5" spans="1:16" s="195" customFormat="1" ht="15" customHeight="1">
      <c r="B5" s="195" t="str">
        <f t="shared" si="0"/>
        <v>B1</v>
      </c>
      <c r="D5" s="195" t="str">
        <f t="shared" si="1"/>
        <v>A2</v>
      </c>
      <c r="G5" s="195" t="str">
        <f t="shared" si="2"/>
        <v>Winnaar B1-A2</v>
      </c>
      <c r="L5" s="197"/>
    </row>
    <row r="6" spans="1:16" s="195" customFormat="1" ht="15" customHeight="1">
      <c r="B6" s="195" t="str">
        <f t="shared" si="0"/>
        <v>D1</v>
      </c>
      <c r="D6" s="195" t="str">
        <f t="shared" si="1"/>
        <v>C2</v>
      </c>
      <c r="G6" s="195" t="str">
        <f t="shared" si="2"/>
        <v>Winnaar F1-E2</v>
      </c>
      <c r="L6" s="197"/>
    </row>
    <row r="7" spans="1:16" s="195" customFormat="1" ht="15" customHeight="1">
      <c r="B7" s="195" t="str">
        <f t="shared" si="0"/>
        <v>E1</v>
      </c>
      <c r="D7" s="195" t="str">
        <f t="shared" si="1"/>
        <v>F2</v>
      </c>
      <c r="G7" s="195" t="str">
        <f>G89</f>
        <v>Winnaar C1-D2</v>
      </c>
      <c r="J7" s="198" t="s">
        <v>83</v>
      </c>
      <c r="K7" s="199"/>
      <c r="L7" s="200">
        <f>AVERAGE(Nijdam_sr:Willem!L7:L7)</f>
        <v>56</v>
      </c>
    </row>
    <row r="8" spans="1:16" s="195" customFormat="1" ht="15" customHeight="1">
      <c r="B8" s="195" t="str">
        <f t="shared" si="0"/>
        <v>G1</v>
      </c>
      <c r="D8" s="195" t="str">
        <f t="shared" si="1"/>
        <v>H2</v>
      </c>
      <c r="G8" s="195" t="str">
        <f t="shared" ref="G8:G10" si="3">G90</f>
        <v>Winnaar G1-H2</v>
      </c>
      <c r="J8" s="196" t="s">
        <v>48</v>
      </c>
      <c r="L8" s="197"/>
    </row>
    <row r="9" spans="1:16" s="195" customFormat="1" ht="15" customHeight="1">
      <c r="B9" s="195" t="str">
        <f t="shared" si="0"/>
        <v>F1</v>
      </c>
      <c r="D9" s="195" t="str">
        <f t="shared" si="1"/>
        <v>E2</v>
      </c>
      <c r="G9" s="195" t="str">
        <f t="shared" si="3"/>
        <v>Winnaar D1-C2</v>
      </c>
      <c r="L9" s="197"/>
    </row>
    <row r="10" spans="1:16" s="195" customFormat="1" ht="15" customHeight="1">
      <c r="B10" s="195" t="str">
        <f t="shared" si="0"/>
        <v>H1</v>
      </c>
      <c r="D10" s="195" t="str">
        <f t="shared" si="1"/>
        <v>G2</v>
      </c>
      <c r="G10" s="195" t="str">
        <f t="shared" si="3"/>
        <v>Winnaar H1-G2</v>
      </c>
      <c r="L10" s="197"/>
    </row>
    <row r="11" spans="1:16" s="195" customFormat="1" ht="15" customHeight="1">
      <c r="D11" s="198" t="s">
        <v>89</v>
      </c>
      <c r="E11" s="200">
        <f>AVERAGE(Nijdam_sr:Willem!E11:E11)</f>
        <v>90</v>
      </c>
      <c r="G11" s="198" t="s">
        <v>82</v>
      </c>
      <c r="H11" s="200">
        <f>AVERAGE(Nijdam_sr:Willem!H11:H11)</f>
        <v>72</v>
      </c>
      <c r="J11" s="198" t="s">
        <v>90</v>
      </c>
      <c r="K11" s="199"/>
      <c r="L11" s="200">
        <f>AVERAGE(Nijdam_sr:Willem!L11:L11)</f>
        <v>30</v>
      </c>
    </row>
    <row r="12" spans="1:16" s="195" customFormat="1" ht="15" customHeight="1">
      <c r="L12" s="197"/>
    </row>
    <row r="13" spans="1:16">
      <c r="B13" s="201" t="s">
        <v>19</v>
      </c>
      <c r="C13" s="201"/>
      <c r="D13" s="339" t="s">
        <v>463</v>
      </c>
      <c r="E13" s="202" t="str">
        <f>IF(H102&gt;J102,E102,G102)</f>
        <v>Brazilië</v>
      </c>
      <c r="F13" s="226">
        <f>IF(ISNA(MATCH(E13,Invulblad!F100,0)),0,50)</f>
        <v>0</v>
      </c>
      <c r="G13" s="201"/>
      <c r="H13" s="201"/>
      <c r="I13" s="201"/>
      <c r="J13" s="201"/>
      <c r="K13" s="201"/>
      <c r="L13" s="203"/>
      <c r="M13" s="201"/>
      <c r="N13" s="201"/>
      <c r="O13" s="201"/>
    </row>
    <row r="14" spans="1:16" ht="15" customHeight="1">
      <c r="A14" s="188" t="s">
        <v>91</v>
      </c>
      <c r="B14" s="204" t="s">
        <v>92</v>
      </c>
      <c r="C14" s="332"/>
      <c r="D14" s="333"/>
      <c r="H14" s="458" t="s">
        <v>93</v>
      </c>
      <c r="I14" s="458"/>
      <c r="J14" s="458"/>
      <c r="K14" s="232" t="s">
        <v>20</v>
      </c>
      <c r="L14" s="233"/>
      <c r="M14" s="204" t="s">
        <v>94</v>
      </c>
      <c r="N14" s="206"/>
      <c r="O14" s="206"/>
      <c r="P14" s="201" t="s">
        <v>95</v>
      </c>
    </row>
    <row r="15" spans="1:16">
      <c r="A15" s="188">
        <v>1</v>
      </c>
      <c r="B15" s="195">
        <v>1</v>
      </c>
      <c r="C15" s="332">
        <v>41802</v>
      </c>
      <c r="D15" s="333">
        <v>0.91666666666666663</v>
      </c>
      <c r="E15" s="189" t="s">
        <v>422</v>
      </c>
      <c r="F15" s="189" t="s">
        <v>29</v>
      </c>
      <c r="G15" s="189" t="s">
        <v>423</v>
      </c>
      <c r="H15" s="368">
        <f>AVERAGE(Angele:Willem!H14:H14)</f>
        <v>2.0416666666666665</v>
      </c>
      <c r="I15" s="362" t="s">
        <v>29</v>
      </c>
      <c r="J15" s="368">
        <f>AVERAGE(Angele:Willem!J14:J14)</f>
        <v>0.70833333333333337</v>
      </c>
      <c r="K15" s="234" t="str">
        <f t="shared" ref="K15:K77" si="4">IF(AND(H15="",J15=""),"",IF(OR(H15="",J15=""),"FOUT",IF(H15&gt;J15,"1",IF(H15=J15,3,2))))</f>
        <v>1</v>
      </c>
      <c r="L15" s="235" t="str">
        <f>VLOOKUP($B15,Invulblad!$A$11:$S$103,13,0)</f>
        <v>1</v>
      </c>
      <c r="M15" s="211">
        <f>IF(L15&lt;&gt;"",VLOOKUP($B15,Invulblad!$A$11:$S$103,7,0),"")</f>
        <v>3</v>
      </c>
      <c r="N15" s="209" t="s">
        <v>29</v>
      </c>
      <c r="O15" s="211">
        <f>IF(L15&lt;&gt;"",VLOOKUP($B15,Invulblad!$A$11:$S$103,9,0),"")</f>
        <v>1</v>
      </c>
      <c r="P15" s="212">
        <f t="shared" ref="P15:P20" si="5">IF(L15&lt;&gt;"",IF(AND(M15=H15,O15=J15),10,IF(K15=L15,5,0)),"")</f>
        <v>5</v>
      </c>
    </row>
    <row r="16" spans="1:16">
      <c r="A16" s="188">
        <v>2</v>
      </c>
      <c r="B16" s="195">
        <v>2</v>
      </c>
      <c r="C16" s="332">
        <v>41803</v>
      </c>
      <c r="D16" s="333">
        <v>0.75</v>
      </c>
      <c r="E16" s="189" t="s">
        <v>101</v>
      </c>
      <c r="F16" s="189" t="s">
        <v>29</v>
      </c>
      <c r="G16" s="189" t="s">
        <v>119</v>
      </c>
      <c r="H16" s="368">
        <f>AVERAGE(Angele:Willem!H15:H15)</f>
        <v>1.3333333333333333</v>
      </c>
      <c r="I16" s="362" t="s">
        <v>29</v>
      </c>
      <c r="J16" s="368">
        <f>AVERAGE(Angele:Willem!J15:J15)</f>
        <v>0.70833333333333337</v>
      </c>
      <c r="K16" s="234" t="str">
        <f t="shared" si="4"/>
        <v>1</v>
      </c>
      <c r="L16" s="235" t="str">
        <f>VLOOKUP($B16,Invulblad!$A$11:$S$103,13,0)</f>
        <v>1</v>
      </c>
      <c r="M16" s="211">
        <f>IF(L16&lt;&gt;"",VLOOKUP($B16,Invulblad!$A$11:$S$103,7,0),"")</f>
        <v>1</v>
      </c>
      <c r="N16" s="209" t="s">
        <v>29</v>
      </c>
      <c r="O16" s="211">
        <f>IF(L16&lt;&gt;"",VLOOKUP($B16,Invulblad!$A$11:$S$103,9,0),"")</f>
        <v>0</v>
      </c>
      <c r="P16" s="212">
        <f t="shared" si="5"/>
        <v>5</v>
      </c>
    </row>
    <row r="17" spans="1:16">
      <c r="A17" s="188">
        <v>3</v>
      </c>
      <c r="B17" s="195">
        <v>17</v>
      </c>
      <c r="C17" s="332">
        <v>41807</v>
      </c>
      <c r="D17" s="333">
        <v>0.875</v>
      </c>
      <c r="E17" s="189" t="s">
        <v>422</v>
      </c>
      <c r="F17" s="189" t="s">
        <v>29</v>
      </c>
      <c r="G17" s="189" t="s">
        <v>96</v>
      </c>
      <c r="H17" s="368">
        <f>AVERAGE(Angele:Willem!H16:H16)</f>
        <v>1.8333333333333333</v>
      </c>
      <c r="I17" s="362" t="s">
        <v>29</v>
      </c>
      <c r="J17" s="368">
        <f>AVERAGE(Angele:Willem!J16:J16)</f>
        <v>0.58333333333333337</v>
      </c>
      <c r="K17" s="234" t="str">
        <f t="shared" si="4"/>
        <v>1</v>
      </c>
      <c r="L17" s="235">
        <f>VLOOKUP($B17,Invulblad!$A$11:$S$103,13,0)</f>
        <v>3</v>
      </c>
      <c r="M17" s="211">
        <f>IF(L17&lt;&gt;"",VLOOKUP($B17,Invulblad!$A$11:$S$103,7,0),"")</f>
        <v>0</v>
      </c>
      <c r="N17" s="209" t="s">
        <v>29</v>
      </c>
      <c r="O17" s="211">
        <f>IF(L17&lt;&gt;"",VLOOKUP($B17,Invulblad!$A$11:$S$103,9,0),"")</f>
        <v>0</v>
      </c>
      <c r="P17" s="212">
        <f t="shared" si="5"/>
        <v>0</v>
      </c>
    </row>
    <row r="18" spans="1:16">
      <c r="A18" s="188">
        <v>4</v>
      </c>
      <c r="B18" s="195">
        <v>18</v>
      </c>
      <c r="C18" s="332">
        <v>41809</v>
      </c>
      <c r="D18" s="333">
        <v>0</v>
      </c>
      <c r="E18" s="189" t="s">
        <v>121</v>
      </c>
      <c r="F18" s="189" t="s">
        <v>29</v>
      </c>
      <c r="G18" s="189" t="s">
        <v>423</v>
      </c>
      <c r="H18" s="368">
        <f>AVERAGE(Angele:Willem!H17:H17)</f>
        <v>0.66666666666666663</v>
      </c>
      <c r="I18" s="362" t="s">
        <v>29</v>
      </c>
      <c r="J18" s="368">
        <f>AVERAGE(Angele:Willem!J17:J17)</f>
        <v>1.3333333333333333</v>
      </c>
      <c r="K18" s="234">
        <f t="shared" si="4"/>
        <v>2</v>
      </c>
      <c r="L18" s="235">
        <f>VLOOKUP($B18,Invulblad!$A$11:$S$103,13,0)</f>
        <v>2</v>
      </c>
      <c r="M18" s="211">
        <f>IF(L18&lt;&gt;"",VLOOKUP($B18,Invulblad!$A$11:$S$103,7,0),"")</f>
        <v>0</v>
      </c>
      <c r="N18" s="209" t="s">
        <v>29</v>
      </c>
      <c r="O18" s="211">
        <f>IF(L18&lt;&gt;"",VLOOKUP($B18,Invulblad!$A$11:$S$103,9,0),"")</f>
        <v>4</v>
      </c>
      <c r="P18" s="212">
        <f t="shared" si="5"/>
        <v>5</v>
      </c>
    </row>
    <row r="19" spans="1:16">
      <c r="A19" s="188">
        <v>5</v>
      </c>
      <c r="B19" s="195">
        <v>33</v>
      </c>
      <c r="C19" s="332">
        <v>41813</v>
      </c>
      <c r="D19" s="333">
        <v>0.91666666666666663</v>
      </c>
      <c r="E19" s="189" t="s">
        <v>121</v>
      </c>
      <c r="F19" s="189" t="s">
        <v>29</v>
      </c>
      <c r="G19" s="189" t="s">
        <v>424</v>
      </c>
      <c r="H19" s="368">
        <f>AVERAGE(Angele:Willem!H18:H18)</f>
        <v>0.33333333333333331</v>
      </c>
      <c r="I19" s="362" t="s">
        <v>29</v>
      </c>
      <c r="J19" s="368">
        <f>AVERAGE(Angele:Willem!J18:J18)</f>
        <v>2.4166666666666665</v>
      </c>
      <c r="K19" s="234">
        <f t="shared" si="4"/>
        <v>2</v>
      </c>
      <c r="L19" s="235">
        <f>VLOOKUP($B19,Invulblad!$A$11:$S$103,13,0)</f>
        <v>2</v>
      </c>
      <c r="M19" s="211">
        <f>IF(L19&lt;&gt;"",VLOOKUP($B19,Invulblad!$A$11:$S$103,7,0),"")</f>
        <v>1</v>
      </c>
      <c r="N19" s="209" t="s">
        <v>29</v>
      </c>
      <c r="O19" s="211">
        <f>IF(L19&lt;&gt;"",VLOOKUP($B19,Invulblad!$A$11:$S$103,9,0),"")</f>
        <v>4</v>
      </c>
      <c r="P19" s="212">
        <f t="shared" si="5"/>
        <v>5</v>
      </c>
    </row>
    <row r="20" spans="1:16">
      <c r="A20" s="188">
        <v>6</v>
      </c>
      <c r="B20" s="195">
        <v>34</v>
      </c>
      <c r="C20" s="332">
        <v>41813</v>
      </c>
      <c r="D20" s="333">
        <v>0.91666666666666663</v>
      </c>
      <c r="E20" s="189" t="s">
        <v>425</v>
      </c>
      <c r="F20" s="189" t="s">
        <v>29</v>
      </c>
      <c r="G20" s="189" t="s">
        <v>96</v>
      </c>
      <c r="H20" s="368">
        <f>AVERAGE(Angele:Willem!H19:H19)</f>
        <v>1.5</v>
      </c>
      <c r="I20" s="362" t="s">
        <v>29</v>
      </c>
      <c r="J20" s="368">
        <f>AVERAGE(Angele:Willem!J19:J19)</f>
        <v>1.2916666666666667</v>
      </c>
      <c r="K20" s="234" t="str">
        <f t="shared" si="4"/>
        <v>1</v>
      </c>
      <c r="L20" s="235">
        <f>VLOOKUP($B20,Invulblad!$A$11:$S$103,13,0)</f>
        <v>2</v>
      </c>
      <c r="M20" s="211">
        <f>IF(L20&lt;&gt;"",VLOOKUP($B20,Invulblad!$A$11:$S$103,7,0),"")</f>
        <v>1</v>
      </c>
      <c r="N20" s="209" t="s">
        <v>29</v>
      </c>
      <c r="O20" s="211">
        <f>IF(L20&lt;&gt;"",VLOOKUP($B20,Invulblad!$A$11:$S$103,9,0),"")</f>
        <v>3</v>
      </c>
      <c r="P20" s="212">
        <f t="shared" si="5"/>
        <v>0</v>
      </c>
    </row>
    <row r="21" spans="1:16">
      <c r="A21" s="188">
        <v>7</v>
      </c>
      <c r="B21" s="201" t="s">
        <v>30</v>
      </c>
      <c r="H21" s="201"/>
      <c r="I21" s="201"/>
      <c r="J21" s="201"/>
      <c r="K21" s="236" t="str">
        <f t="shared" si="4"/>
        <v/>
      </c>
      <c r="L21" s="235"/>
      <c r="M21" s="211" t="str">
        <f>IF(L21&lt;&gt;"",VLOOKUP($B21,Invulblad!$A$11:$S$103,7,0),"")</f>
        <v/>
      </c>
      <c r="N21" s="201"/>
      <c r="O21" s="211" t="str">
        <f>IF(L21&lt;&gt;"",VLOOKUP($B21,Invulblad!$A$11:$S$103,9,0),"")</f>
        <v/>
      </c>
    </row>
    <row r="22" spans="1:16" ht="15" customHeight="1">
      <c r="B22" s="201"/>
      <c r="C22" s="189" t="s">
        <v>420</v>
      </c>
      <c r="D22" s="189" t="s">
        <v>421</v>
      </c>
      <c r="E22" s="189" t="s">
        <v>145</v>
      </c>
      <c r="F22" s="189" t="s">
        <v>29</v>
      </c>
      <c r="G22" s="189" t="s">
        <v>145</v>
      </c>
      <c r="H22" s="458" t="s">
        <v>93</v>
      </c>
      <c r="I22" s="458"/>
      <c r="J22" s="458"/>
      <c r="K22" s="236"/>
      <c r="L22" s="235"/>
      <c r="M22" s="211"/>
      <c r="N22" s="201"/>
      <c r="O22" s="211"/>
    </row>
    <row r="23" spans="1:16">
      <c r="A23" s="188">
        <v>9</v>
      </c>
      <c r="B23" s="195">
        <v>3</v>
      </c>
      <c r="C23" s="332">
        <v>41803</v>
      </c>
      <c r="D23" s="333">
        <v>0.875</v>
      </c>
      <c r="E23" s="189" t="s">
        <v>129</v>
      </c>
      <c r="F23" s="189" t="s">
        <v>29</v>
      </c>
      <c r="G23" s="189" t="s">
        <v>122</v>
      </c>
      <c r="H23" s="368">
        <f>AVERAGE(Angele:Willem!H22:H22)</f>
        <v>1.2916666666666667</v>
      </c>
      <c r="I23" s="362" t="s">
        <v>29</v>
      </c>
      <c r="J23" s="368">
        <f>AVERAGE(Angele:Willem!J22:J22)</f>
        <v>0.91666666666666663</v>
      </c>
      <c r="K23" s="234" t="str">
        <f t="shared" si="4"/>
        <v>1</v>
      </c>
      <c r="L23" s="235">
        <f>VLOOKUP($B23,Invulblad!$A$11:$S$103,13,0)</f>
        <v>2</v>
      </c>
      <c r="M23" s="211">
        <f>IF(L23&lt;&gt;"",VLOOKUP($B23,Invulblad!$A$11:$S$103,7,0),"")</f>
        <v>1</v>
      </c>
      <c r="N23" s="209" t="s">
        <v>29</v>
      </c>
      <c r="O23" s="211">
        <f>IF(L23&lt;&gt;"",VLOOKUP($B23,Invulblad!$A$11:$S$103,9,0),"")</f>
        <v>5</v>
      </c>
      <c r="P23" s="212">
        <f t="shared" ref="P23:P28" si="6">IF(L23&lt;&gt;"",IF(AND(M23=H23,O23=J23),10,IF(K23=L23,5,0)),"")</f>
        <v>0</v>
      </c>
    </row>
    <row r="24" spans="1:16">
      <c r="A24" s="188">
        <v>10</v>
      </c>
      <c r="B24" s="195">
        <v>4</v>
      </c>
      <c r="C24" s="332">
        <v>41804</v>
      </c>
      <c r="D24" s="333">
        <v>0</v>
      </c>
      <c r="E24" s="189" t="s">
        <v>131</v>
      </c>
      <c r="F24" s="189" t="s">
        <v>29</v>
      </c>
      <c r="G24" s="189" t="s">
        <v>426</v>
      </c>
      <c r="H24" s="368">
        <f>AVERAGE(Angele:Willem!H23:H23)</f>
        <v>1.625</v>
      </c>
      <c r="I24" s="362" t="s">
        <v>29</v>
      </c>
      <c r="J24" s="368">
        <f>AVERAGE(Angele:Willem!J23:J23)</f>
        <v>0.33333333333333331</v>
      </c>
      <c r="K24" s="234" t="str">
        <f t="shared" si="4"/>
        <v>1</v>
      </c>
      <c r="L24" s="235" t="str">
        <f>VLOOKUP($B24,Invulblad!$A$11:$S$103,13,0)</f>
        <v>1</v>
      </c>
      <c r="M24" s="211">
        <f>IF(L24&lt;&gt;"",VLOOKUP($B24,Invulblad!$A$11:$S$103,7,0),"")</f>
        <v>3</v>
      </c>
      <c r="N24" s="209" t="s">
        <v>29</v>
      </c>
      <c r="O24" s="211">
        <f>IF(L24&lt;&gt;"",VLOOKUP($B24,Invulblad!$A$11:$S$103,9,0),"")</f>
        <v>1</v>
      </c>
      <c r="P24" s="212">
        <f t="shared" si="6"/>
        <v>5</v>
      </c>
    </row>
    <row r="25" spans="1:16">
      <c r="A25" s="188">
        <v>11</v>
      </c>
      <c r="B25" s="195">
        <v>19</v>
      </c>
      <c r="C25" s="332">
        <v>41808</v>
      </c>
      <c r="D25" s="333">
        <v>0.875</v>
      </c>
      <c r="E25" s="189" t="s">
        <v>129</v>
      </c>
      <c r="F25" s="189" t="s">
        <v>29</v>
      </c>
      <c r="G25" s="189" t="s">
        <v>128</v>
      </c>
      <c r="H25" s="368">
        <f>AVERAGE(Angele:Willem!H24:H24)</f>
        <v>1.7916666666666667</v>
      </c>
      <c r="I25" s="362" t="s">
        <v>29</v>
      </c>
      <c r="J25" s="368">
        <f>AVERAGE(Angele:Willem!J24:J24)</f>
        <v>0.625</v>
      </c>
      <c r="K25" s="234" t="str">
        <f t="shared" si="4"/>
        <v>1</v>
      </c>
      <c r="L25" s="235">
        <f>VLOOKUP($B25,Invulblad!$A$11:$S$103,13,0)</f>
        <v>2</v>
      </c>
      <c r="M25" s="211">
        <f>IF(L25&lt;&gt;"",VLOOKUP($B25,Invulblad!$A$11:$S$103,7,0),"")</f>
        <v>0</v>
      </c>
      <c r="N25" s="209" t="s">
        <v>29</v>
      </c>
      <c r="O25" s="211">
        <f>IF(L25&lt;&gt;"",VLOOKUP($B25,Invulblad!$A$11:$S$103,9,0),"")</f>
        <v>2</v>
      </c>
      <c r="P25" s="212">
        <f t="shared" si="6"/>
        <v>0</v>
      </c>
    </row>
    <row r="26" spans="1:16">
      <c r="A26" s="188">
        <v>12</v>
      </c>
      <c r="B26" s="195">
        <v>20</v>
      </c>
      <c r="C26" s="332">
        <v>41808</v>
      </c>
      <c r="D26" s="333">
        <v>0.75</v>
      </c>
      <c r="E26" s="189" t="s">
        <v>427</v>
      </c>
      <c r="F26" s="189" t="s">
        <v>29</v>
      </c>
      <c r="G26" s="189" t="s">
        <v>122</v>
      </c>
      <c r="H26" s="368">
        <f>AVERAGE(Angele:Willem!H25:H25)</f>
        <v>0.375</v>
      </c>
      <c r="I26" s="362" t="s">
        <v>29</v>
      </c>
      <c r="J26" s="368">
        <f>AVERAGE(Angele:Willem!J25:J25)</f>
        <v>2</v>
      </c>
      <c r="K26" s="234">
        <f t="shared" si="4"/>
        <v>2</v>
      </c>
      <c r="L26" s="235">
        <f>VLOOKUP($B26,Invulblad!$A$11:$S$103,13,0)</f>
        <v>2</v>
      </c>
      <c r="M26" s="211">
        <f>IF(L26&lt;&gt;"",VLOOKUP($B26,Invulblad!$A$11:$S$103,7,0),"")</f>
        <v>2</v>
      </c>
      <c r="N26" s="209" t="s">
        <v>29</v>
      </c>
      <c r="O26" s="211">
        <f>IF(L26&lt;&gt;"",VLOOKUP($B26,Invulblad!$A$11:$S$103,9,0),"")</f>
        <v>3</v>
      </c>
      <c r="P26" s="212">
        <f t="shared" si="6"/>
        <v>5</v>
      </c>
    </row>
    <row r="27" spans="1:16">
      <c r="A27" s="188">
        <v>13</v>
      </c>
      <c r="B27" s="195">
        <v>35</v>
      </c>
      <c r="C27" s="332">
        <v>41813</v>
      </c>
      <c r="D27" s="333">
        <v>0.75</v>
      </c>
      <c r="E27" s="189" t="s">
        <v>427</v>
      </c>
      <c r="F27" s="189" t="s">
        <v>29</v>
      </c>
      <c r="G27" s="189" t="s">
        <v>133</v>
      </c>
      <c r="H27" s="368">
        <f>AVERAGE(Angele:Willem!H26:H26)</f>
        <v>0.29166666666666669</v>
      </c>
      <c r="I27" s="362" t="s">
        <v>29</v>
      </c>
      <c r="J27" s="368">
        <f>AVERAGE(Angele:Willem!J26:J26)</f>
        <v>1.9583333333333333</v>
      </c>
      <c r="K27" s="234">
        <f t="shared" si="4"/>
        <v>2</v>
      </c>
      <c r="L27" s="235">
        <f>VLOOKUP($B27,Invulblad!$A$11:$S$103,13,0)</f>
        <v>2</v>
      </c>
      <c r="M27" s="211">
        <f>IF(L27&lt;&gt;"",VLOOKUP($B27,Invulblad!$A$11:$S$103,7,0),"")</f>
        <v>0</v>
      </c>
      <c r="N27" s="209" t="s">
        <v>29</v>
      </c>
      <c r="O27" s="211">
        <f>IF(L27&lt;&gt;"",VLOOKUP($B27,Invulblad!$A$11:$S$103,9,0),"")</f>
        <v>3</v>
      </c>
      <c r="P27" s="212">
        <f t="shared" si="6"/>
        <v>5</v>
      </c>
    </row>
    <row r="28" spans="1:16">
      <c r="A28" s="188">
        <v>14</v>
      </c>
      <c r="B28" s="195">
        <v>36</v>
      </c>
      <c r="C28" s="332">
        <v>41813</v>
      </c>
      <c r="D28" s="333">
        <v>0.75</v>
      </c>
      <c r="E28" s="189" t="s">
        <v>117</v>
      </c>
      <c r="F28" s="189" t="s">
        <v>29</v>
      </c>
      <c r="G28" s="189" t="s">
        <v>128</v>
      </c>
      <c r="H28" s="368">
        <f>AVERAGE(Angele:Willem!H27:H27)</f>
        <v>1.375</v>
      </c>
      <c r="I28" s="362" t="s">
        <v>29</v>
      </c>
      <c r="J28" s="368">
        <f>AVERAGE(Angele:Willem!J27:J27)</f>
        <v>0.75</v>
      </c>
      <c r="K28" s="234" t="str">
        <f t="shared" si="4"/>
        <v>1</v>
      </c>
      <c r="L28" s="235" t="str">
        <f>VLOOKUP($B28,Invulblad!$A$11:$S$103,13,0)</f>
        <v>1</v>
      </c>
      <c r="M28" s="211">
        <f>IF(L28&lt;&gt;"",VLOOKUP($B28,Invulblad!$A$11:$S$103,7,0),"")</f>
        <v>2</v>
      </c>
      <c r="N28" s="209" t="s">
        <v>29</v>
      </c>
      <c r="O28" s="211">
        <f>IF(L28&lt;&gt;"",VLOOKUP($B28,Invulblad!$A$11:$S$103,9,0),"")</f>
        <v>0</v>
      </c>
      <c r="P28" s="212">
        <f t="shared" si="6"/>
        <v>5</v>
      </c>
    </row>
    <row r="29" spans="1:16">
      <c r="A29" s="188">
        <v>15</v>
      </c>
      <c r="B29" s="201" t="s">
        <v>31</v>
      </c>
      <c r="H29" s="201"/>
      <c r="I29" s="201"/>
      <c r="J29" s="201"/>
      <c r="K29" s="236" t="str">
        <f t="shared" si="4"/>
        <v/>
      </c>
      <c r="L29" s="235"/>
      <c r="M29" s="211" t="str">
        <f>IF(L29&lt;&gt;"",VLOOKUP($B29,Invulblad!$A$11:$S$103,7,0),"")</f>
        <v/>
      </c>
      <c r="N29" s="209"/>
      <c r="O29" s="211" t="str">
        <f>IF(L29&lt;&gt;"",VLOOKUP($B29,Invulblad!$A$11:$S$103,9,0),"")</f>
        <v/>
      </c>
    </row>
    <row r="30" spans="1:16" ht="15" customHeight="1">
      <c r="B30" s="201"/>
      <c r="C30" s="189" t="s">
        <v>420</v>
      </c>
      <c r="D30" s="189" t="s">
        <v>421</v>
      </c>
      <c r="E30" s="189" t="s">
        <v>145</v>
      </c>
      <c r="F30" s="189" t="s">
        <v>29</v>
      </c>
      <c r="G30" s="189" t="s">
        <v>145</v>
      </c>
      <c r="H30" s="458" t="s">
        <v>93</v>
      </c>
      <c r="I30" s="458"/>
      <c r="J30" s="458"/>
      <c r="K30" s="236"/>
      <c r="L30" s="235"/>
      <c r="M30" s="211"/>
      <c r="N30" s="209"/>
      <c r="O30" s="211"/>
    </row>
    <row r="31" spans="1:16">
      <c r="A31" s="188">
        <v>17</v>
      </c>
      <c r="B31" s="195">
        <v>5</v>
      </c>
      <c r="C31" s="332">
        <v>41804</v>
      </c>
      <c r="D31" s="333">
        <v>0.75</v>
      </c>
      <c r="E31" s="189" t="s">
        <v>428</v>
      </c>
      <c r="F31" s="189" t="s">
        <v>29</v>
      </c>
      <c r="G31" s="189" t="s">
        <v>105</v>
      </c>
      <c r="H31" s="368">
        <f>AVERAGE(Angele:Willem!H30:H30)</f>
        <v>1.4583333333333333</v>
      </c>
      <c r="I31" s="362" t="s">
        <v>29</v>
      </c>
      <c r="J31" s="368">
        <f>AVERAGE(Angele:Willem!J30:J30)</f>
        <v>0.54166666666666663</v>
      </c>
      <c r="K31" s="234" t="str">
        <f t="shared" si="4"/>
        <v>1</v>
      </c>
      <c r="L31" s="235" t="str">
        <f>VLOOKUP($B31,Invulblad!$A$11:$S$103,13,0)</f>
        <v>1</v>
      </c>
      <c r="M31" s="211">
        <f>IF(L31&lt;&gt;"",VLOOKUP($B31,Invulblad!$A$11:$S$103,7,0),"")</f>
        <v>3</v>
      </c>
      <c r="N31" s="209" t="s">
        <v>29</v>
      </c>
      <c r="O31" s="211">
        <f>IF(L31&lt;&gt;"",VLOOKUP($B31,Invulblad!$A$11:$S$103,9,0),"")</f>
        <v>0</v>
      </c>
      <c r="P31" s="212">
        <f t="shared" ref="P31:P36" si="7">IF(L31&lt;&gt;"",IF(AND(M31=H31,O31=J31),10,IF(K31=L31,5,0)),"")</f>
        <v>5</v>
      </c>
    </row>
    <row r="32" spans="1:16">
      <c r="A32" s="188">
        <v>18</v>
      </c>
      <c r="B32" s="195">
        <v>6</v>
      </c>
      <c r="C32" s="332">
        <v>41805</v>
      </c>
      <c r="D32" s="333">
        <v>0.125</v>
      </c>
      <c r="E32" s="189" t="s">
        <v>123</v>
      </c>
      <c r="F32" s="189" t="s">
        <v>29</v>
      </c>
      <c r="G32" s="189" t="s">
        <v>120</v>
      </c>
      <c r="H32" s="368">
        <f>AVERAGE(Angele:Willem!H31:H31)</f>
        <v>1.375</v>
      </c>
      <c r="I32" s="362" t="s">
        <v>29</v>
      </c>
      <c r="J32" s="368">
        <f>AVERAGE(Angele:Willem!J31:J31)</f>
        <v>1.1666666666666667</v>
      </c>
      <c r="K32" s="234" t="str">
        <f t="shared" si="4"/>
        <v>1</v>
      </c>
      <c r="L32" s="235" t="str">
        <f>VLOOKUP($B32,Invulblad!$A$11:$S$103,13,0)</f>
        <v>1</v>
      </c>
      <c r="M32" s="211">
        <f>IF(L32&lt;&gt;"",VLOOKUP($B32,Invulblad!$A$11:$S$103,7,0),"")</f>
        <v>2</v>
      </c>
      <c r="N32" s="209" t="s">
        <v>29</v>
      </c>
      <c r="O32" s="211">
        <f>IF(L32&lt;&gt;"",VLOOKUP($B32,Invulblad!$A$11:$S$103,9,0),"")</f>
        <v>1</v>
      </c>
      <c r="P32" s="212">
        <f t="shared" si="7"/>
        <v>5</v>
      </c>
    </row>
    <row r="33" spans="1:16">
      <c r="A33" s="188">
        <v>19</v>
      </c>
      <c r="B33" s="195">
        <v>22</v>
      </c>
      <c r="C33" s="332">
        <v>41809</v>
      </c>
      <c r="D33" s="333">
        <v>0.75</v>
      </c>
      <c r="E33" s="189" t="s">
        <v>428</v>
      </c>
      <c r="F33" s="189" t="s">
        <v>29</v>
      </c>
      <c r="G33" s="189" t="s">
        <v>125</v>
      </c>
      <c r="H33" s="368">
        <f>AVERAGE(Angele:Willem!H32:H32)</f>
        <v>1.2916666666666667</v>
      </c>
      <c r="I33" s="362" t="s">
        <v>29</v>
      </c>
      <c r="J33" s="368">
        <f>AVERAGE(Angele:Willem!J32:J32)</f>
        <v>0.95833333333333337</v>
      </c>
      <c r="K33" s="234" t="str">
        <f t="shared" si="4"/>
        <v>1</v>
      </c>
      <c r="L33" s="235">
        <f>VLOOKUP($B33,Invulblad!$A$11:$S$103,13,0)</f>
        <v>3</v>
      </c>
      <c r="M33" s="211">
        <f>IF(L33&lt;&gt;"",VLOOKUP($B33,Invulblad!$A$11:$S$103,7,0),"")</f>
        <v>0</v>
      </c>
      <c r="N33" s="209" t="s">
        <v>29</v>
      </c>
      <c r="O33" s="211">
        <f>IF(L33&lt;&gt;"",VLOOKUP($B33,Invulblad!$A$11:$S$103,9,0),"")</f>
        <v>0</v>
      </c>
      <c r="P33" s="212">
        <f t="shared" si="7"/>
        <v>0</v>
      </c>
    </row>
    <row r="34" spans="1:16">
      <c r="A34" s="188">
        <v>20</v>
      </c>
      <c r="B34" s="195">
        <v>23</v>
      </c>
      <c r="C34" s="332">
        <v>41810</v>
      </c>
      <c r="D34" s="333">
        <v>0</v>
      </c>
      <c r="E34" s="189" t="s">
        <v>118</v>
      </c>
      <c r="F34" s="189" t="s">
        <v>29</v>
      </c>
      <c r="G34" s="189" t="s">
        <v>105</v>
      </c>
      <c r="H34" s="368">
        <f>AVERAGE(Angele:Willem!H33:H33)</f>
        <v>1</v>
      </c>
      <c r="I34" s="362" t="s">
        <v>29</v>
      </c>
      <c r="J34" s="368">
        <f>AVERAGE(Angele:Willem!J33:J33)</f>
        <v>0.625</v>
      </c>
      <c r="K34" s="234" t="str">
        <f t="shared" si="4"/>
        <v>1</v>
      </c>
      <c r="L34" s="235" t="str">
        <f>VLOOKUP($B34,Invulblad!$A$11:$S$103,13,0)</f>
        <v>1</v>
      </c>
      <c r="M34" s="211">
        <f>IF(L34&lt;&gt;"",VLOOKUP($B34,Invulblad!$A$11:$S$103,7,0),"")</f>
        <v>2</v>
      </c>
      <c r="N34" s="209" t="s">
        <v>29</v>
      </c>
      <c r="O34" s="211">
        <f>IF(L34&lt;&gt;"",VLOOKUP($B34,Invulblad!$A$11:$S$103,9,0),"")</f>
        <v>1</v>
      </c>
      <c r="P34" s="212">
        <f t="shared" si="7"/>
        <v>5</v>
      </c>
    </row>
    <row r="35" spans="1:16">
      <c r="A35" s="188">
        <v>21</v>
      </c>
      <c r="B35" s="195">
        <v>37</v>
      </c>
      <c r="C35" s="332">
        <v>41814</v>
      </c>
      <c r="D35" s="333">
        <v>0.91666666666666663</v>
      </c>
      <c r="E35" s="189" t="s">
        <v>118</v>
      </c>
      <c r="F35" s="189" t="s">
        <v>29</v>
      </c>
      <c r="G35" s="189" t="s">
        <v>429</v>
      </c>
      <c r="H35" s="368">
        <f>AVERAGE(Angele:Willem!H34:H34)</f>
        <v>0.66666666666666663</v>
      </c>
      <c r="I35" s="362" t="s">
        <v>29</v>
      </c>
      <c r="J35" s="368">
        <f>AVERAGE(Angele:Willem!J34:J34)</f>
        <v>1.25</v>
      </c>
      <c r="K35" s="234">
        <f t="shared" si="4"/>
        <v>2</v>
      </c>
      <c r="L35" s="235">
        <f>VLOOKUP($B35,Invulblad!$A$11:$S$103,13,0)</f>
        <v>2</v>
      </c>
      <c r="M35" s="211">
        <f>IF(L35&lt;&gt;"",VLOOKUP($B35,Invulblad!$A$11:$S$103,7,0),"")</f>
        <v>1</v>
      </c>
      <c r="N35" s="209" t="s">
        <v>29</v>
      </c>
      <c r="O35" s="211">
        <f>IF(L35&lt;&gt;"",VLOOKUP($B35,Invulblad!$A$11:$S$103,9,0),"")</f>
        <v>4</v>
      </c>
      <c r="P35" s="212">
        <f t="shared" si="7"/>
        <v>5</v>
      </c>
    </row>
    <row r="36" spans="1:16">
      <c r="A36" s="188">
        <v>22</v>
      </c>
      <c r="B36" s="195">
        <v>38</v>
      </c>
      <c r="C36" s="332">
        <v>41814</v>
      </c>
      <c r="D36" s="333">
        <v>0.91666666666666663</v>
      </c>
      <c r="E36" s="189" t="s">
        <v>233</v>
      </c>
      <c r="F36" s="189" t="s">
        <v>29</v>
      </c>
      <c r="G36" s="189" t="s">
        <v>125</v>
      </c>
      <c r="H36" s="368">
        <f>AVERAGE(Angele:Willem!H35:H35)</f>
        <v>0.75</v>
      </c>
      <c r="I36" s="362" t="s">
        <v>29</v>
      </c>
      <c r="J36" s="368">
        <f>AVERAGE(Angele:Willem!J35:J35)</f>
        <v>1.125</v>
      </c>
      <c r="K36" s="234">
        <f t="shared" si="4"/>
        <v>2</v>
      </c>
      <c r="L36" s="235" t="str">
        <f>VLOOKUP($B36,Invulblad!$A$11:$S$103,13,0)</f>
        <v>1</v>
      </c>
      <c r="M36" s="211">
        <f>IF(L36&lt;&gt;"",VLOOKUP($B36,Invulblad!$A$11:$S$103,7,0),"")</f>
        <v>2</v>
      </c>
      <c r="N36" s="209" t="s">
        <v>29</v>
      </c>
      <c r="O36" s="211">
        <f>IF(L36&lt;&gt;"",VLOOKUP($B36,Invulblad!$A$11:$S$103,9,0),"")</f>
        <v>1</v>
      </c>
      <c r="P36" s="212">
        <f t="shared" si="7"/>
        <v>0</v>
      </c>
    </row>
    <row r="37" spans="1:16">
      <c r="A37" s="188">
        <v>23</v>
      </c>
      <c r="B37" s="201" t="s">
        <v>33</v>
      </c>
      <c r="H37" s="201"/>
      <c r="I37" s="201"/>
      <c r="J37" s="201"/>
      <c r="K37" s="236" t="str">
        <f t="shared" si="4"/>
        <v/>
      </c>
      <c r="L37" s="235"/>
      <c r="M37" s="211" t="str">
        <f>IF(L37&lt;&gt;"",VLOOKUP($B37,Invulblad!$A$11:$S$103,7,0),"")</f>
        <v/>
      </c>
      <c r="N37" s="209"/>
      <c r="O37" s="211" t="str">
        <f>IF(L37&lt;&gt;"",VLOOKUP($B37,Invulblad!$A$11:$S$103,9,0),"")</f>
        <v/>
      </c>
    </row>
    <row r="38" spans="1:16" ht="15" customHeight="1">
      <c r="B38" s="201"/>
      <c r="C38" s="189" t="s">
        <v>420</v>
      </c>
      <c r="D38" s="189" t="s">
        <v>421</v>
      </c>
      <c r="E38" s="189" t="s">
        <v>145</v>
      </c>
      <c r="F38" s="189" t="s">
        <v>29</v>
      </c>
      <c r="G38" s="189" t="s">
        <v>145</v>
      </c>
      <c r="H38" s="458" t="s">
        <v>93</v>
      </c>
      <c r="I38" s="458"/>
      <c r="J38" s="458"/>
      <c r="K38" s="236"/>
      <c r="L38" s="235"/>
      <c r="M38" s="211"/>
      <c r="N38" s="209"/>
      <c r="O38" s="211"/>
    </row>
    <row r="39" spans="1:16">
      <c r="A39" s="188">
        <v>25</v>
      </c>
      <c r="B39" s="195">
        <v>7</v>
      </c>
      <c r="C39" s="332">
        <v>41804</v>
      </c>
      <c r="D39" s="333">
        <v>0.875</v>
      </c>
      <c r="E39" s="189" t="s">
        <v>231</v>
      </c>
      <c r="F39" s="189" t="s">
        <v>29</v>
      </c>
      <c r="G39" s="189" t="s">
        <v>430</v>
      </c>
      <c r="H39" s="368">
        <f>AVERAGE(Angele:Willem!H38:H38)</f>
        <v>2.125</v>
      </c>
      <c r="I39" s="362" t="s">
        <v>29</v>
      </c>
      <c r="J39" s="368">
        <f>AVERAGE(Angele:Willem!J38:J38)</f>
        <v>0.41666666666666669</v>
      </c>
      <c r="K39" s="234" t="str">
        <f t="shared" si="4"/>
        <v>1</v>
      </c>
      <c r="L39" s="235">
        <f>VLOOKUP($B39,Invulblad!$A$11:$S$103,13,0)</f>
        <v>2</v>
      </c>
      <c r="M39" s="211">
        <f>IF(L39&lt;&gt;"",VLOOKUP($B39,Invulblad!$A$11:$S$103,7,0),"")</f>
        <v>1</v>
      </c>
      <c r="N39" s="209" t="s">
        <v>29</v>
      </c>
      <c r="O39" s="211">
        <f>IF(L39&lt;&gt;"",VLOOKUP($B39,Invulblad!$A$11:$S$103,9,0),"")</f>
        <v>3</v>
      </c>
      <c r="P39" s="212">
        <f t="shared" ref="P39:P44" si="8">IF(L39&lt;&gt;"",IF(AND(M39=H39,O39=J39),10,IF(K39=L39,5,0)),"")</f>
        <v>0</v>
      </c>
    </row>
    <row r="40" spans="1:16">
      <c r="A40" s="188">
        <v>26</v>
      </c>
      <c r="B40" s="195">
        <v>8</v>
      </c>
      <c r="C40" s="332">
        <v>41805</v>
      </c>
      <c r="D40" s="333">
        <v>0</v>
      </c>
      <c r="E40" s="189" t="s">
        <v>235</v>
      </c>
      <c r="F40" s="189" t="s">
        <v>29</v>
      </c>
      <c r="G40" s="189" t="s">
        <v>431</v>
      </c>
      <c r="H40" s="368">
        <f>AVERAGE(Angele:Willem!H39:H39)</f>
        <v>0.91666666666666663</v>
      </c>
      <c r="I40" s="362" t="s">
        <v>29</v>
      </c>
      <c r="J40" s="368">
        <f>AVERAGE(Angele:Willem!J39:J39)</f>
        <v>1.4166666666666667</v>
      </c>
      <c r="K40" s="234">
        <f t="shared" si="4"/>
        <v>2</v>
      </c>
      <c r="L40" s="235">
        <f>VLOOKUP($B40,Invulblad!$A$11:$S$103,13,0)</f>
        <v>2</v>
      </c>
      <c r="M40" s="211">
        <f>IF(L40&lt;&gt;"",VLOOKUP($B40,Invulblad!$A$11:$S$103,7,0),"")</f>
        <v>1</v>
      </c>
      <c r="N40" s="209" t="s">
        <v>29</v>
      </c>
      <c r="O40" s="211">
        <f>IF(L40&lt;&gt;"",VLOOKUP($B40,Invulblad!$A$11:$S$103,9,0),"")</f>
        <v>2</v>
      </c>
      <c r="P40" s="212">
        <f t="shared" si="8"/>
        <v>5</v>
      </c>
    </row>
    <row r="41" spans="1:16">
      <c r="A41" s="188">
        <v>27</v>
      </c>
      <c r="B41" s="195">
        <v>21</v>
      </c>
      <c r="C41" s="332">
        <v>41809</v>
      </c>
      <c r="D41" s="333">
        <v>0.875</v>
      </c>
      <c r="E41" s="189" t="s">
        <v>231</v>
      </c>
      <c r="F41" s="189" t="s">
        <v>29</v>
      </c>
      <c r="G41" s="189" t="s">
        <v>112</v>
      </c>
      <c r="H41" s="368">
        <f>AVERAGE(Angele:Willem!H40:H40)</f>
        <v>1.1666666666666667</v>
      </c>
      <c r="I41" s="362" t="s">
        <v>29</v>
      </c>
      <c r="J41" s="368">
        <f>AVERAGE(Angele:Willem!J40:J40)</f>
        <v>0.79166666666666663</v>
      </c>
      <c r="K41" s="234" t="str">
        <f t="shared" si="4"/>
        <v>1</v>
      </c>
      <c r="L41" s="235" t="str">
        <f>VLOOKUP($B41,Invulblad!$A$11:$S$103,13,0)</f>
        <v>1</v>
      </c>
      <c r="M41" s="211">
        <f>IF(L41&lt;&gt;"",VLOOKUP($B41,Invulblad!$A$11:$S$103,7,0),"")</f>
        <v>2</v>
      </c>
      <c r="N41" s="209" t="s">
        <v>29</v>
      </c>
      <c r="O41" s="211">
        <f>IF(L41&lt;&gt;"",VLOOKUP($B41,Invulblad!$A$11:$S$103,9,0),"")</f>
        <v>1</v>
      </c>
      <c r="P41" s="212">
        <f t="shared" si="8"/>
        <v>5</v>
      </c>
    </row>
    <row r="42" spans="1:16">
      <c r="A42" s="188">
        <v>28</v>
      </c>
      <c r="B42" s="195">
        <v>24</v>
      </c>
      <c r="C42" s="332">
        <v>41810</v>
      </c>
      <c r="D42" s="333">
        <v>0.75</v>
      </c>
      <c r="E42" s="189" t="s">
        <v>432</v>
      </c>
      <c r="F42" s="189" t="s">
        <v>29</v>
      </c>
      <c r="G42" s="189" t="s">
        <v>430</v>
      </c>
      <c r="H42" s="368">
        <f>AVERAGE(Angele:Willem!H41:H41)</f>
        <v>1.7916666666666667</v>
      </c>
      <c r="I42" s="362" t="s">
        <v>29</v>
      </c>
      <c r="J42" s="368">
        <f>AVERAGE(Angele:Willem!J41:J41)</f>
        <v>8.3333333333333329E-2</v>
      </c>
      <c r="K42" s="234" t="str">
        <f t="shared" si="4"/>
        <v>1</v>
      </c>
      <c r="L42" s="235">
        <f>VLOOKUP($B42,Invulblad!$A$11:$S$103,13,0)</f>
        <v>2</v>
      </c>
      <c r="M42" s="211">
        <f>IF(L42&lt;&gt;"",VLOOKUP($B42,Invulblad!$A$11:$S$103,7,0),"")</f>
        <v>0</v>
      </c>
      <c r="N42" s="209" t="s">
        <v>29</v>
      </c>
      <c r="O42" s="211">
        <f>IF(L42&lt;&gt;"",VLOOKUP($B42,Invulblad!$A$11:$S$103,9,0),"")</f>
        <v>1</v>
      </c>
      <c r="P42" s="212">
        <f t="shared" si="8"/>
        <v>0</v>
      </c>
    </row>
    <row r="43" spans="1:16">
      <c r="A43" s="188">
        <v>29</v>
      </c>
      <c r="B43" s="195">
        <v>39</v>
      </c>
      <c r="C43" s="332">
        <v>41814</v>
      </c>
      <c r="D43" s="333">
        <v>0.75</v>
      </c>
      <c r="E43" s="189" t="s">
        <v>432</v>
      </c>
      <c r="F43" s="189" t="s">
        <v>29</v>
      </c>
      <c r="G43" s="189" t="s">
        <v>99</v>
      </c>
      <c r="H43" s="368">
        <f>AVERAGE(Angele:Willem!H42:H42)</f>
        <v>1.25</v>
      </c>
      <c r="I43" s="362" t="s">
        <v>29</v>
      </c>
      <c r="J43" s="368">
        <f>AVERAGE(Angele:Willem!J42:J42)</f>
        <v>0.79166666666666663</v>
      </c>
      <c r="K43" s="234" t="str">
        <f t="shared" si="4"/>
        <v>1</v>
      </c>
      <c r="L43" s="235">
        <f>VLOOKUP($B43,Invulblad!$A$11:$S$103,13,0)</f>
        <v>2</v>
      </c>
      <c r="M43" s="211">
        <f>IF(L43&lt;&gt;"",VLOOKUP($B43,Invulblad!$A$11:$S$103,7,0),"")</f>
        <v>0</v>
      </c>
      <c r="N43" s="209" t="s">
        <v>29</v>
      </c>
      <c r="O43" s="211">
        <f>IF(L43&lt;&gt;"",VLOOKUP($B43,Invulblad!$A$11:$S$103,9,0),"")</f>
        <v>1</v>
      </c>
      <c r="P43" s="212">
        <f t="shared" si="8"/>
        <v>0</v>
      </c>
    </row>
    <row r="44" spans="1:16">
      <c r="A44" s="188">
        <v>30</v>
      </c>
      <c r="B44" s="195">
        <v>40</v>
      </c>
      <c r="C44" s="332">
        <v>41814</v>
      </c>
      <c r="D44" s="333">
        <v>0.75</v>
      </c>
      <c r="E44" s="189" t="s">
        <v>433</v>
      </c>
      <c r="F44" s="189" t="s">
        <v>29</v>
      </c>
      <c r="G44" s="189" t="s">
        <v>112</v>
      </c>
      <c r="H44" s="368">
        <f>AVERAGE(Angele:Willem!H43:H43)</f>
        <v>0.29166666666666669</v>
      </c>
      <c r="I44" s="362" t="s">
        <v>29</v>
      </c>
      <c r="J44" s="368">
        <f>AVERAGE(Angele:Willem!J43:J43)</f>
        <v>1.8333333333333333</v>
      </c>
      <c r="K44" s="234">
        <f t="shared" si="4"/>
        <v>2</v>
      </c>
      <c r="L44" s="235">
        <f>VLOOKUP($B44,Invulblad!$A$11:$S$103,13,0)</f>
        <v>3</v>
      </c>
      <c r="M44" s="211">
        <f>IF(L44&lt;&gt;"",VLOOKUP($B44,Invulblad!$A$11:$S$103,7,0),"")</f>
        <v>0</v>
      </c>
      <c r="N44" s="209" t="s">
        <v>29</v>
      </c>
      <c r="O44" s="211">
        <f>IF(L44&lt;&gt;"",VLOOKUP($B44,Invulblad!$A$11:$S$103,9,0),"")</f>
        <v>0</v>
      </c>
      <c r="P44" s="212">
        <f t="shared" si="8"/>
        <v>0</v>
      </c>
    </row>
    <row r="45" spans="1:16">
      <c r="A45" s="188">
        <v>31</v>
      </c>
      <c r="B45" s="201" t="s">
        <v>34</v>
      </c>
      <c r="H45" s="201"/>
      <c r="I45" s="201"/>
      <c r="J45" s="201"/>
      <c r="K45" s="236" t="str">
        <f t="shared" si="4"/>
        <v/>
      </c>
      <c r="L45" s="235"/>
      <c r="M45" s="211" t="str">
        <f>IF(L45&lt;&gt;"",VLOOKUP($B45,Invulblad!$A$11:$S$103,7,0),"")</f>
        <v/>
      </c>
      <c r="N45" s="209"/>
      <c r="O45" s="211" t="str">
        <f>IF(L45&lt;&gt;"",VLOOKUP($B45,Invulblad!$A$11:$S$103,9,0),"")</f>
        <v/>
      </c>
    </row>
    <row r="46" spans="1:16" ht="15" customHeight="1">
      <c r="B46" s="201"/>
      <c r="C46" s="189" t="s">
        <v>420</v>
      </c>
      <c r="D46" s="189" t="s">
        <v>421</v>
      </c>
      <c r="E46" s="189" t="s">
        <v>145</v>
      </c>
      <c r="F46" s="189" t="s">
        <v>29</v>
      </c>
      <c r="G46" s="189" t="s">
        <v>145</v>
      </c>
      <c r="H46" s="458" t="s">
        <v>93</v>
      </c>
      <c r="I46" s="458"/>
      <c r="J46" s="458"/>
      <c r="K46" s="236"/>
      <c r="L46" s="235"/>
      <c r="M46" s="211"/>
      <c r="N46" s="209"/>
      <c r="O46" s="211"/>
    </row>
    <row r="47" spans="1:16">
      <c r="A47" s="188">
        <v>33</v>
      </c>
      <c r="B47" s="195">
        <v>9</v>
      </c>
      <c r="C47" s="332">
        <v>41805</v>
      </c>
      <c r="D47" s="333">
        <v>0.75</v>
      </c>
      <c r="E47" s="189" t="s">
        <v>134</v>
      </c>
      <c r="F47" s="189" t="s">
        <v>29</v>
      </c>
      <c r="G47" s="189" t="s">
        <v>434</v>
      </c>
      <c r="H47" s="368">
        <f>AVERAGE(Angele:Willem!H46:H46)</f>
        <v>1.1666666666666667</v>
      </c>
      <c r="I47" s="362" t="s">
        <v>29</v>
      </c>
      <c r="J47" s="368">
        <f>AVERAGE(Angele:Willem!J46:J46)</f>
        <v>0.58333333333333337</v>
      </c>
      <c r="K47" s="234" t="str">
        <f t="shared" si="4"/>
        <v>1</v>
      </c>
      <c r="L47" s="235" t="str">
        <f>VLOOKUP($B47,Invulblad!$A$11:$S$103,13,0)</f>
        <v>1</v>
      </c>
      <c r="M47" s="211">
        <f>IF(L47&lt;&gt;"",VLOOKUP($B47,Invulblad!$A$11:$S$103,7,0),"")</f>
        <v>2</v>
      </c>
      <c r="N47" s="209" t="s">
        <v>29</v>
      </c>
      <c r="O47" s="211">
        <f>IF(L47&lt;&gt;"",VLOOKUP($B47,Invulblad!$A$11:$S$103,9,0),"")</f>
        <v>1</v>
      </c>
      <c r="P47" s="212">
        <f t="shared" ref="P47:P52" si="9">IF(L47&lt;&gt;"",IF(AND(M47=H47,O47=J47),10,IF(K47=L47,5,0)),"")</f>
        <v>5</v>
      </c>
    </row>
    <row r="48" spans="1:16">
      <c r="A48" s="188">
        <v>34</v>
      </c>
      <c r="B48" s="195">
        <v>10</v>
      </c>
      <c r="C48" s="332">
        <v>41805</v>
      </c>
      <c r="D48" s="333">
        <v>0.875</v>
      </c>
      <c r="E48" s="189" t="s">
        <v>100</v>
      </c>
      <c r="F48" s="189" t="s">
        <v>29</v>
      </c>
      <c r="G48" s="189" t="s">
        <v>132</v>
      </c>
      <c r="H48" s="368">
        <f>AVERAGE(Angele:Willem!H47:H47)</f>
        <v>2.1666666666666665</v>
      </c>
      <c r="I48" s="362" t="s">
        <v>29</v>
      </c>
      <c r="J48" s="368">
        <f>AVERAGE(Angele:Willem!J47:J47)</f>
        <v>0.29166666666666669</v>
      </c>
      <c r="K48" s="234" t="str">
        <f t="shared" si="4"/>
        <v>1</v>
      </c>
      <c r="L48" s="235" t="str">
        <f>VLOOKUP($B48,Invulblad!$A$11:$S$103,13,0)</f>
        <v>1</v>
      </c>
      <c r="M48" s="211">
        <f>IF(L48&lt;&gt;"",VLOOKUP($B48,Invulblad!$A$11:$S$103,7,0),"")</f>
        <v>3</v>
      </c>
      <c r="N48" s="209" t="s">
        <v>29</v>
      </c>
      <c r="O48" s="211">
        <f>IF(L48&lt;&gt;"",VLOOKUP($B48,Invulblad!$A$11:$S$103,9,0),"")</f>
        <v>0</v>
      </c>
      <c r="P48" s="212">
        <f t="shared" si="9"/>
        <v>5</v>
      </c>
    </row>
    <row r="49" spans="1:16">
      <c r="A49" s="188">
        <v>35</v>
      </c>
      <c r="B49" s="195">
        <v>25</v>
      </c>
      <c r="C49" s="332">
        <v>41810</v>
      </c>
      <c r="D49" s="333">
        <v>0.875</v>
      </c>
      <c r="E49" s="189" t="s">
        <v>134</v>
      </c>
      <c r="F49" s="189" t="s">
        <v>29</v>
      </c>
      <c r="G49" s="189" t="s">
        <v>98</v>
      </c>
      <c r="H49" s="368">
        <f>AVERAGE(Angele:Willem!H48:H48)</f>
        <v>0.79166666666666663</v>
      </c>
      <c r="I49" s="362" t="s">
        <v>29</v>
      </c>
      <c r="J49" s="368">
        <f>AVERAGE(Angele:Willem!J48:J48)</f>
        <v>1.4583333333333333</v>
      </c>
      <c r="K49" s="234">
        <f t="shared" si="4"/>
        <v>2</v>
      </c>
      <c r="L49" s="235">
        <f>VLOOKUP($B49,Invulblad!$A$11:$S$103,13,0)</f>
        <v>2</v>
      </c>
      <c r="M49" s="211">
        <f>IF(L49&lt;&gt;"",VLOOKUP($B49,Invulblad!$A$11:$S$103,7,0),"")</f>
        <v>2</v>
      </c>
      <c r="N49" s="209" t="s">
        <v>29</v>
      </c>
      <c r="O49" s="211">
        <f>IF(L49&lt;&gt;"",VLOOKUP($B49,Invulblad!$A$11:$S$103,9,0),"")</f>
        <v>5</v>
      </c>
      <c r="P49" s="212">
        <f t="shared" si="9"/>
        <v>5</v>
      </c>
    </row>
    <row r="50" spans="1:16">
      <c r="A50" s="188">
        <v>36</v>
      </c>
      <c r="B50" s="195">
        <v>26</v>
      </c>
      <c r="C50" s="332">
        <v>41811</v>
      </c>
      <c r="D50" s="333">
        <v>0</v>
      </c>
      <c r="E50" s="189" t="s">
        <v>127</v>
      </c>
      <c r="F50" s="189" t="s">
        <v>29</v>
      </c>
      <c r="G50" s="189" t="s">
        <v>434</v>
      </c>
      <c r="H50" s="368">
        <f>AVERAGE(Angele:Willem!H49:H49)</f>
        <v>0.79166666666666663</v>
      </c>
      <c r="I50" s="362" t="s">
        <v>29</v>
      </c>
      <c r="J50" s="368">
        <f>AVERAGE(Angele:Willem!J49:J49)</f>
        <v>1.5833333333333333</v>
      </c>
      <c r="K50" s="234">
        <f t="shared" si="4"/>
        <v>2</v>
      </c>
      <c r="L50" s="235">
        <f>VLOOKUP($B50,Invulblad!$A$11:$S$103,13,0)</f>
        <v>2</v>
      </c>
      <c r="M50" s="211">
        <f>IF(L50&lt;&gt;"",VLOOKUP($B50,Invulblad!$A$11:$S$103,7,0),"")</f>
        <v>1</v>
      </c>
      <c r="N50" s="209" t="s">
        <v>29</v>
      </c>
      <c r="O50" s="211">
        <f>IF(L50&lt;&gt;"",VLOOKUP($B50,Invulblad!$A$11:$S$103,9,0),"")</f>
        <v>2</v>
      </c>
      <c r="P50" s="212">
        <f t="shared" si="9"/>
        <v>5</v>
      </c>
    </row>
    <row r="51" spans="1:16">
      <c r="A51" s="188">
        <v>37</v>
      </c>
      <c r="B51" s="195">
        <v>43</v>
      </c>
      <c r="C51" s="332">
        <v>41815</v>
      </c>
      <c r="D51" s="333">
        <v>0.91666666666666663</v>
      </c>
      <c r="E51" s="189" t="s">
        <v>127</v>
      </c>
      <c r="F51" s="189" t="s">
        <v>29</v>
      </c>
      <c r="G51" s="189" t="s">
        <v>130</v>
      </c>
      <c r="H51" s="368">
        <f>AVERAGE(Angele:Willem!H50:H50)</f>
        <v>0.45833333333333331</v>
      </c>
      <c r="I51" s="362" t="s">
        <v>29</v>
      </c>
      <c r="J51" s="368">
        <f>AVERAGE(Angele:Willem!J50:J50)</f>
        <v>1.4583333333333333</v>
      </c>
      <c r="K51" s="234">
        <f t="shared" si="4"/>
        <v>2</v>
      </c>
      <c r="L51" s="235">
        <f>VLOOKUP($B51,Invulblad!$A$11:$S$103,13,0)</f>
        <v>2</v>
      </c>
      <c r="M51" s="211">
        <f>IF(L51&lt;&gt;"",VLOOKUP($B51,Invulblad!$A$11:$S$103,7,0),"")</f>
        <v>2</v>
      </c>
      <c r="N51" s="209" t="s">
        <v>29</v>
      </c>
      <c r="O51" s="211">
        <f>IF(L51&lt;&gt;"",VLOOKUP($B51,Invulblad!$A$11:$S$103,9,0),"")</f>
        <v>3</v>
      </c>
      <c r="P51" s="212">
        <f t="shared" si="9"/>
        <v>5</v>
      </c>
    </row>
    <row r="52" spans="1:16">
      <c r="A52" s="188">
        <v>38</v>
      </c>
      <c r="B52" s="195">
        <v>44</v>
      </c>
      <c r="C52" s="332">
        <v>41815</v>
      </c>
      <c r="D52" s="333">
        <v>0.91666666666666663</v>
      </c>
      <c r="E52" s="189" t="s">
        <v>435</v>
      </c>
      <c r="F52" s="189" t="s">
        <v>29</v>
      </c>
      <c r="G52" s="189" t="s">
        <v>98</v>
      </c>
      <c r="H52" s="368">
        <f>AVERAGE(Angele:Willem!H51:H51)</f>
        <v>0.66666666666666663</v>
      </c>
      <c r="I52" s="362" t="s">
        <v>29</v>
      </c>
      <c r="J52" s="368">
        <f>AVERAGE(Angele:Willem!J51:J51)</f>
        <v>1.7083333333333333</v>
      </c>
      <c r="K52" s="234">
        <f t="shared" si="4"/>
        <v>2</v>
      </c>
      <c r="L52" s="235" t="str">
        <f>VLOOKUP($B52,Invulblad!$A$11:$S$103,13,0)</f>
        <v>1</v>
      </c>
      <c r="M52" s="211">
        <f>IF(L52&lt;&gt;"",VLOOKUP($B52,Invulblad!$A$11:$S$103,7,0),"")</f>
        <v>3</v>
      </c>
      <c r="N52" s="209" t="s">
        <v>29</v>
      </c>
      <c r="O52" s="211">
        <f>IF(L52&lt;&gt;"",VLOOKUP($B52,Invulblad!$A$11:$S$103,9,0),"")</f>
        <v>1</v>
      </c>
      <c r="P52" s="212">
        <f t="shared" si="9"/>
        <v>0</v>
      </c>
    </row>
    <row r="53" spans="1:16">
      <c r="A53" s="188">
        <v>39</v>
      </c>
      <c r="B53" s="201" t="s">
        <v>35</v>
      </c>
      <c r="H53" s="201"/>
      <c r="I53" s="201"/>
      <c r="J53" s="201"/>
      <c r="K53" s="236" t="str">
        <f t="shared" si="4"/>
        <v/>
      </c>
      <c r="L53" s="235"/>
      <c r="M53" s="211" t="str">
        <f>IF(L53&lt;&gt;"",VLOOKUP($B53,Invulblad!$A$11:$S$103,7,0),"")</f>
        <v/>
      </c>
      <c r="N53" s="209"/>
      <c r="O53" s="211" t="str">
        <f>IF(L53&lt;&gt;"",VLOOKUP($B53,Invulblad!$A$11:$S$103,9,0),"")</f>
        <v/>
      </c>
    </row>
    <row r="54" spans="1:16" ht="15" customHeight="1">
      <c r="B54" s="201"/>
      <c r="C54" s="189" t="s">
        <v>420</v>
      </c>
      <c r="D54" s="189" t="s">
        <v>421</v>
      </c>
      <c r="E54" s="189" t="s">
        <v>145</v>
      </c>
      <c r="F54" s="189" t="s">
        <v>29</v>
      </c>
      <c r="G54" s="189" t="s">
        <v>145</v>
      </c>
      <c r="H54" s="458" t="s">
        <v>93</v>
      </c>
      <c r="I54" s="458"/>
      <c r="J54" s="458"/>
      <c r="K54" s="236"/>
      <c r="L54" s="235"/>
      <c r="M54" s="211"/>
      <c r="N54" s="209"/>
      <c r="O54" s="211"/>
    </row>
    <row r="55" spans="1:16">
      <c r="A55" s="188">
        <v>41</v>
      </c>
      <c r="B55" s="195">
        <v>11</v>
      </c>
      <c r="C55" s="332">
        <v>41806</v>
      </c>
      <c r="D55" s="333">
        <v>0</v>
      </c>
      <c r="E55" s="189" t="s">
        <v>436</v>
      </c>
      <c r="F55" s="189" t="s">
        <v>29</v>
      </c>
      <c r="G55" s="189" t="s">
        <v>437</v>
      </c>
      <c r="H55" s="368">
        <f>AVERAGE(Angele:Willem!H54:H54)</f>
        <v>2.25</v>
      </c>
      <c r="I55" s="362" t="s">
        <v>29</v>
      </c>
      <c r="J55" s="368">
        <f>AVERAGE(Angele:Willem!J54:J54)</f>
        <v>0.58333333333333337</v>
      </c>
      <c r="K55" s="234" t="str">
        <f t="shared" si="4"/>
        <v>1</v>
      </c>
      <c r="L55" s="235" t="str">
        <f>VLOOKUP($B55,Invulblad!$A$11:$S$103,13,0)</f>
        <v>1</v>
      </c>
      <c r="M55" s="211">
        <f>IF(L55&lt;&gt;"",VLOOKUP($B55,Invulblad!$A$11:$S$103,7,0),"")</f>
        <v>2</v>
      </c>
      <c r="N55" s="209" t="s">
        <v>29</v>
      </c>
      <c r="O55" s="211">
        <f>IF(L55&lt;&gt;"",VLOOKUP($B55,Invulblad!$A$11:$S$103,9,0),"")</f>
        <v>1</v>
      </c>
      <c r="P55" s="212">
        <f t="shared" ref="P55:P60" si="10">IF(L55&lt;&gt;"",IF(AND(M55=H55,O55=J55),10,IF(K55=L55,5,0)),"")</f>
        <v>5</v>
      </c>
    </row>
    <row r="56" spans="1:16">
      <c r="A56" s="188">
        <v>42</v>
      </c>
      <c r="B56" s="195">
        <v>12</v>
      </c>
      <c r="C56" s="332">
        <v>41806</v>
      </c>
      <c r="D56" s="333">
        <v>0.875</v>
      </c>
      <c r="E56" s="189" t="s">
        <v>438</v>
      </c>
      <c r="F56" s="189" t="s">
        <v>29</v>
      </c>
      <c r="G56" s="189" t="s">
        <v>103</v>
      </c>
      <c r="H56" s="368">
        <f>AVERAGE(Angele:Willem!H55:H55)</f>
        <v>0.375</v>
      </c>
      <c r="I56" s="362" t="s">
        <v>29</v>
      </c>
      <c r="J56" s="368">
        <f>AVERAGE(Angele:Willem!J55:J55)</f>
        <v>1.5</v>
      </c>
      <c r="K56" s="234">
        <f t="shared" si="4"/>
        <v>2</v>
      </c>
      <c r="L56" s="235">
        <f>VLOOKUP($B56,Invulblad!$A$11:$S$103,13,0)</f>
        <v>3</v>
      </c>
      <c r="M56" s="211">
        <f>IF(L56&lt;&gt;"",VLOOKUP($B56,Invulblad!$A$11:$S$103,7,0),"")</f>
        <v>0</v>
      </c>
      <c r="N56" s="209" t="s">
        <v>29</v>
      </c>
      <c r="O56" s="211">
        <f>IF(L56&lt;&gt;"",VLOOKUP($B56,Invulblad!$A$11:$S$103,9,0),"")</f>
        <v>0</v>
      </c>
      <c r="P56" s="212">
        <f t="shared" si="10"/>
        <v>0</v>
      </c>
    </row>
    <row r="57" spans="1:16">
      <c r="A57" s="188">
        <v>43</v>
      </c>
      <c r="B57" s="195">
        <v>27</v>
      </c>
      <c r="C57" s="332">
        <v>41811</v>
      </c>
      <c r="D57" s="333">
        <v>0.75</v>
      </c>
      <c r="E57" s="189" t="s">
        <v>436</v>
      </c>
      <c r="F57" s="189" t="s">
        <v>29</v>
      </c>
      <c r="G57" s="189" t="s">
        <v>439</v>
      </c>
      <c r="H57" s="368">
        <f>AVERAGE(Angele:Willem!H56:H56)</f>
        <v>2.875</v>
      </c>
      <c r="I57" s="362" t="s">
        <v>29</v>
      </c>
      <c r="J57" s="368">
        <f>AVERAGE(Angele:Willem!J56:J56)</f>
        <v>0.16666666666666666</v>
      </c>
      <c r="K57" s="234" t="str">
        <f t="shared" si="4"/>
        <v>1</v>
      </c>
      <c r="L57" s="235" t="str">
        <f>VLOOKUP($B57,Invulblad!$A$11:$S$103,13,0)</f>
        <v>1</v>
      </c>
      <c r="M57" s="211">
        <f>IF(L57&lt;&gt;"",VLOOKUP($B57,Invulblad!$A$11:$S$103,7,0),"")</f>
        <v>1</v>
      </c>
      <c r="N57" s="209" t="s">
        <v>29</v>
      </c>
      <c r="O57" s="211">
        <f>IF(L57&lt;&gt;"",VLOOKUP($B57,Invulblad!$A$11:$S$103,9,0),"")</f>
        <v>0</v>
      </c>
      <c r="P57" s="212">
        <f t="shared" si="10"/>
        <v>5</v>
      </c>
    </row>
    <row r="58" spans="1:16">
      <c r="A58" s="188">
        <v>44</v>
      </c>
      <c r="B58" s="195">
        <v>28</v>
      </c>
      <c r="C58" s="332">
        <v>41812</v>
      </c>
      <c r="D58" s="333">
        <v>0</v>
      </c>
      <c r="E58" s="189" t="s">
        <v>234</v>
      </c>
      <c r="F58" s="189" t="s">
        <v>29</v>
      </c>
      <c r="G58" s="189" t="s">
        <v>437</v>
      </c>
      <c r="H58" s="368">
        <f>AVERAGE(Angele:Willem!H57:H57)</f>
        <v>0.91666666666666663</v>
      </c>
      <c r="I58" s="362" t="s">
        <v>29</v>
      </c>
      <c r="J58" s="368">
        <f>AVERAGE(Angele:Willem!J57:J57)</f>
        <v>1.375</v>
      </c>
      <c r="K58" s="234">
        <f t="shared" si="4"/>
        <v>2</v>
      </c>
      <c r="L58" s="235" t="str">
        <f>VLOOKUP($B58,Invulblad!$A$11:$S$103,13,0)</f>
        <v>1</v>
      </c>
      <c r="M58" s="211">
        <f>IF(L58&lt;&gt;"",VLOOKUP($B58,Invulblad!$A$11:$S$103,7,0),"")</f>
        <v>1</v>
      </c>
      <c r="N58" s="209" t="s">
        <v>29</v>
      </c>
      <c r="O58" s="211">
        <f>IF(L58&lt;&gt;"",VLOOKUP($B58,Invulblad!$A$11:$S$103,9,0),"")</f>
        <v>0</v>
      </c>
      <c r="P58" s="212">
        <f t="shared" si="10"/>
        <v>0</v>
      </c>
    </row>
    <row r="59" spans="1:16">
      <c r="A59" s="188">
        <v>45</v>
      </c>
      <c r="B59" s="195">
        <v>41</v>
      </c>
      <c r="C59" s="332">
        <v>41815</v>
      </c>
      <c r="D59" s="333">
        <v>0.75</v>
      </c>
      <c r="E59" s="189" t="s">
        <v>234</v>
      </c>
      <c r="F59" s="189" t="s">
        <v>29</v>
      </c>
      <c r="G59" s="189" t="s">
        <v>440</v>
      </c>
      <c r="H59" s="368">
        <f>AVERAGE(Angele:Willem!H58:H58)</f>
        <v>0.58333333333333337</v>
      </c>
      <c r="I59" s="362" t="s">
        <v>29</v>
      </c>
      <c r="J59" s="368">
        <f>AVERAGE(Angele:Willem!J58:J58)</f>
        <v>2.125</v>
      </c>
      <c r="K59" s="234">
        <f t="shared" si="4"/>
        <v>2</v>
      </c>
      <c r="L59" s="235">
        <f>VLOOKUP($B59,Invulblad!$A$11:$S$103,13,0)</f>
        <v>2</v>
      </c>
      <c r="M59" s="211">
        <f>IF(L59&lt;&gt;"",VLOOKUP($B59,Invulblad!$A$11:$S$103,7,0),"")</f>
        <v>0</v>
      </c>
      <c r="N59" s="209" t="s">
        <v>29</v>
      </c>
      <c r="O59" s="211">
        <f>IF(L59&lt;&gt;"",VLOOKUP($B59,Invulblad!$A$11:$S$103,9,0),"")</f>
        <v>3</v>
      </c>
      <c r="P59" s="212">
        <f t="shared" si="10"/>
        <v>5</v>
      </c>
    </row>
    <row r="60" spans="1:16">
      <c r="A60" s="188">
        <v>46</v>
      </c>
      <c r="B60" s="195">
        <v>42</v>
      </c>
      <c r="C60" s="332">
        <v>41815</v>
      </c>
      <c r="D60" s="333">
        <v>0.75</v>
      </c>
      <c r="E60" s="189" t="s">
        <v>441</v>
      </c>
      <c r="F60" s="189" t="s">
        <v>29</v>
      </c>
      <c r="G60" s="189" t="s">
        <v>439</v>
      </c>
      <c r="H60" s="368">
        <f>AVERAGE(Angele:Willem!H59:H59)</f>
        <v>1.4583333333333333</v>
      </c>
      <c r="I60" s="362" t="s">
        <v>29</v>
      </c>
      <c r="J60" s="368">
        <f>AVERAGE(Angele:Willem!J59:J59)</f>
        <v>0.45833333333333331</v>
      </c>
      <c r="K60" s="234" t="str">
        <f t="shared" si="4"/>
        <v>1</v>
      </c>
      <c r="L60" s="235">
        <f>VLOOKUP($B60,Invulblad!$A$11:$S$103,13,0)</f>
        <v>3</v>
      </c>
      <c r="M60" s="211">
        <f>IF(L60&lt;&gt;"",VLOOKUP($B60,Invulblad!$A$11:$S$103,7,0),"")</f>
        <v>0</v>
      </c>
      <c r="N60" s="209" t="s">
        <v>29</v>
      </c>
      <c r="O60" s="211">
        <f>IF(L60&lt;&gt;"",VLOOKUP($B60,Invulblad!$A$11:$S$103,9,0),"")</f>
        <v>0</v>
      </c>
      <c r="P60" s="212">
        <f t="shared" si="10"/>
        <v>0</v>
      </c>
    </row>
    <row r="61" spans="1:16">
      <c r="A61" s="188">
        <v>47</v>
      </c>
      <c r="B61" s="201" t="s">
        <v>36</v>
      </c>
      <c r="H61" s="201"/>
      <c r="I61" s="201"/>
      <c r="J61" s="201"/>
      <c r="K61" s="236" t="str">
        <f t="shared" si="4"/>
        <v/>
      </c>
      <c r="L61" s="235"/>
      <c r="M61" s="211" t="str">
        <f>IF(L61&lt;&gt;"",VLOOKUP($B61,Invulblad!$A$11:$S$103,7,0),"")</f>
        <v/>
      </c>
      <c r="N61" s="209"/>
      <c r="O61" s="211" t="str">
        <f>IF(L61&lt;&gt;"",VLOOKUP($B61,Invulblad!$A$11:$S$103,9,0),"")</f>
        <v/>
      </c>
    </row>
    <row r="62" spans="1:16" ht="15" customHeight="1">
      <c r="B62" s="201"/>
      <c r="C62" s="189" t="s">
        <v>420</v>
      </c>
      <c r="D62" s="189" t="s">
        <v>421</v>
      </c>
      <c r="E62" s="189" t="s">
        <v>145</v>
      </c>
      <c r="F62" s="189" t="s">
        <v>29</v>
      </c>
      <c r="G62" s="189" t="s">
        <v>145</v>
      </c>
      <c r="H62" s="458" t="s">
        <v>93</v>
      </c>
      <c r="I62" s="458"/>
      <c r="J62" s="458"/>
      <c r="K62" s="236"/>
      <c r="L62" s="235"/>
      <c r="M62" s="211"/>
      <c r="N62" s="209"/>
      <c r="O62" s="211"/>
    </row>
    <row r="63" spans="1:16">
      <c r="A63" s="188">
        <v>49</v>
      </c>
      <c r="B63" s="195">
        <v>13</v>
      </c>
      <c r="C63" s="332">
        <v>41806</v>
      </c>
      <c r="D63" s="333">
        <v>0.75</v>
      </c>
      <c r="E63" s="189" t="s">
        <v>113</v>
      </c>
      <c r="F63" s="189" t="s">
        <v>29</v>
      </c>
      <c r="G63" s="189" t="s">
        <v>124</v>
      </c>
      <c r="H63" s="368">
        <f>AVERAGE(Angele:Willem!H62:H62)</f>
        <v>1.1666666666666667</v>
      </c>
      <c r="I63" s="362" t="s">
        <v>29</v>
      </c>
      <c r="J63" s="368">
        <f>AVERAGE(Angele:Willem!J62:J62)</f>
        <v>0.83333333333333337</v>
      </c>
      <c r="K63" s="234" t="str">
        <f t="shared" si="4"/>
        <v>1</v>
      </c>
      <c r="L63" s="235" t="str">
        <f>VLOOKUP($B63,Invulblad!$A$11:$S$103,13,0)</f>
        <v>1</v>
      </c>
      <c r="M63" s="211">
        <f>IF(L63&lt;&gt;"",VLOOKUP($B63,Invulblad!$A$11:$S$103,7,0),"")</f>
        <v>4</v>
      </c>
      <c r="N63" s="209" t="s">
        <v>29</v>
      </c>
      <c r="O63" s="211">
        <f>IF(L63&lt;&gt;"",VLOOKUP($B63,Invulblad!$A$11:$S$103,9,0),"")</f>
        <v>0</v>
      </c>
      <c r="P63" s="212">
        <f t="shared" ref="P63:P68" si="11">IF(L63&lt;&gt;"",IF(AND(M63=H63,O63=J63),10,IF(K63=L63,5,0)),"")</f>
        <v>5</v>
      </c>
    </row>
    <row r="64" spans="1:16">
      <c r="A64" s="188">
        <v>50</v>
      </c>
      <c r="B64" s="195">
        <v>14</v>
      </c>
      <c r="C64" s="332">
        <v>41807</v>
      </c>
      <c r="D64" s="333">
        <v>0</v>
      </c>
      <c r="E64" s="189" t="s">
        <v>115</v>
      </c>
      <c r="F64" s="189" t="s">
        <v>29</v>
      </c>
      <c r="G64" s="189" t="s">
        <v>442</v>
      </c>
      <c r="H64" s="368">
        <f>AVERAGE(Angele:Willem!H63:H63)</f>
        <v>1.1666666666666667</v>
      </c>
      <c r="I64" s="362" t="s">
        <v>29</v>
      </c>
      <c r="J64" s="368">
        <f>AVERAGE(Angele:Willem!J63:J63)</f>
        <v>1.125</v>
      </c>
      <c r="K64" s="234" t="str">
        <f t="shared" si="4"/>
        <v>1</v>
      </c>
      <c r="L64" s="235">
        <f>VLOOKUP($B64,Invulblad!$A$11:$S$103,13,0)</f>
        <v>2</v>
      </c>
      <c r="M64" s="211">
        <f>IF(L64&lt;&gt;"",VLOOKUP($B64,Invulblad!$A$11:$S$103,7,0),"")</f>
        <v>1</v>
      </c>
      <c r="N64" s="209" t="s">
        <v>29</v>
      </c>
      <c r="O64" s="211">
        <f>IF(L64&lt;&gt;"",VLOOKUP($B64,Invulblad!$A$11:$S$103,9,0),"")</f>
        <v>2</v>
      </c>
      <c r="P64" s="212">
        <f t="shared" si="11"/>
        <v>0</v>
      </c>
    </row>
    <row r="65" spans="1:16">
      <c r="A65" s="188">
        <v>51</v>
      </c>
      <c r="B65" s="195">
        <v>29</v>
      </c>
      <c r="C65" s="332">
        <v>41811</v>
      </c>
      <c r="D65" s="333">
        <v>0.875</v>
      </c>
      <c r="E65" s="189" t="s">
        <v>113</v>
      </c>
      <c r="F65" s="189" t="s">
        <v>29</v>
      </c>
      <c r="G65" s="189" t="s">
        <v>114</v>
      </c>
      <c r="H65" s="368">
        <f>AVERAGE(Angele:Willem!H64:H64)</f>
        <v>2.0833333333333335</v>
      </c>
      <c r="I65" s="362" t="s">
        <v>29</v>
      </c>
      <c r="J65" s="368">
        <f>AVERAGE(Angele:Willem!J64:J64)</f>
        <v>0.33333333333333331</v>
      </c>
      <c r="K65" s="234" t="str">
        <f t="shared" si="4"/>
        <v>1</v>
      </c>
      <c r="L65" s="235">
        <f>VLOOKUP($B65,Invulblad!$A$11:$S$103,13,0)</f>
        <v>3</v>
      </c>
      <c r="M65" s="211">
        <f>IF(L65&lt;&gt;"",VLOOKUP($B65,Invulblad!$A$11:$S$103,7,0),"")</f>
        <v>2</v>
      </c>
      <c r="N65" s="209" t="s">
        <v>29</v>
      </c>
      <c r="O65" s="211">
        <f>IF(L65&lt;&gt;"",VLOOKUP($B65,Invulblad!$A$11:$S$103,9,0),"")</f>
        <v>2</v>
      </c>
      <c r="P65" s="212">
        <f t="shared" si="11"/>
        <v>0</v>
      </c>
    </row>
    <row r="66" spans="1:16">
      <c r="A66" s="188">
        <v>52</v>
      </c>
      <c r="B66" s="195">
        <v>30</v>
      </c>
      <c r="C66" s="332">
        <v>41813</v>
      </c>
      <c r="D66" s="333">
        <v>0</v>
      </c>
      <c r="E66" s="189" t="s">
        <v>443</v>
      </c>
      <c r="F66" s="189" t="s">
        <v>29</v>
      </c>
      <c r="G66" s="189" t="s">
        <v>124</v>
      </c>
      <c r="H66" s="368">
        <f>AVERAGE(Angele:Willem!H65:H65)</f>
        <v>0.75</v>
      </c>
      <c r="I66" s="362" t="s">
        <v>29</v>
      </c>
      <c r="J66" s="368">
        <f>AVERAGE(Angele:Willem!J65:J65)</f>
        <v>1.75</v>
      </c>
      <c r="K66" s="234">
        <f t="shared" si="4"/>
        <v>2</v>
      </c>
      <c r="L66" s="235">
        <f>VLOOKUP($B66,Invulblad!$A$11:$S$103,13,0)</f>
        <v>3</v>
      </c>
      <c r="M66" s="211">
        <f>IF(L66&lt;&gt;"",VLOOKUP($B66,Invulblad!$A$11:$S$103,7,0),"")</f>
        <v>2</v>
      </c>
      <c r="N66" s="209" t="s">
        <v>29</v>
      </c>
      <c r="O66" s="211">
        <f>IF(L66&lt;&gt;"",VLOOKUP($B66,Invulblad!$A$11:$S$103,9,0),"")</f>
        <v>2</v>
      </c>
      <c r="P66" s="212">
        <f t="shared" si="11"/>
        <v>0</v>
      </c>
    </row>
    <row r="67" spans="1:16">
      <c r="A67" s="188">
        <v>53</v>
      </c>
      <c r="B67" s="195">
        <v>45</v>
      </c>
      <c r="C67" s="332">
        <v>41816</v>
      </c>
      <c r="D67" s="333">
        <v>0.75</v>
      </c>
      <c r="E67" s="189" t="s">
        <v>443</v>
      </c>
      <c r="F67" s="189" t="s">
        <v>29</v>
      </c>
      <c r="G67" s="189" t="s">
        <v>116</v>
      </c>
      <c r="H67" s="368">
        <f>AVERAGE(Angele:Willem!H66:H66)</f>
        <v>0.66666666666666663</v>
      </c>
      <c r="I67" s="362" t="s">
        <v>29</v>
      </c>
      <c r="J67" s="368">
        <f>AVERAGE(Angele:Willem!J66:J66)</f>
        <v>2.0833333333333335</v>
      </c>
      <c r="K67" s="234">
        <f t="shared" si="4"/>
        <v>2</v>
      </c>
      <c r="L67" s="235">
        <f>VLOOKUP($B67,Invulblad!$A$11:$S$103,13,0)</f>
        <v>2</v>
      </c>
      <c r="M67" s="211">
        <f>IF(L67&lt;&gt;"",VLOOKUP($B67,Invulblad!$A$11:$S$103,7,0),"")</f>
        <v>0</v>
      </c>
      <c r="N67" s="209" t="s">
        <v>29</v>
      </c>
      <c r="O67" s="211">
        <f>IF(L67&lt;&gt;"",VLOOKUP($B67,Invulblad!$A$11:$S$103,9,0),"")</f>
        <v>1</v>
      </c>
      <c r="P67" s="212">
        <f t="shared" si="11"/>
        <v>5</v>
      </c>
    </row>
    <row r="68" spans="1:16">
      <c r="A68" s="188">
        <v>54</v>
      </c>
      <c r="B68" s="195">
        <v>46</v>
      </c>
      <c r="C68" s="332">
        <v>41816</v>
      </c>
      <c r="D68" s="333">
        <v>0.75</v>
      </c>
      <c r="E68" s="189" t="s">
        <v>126</v>
      </c>
      <c r="F68" s="189" t="s">
        <v>29</v>
      </c>
      <c r="G68" s="189" t="s">
        <v>114</v>
      </c>
      <c r="H68" s="368">
        <f>AVERAGE(Angele:Willem!H67:H67)</f>
        <v>1.5416666666666667</v>
      </c>
      <c r="I68" s="362" t="s">
        <v>29</v>
      </c>
      <c r="J68" s="368">
        <f>AVERAGE(Angele:Willem!J67:J67)</f>
        <v>0.625</v>
      </c>
      <c r="K68" s="234" t="str">
        <f t="shared" si="4"/>
        <v>1</v>
      </c>
      <c r="L68" s="235" t="str">
        <f>VLOOKUP($B68,Invulblad!$A$11:$S$103,13,0)</f>
        <v>1</v>
      </c>
      <c r="M68" s="211">
        <f>IF(L68&lt;&gt;"",VLOOKUP($B68,Invulblad!$A$11:$S$103,7,0),"")</f>
        <v>2</v>
      </c>
      <c r="N68" s="209" t="s">
        <v>29</v>
      </c>
      <c r="O68" s="211">
        <f>IF(L68&lt;&gt;"",VLOOKUP($B68,Invulblad!$A$11:$S$103,9,0),"")</f>
        <v>1</v>
      </c>
      <c r="P68" s="212">
        <f t="shared" si="11"/>
        <v>5</v>
      </c>
    </row>
    <row r="69" spans="1:16">
      <c r="A69" s="188">
        <v>55</v>
      </c>
      <c r="B69" s="201" t="s">
        <v>37</v>
      </c>
      <c r="H69" s="201"/>
      <c r="I69" s="201"/>
      <c r="J69" s="201"/>
      <c r="K69" s="236" t="str">
        <f t="shared" si="4"/>
        <v/>
      </c>
      <c r="L69" s="235"/>
      <c r="M69" s="211" t="str">
        <f>IF(L69&lt;&gt;"",VLOOKUP($B69,Invulblad!$A$11:$S$103,7,0),"")</f>
        <v/>
      </c>
      <c r="N69" s="209"/>
      <c r="O69" s="211" t="str">
        <f>IF(L69&lt;&gt;"",VLOOKUP($B69,Invulblad!$A$11:$S$103,9,0),"")</f>
        <v/>
      </c>
    </row>
    <row r="70" spans="1:16" ht="15" customHeight="1">
      <c r="B70" s="201"/>
      <c r="C70" s="189" t="s">
        <v>420</v>
      </c>
      <c r="D70" s="189" t="s">
        <v>421</v>
      </c>
      <c r="E70" s="189" t="s">
        <v>145</v>
      </c>
      <c r="F70" s="189" t="s">
        <v>29</v>
      </c>
      <c r="G70" s="189" t="s">
        <v>145</v>
      </c>
      <c r="H70" s="458" t="s">
        <v>93</v>
      </c>
      <c r="I70" s="458"/>
      <c r="J70" s="458"/>
      <c r="K70" s="236"/>
      <c r="L70" s="235"/>
      <c r="M70" s="211"/>
      <c r="N70" s="209"/>
      <c r="O70" s="211"/>
    </row>
    <row r="71" spans="1:16">
      <c r="A71" s="188">
        <v>57</v>
      </c>
      <c r="B71" s="195">
        <v>15</v>
      </c>
      <c r="C71" s="332">
        <v>41807</v>
      </c>
      <c r="D71" s="333">
        <v>0.75</v>
      </c>
      <c r="E71" s="189" t="s">
        <v>444</v>
      </c>
      <c r="F71" s="189" t="s">
        <v>29</v>
      </c>
      <c r="G71" s="189" t="s">
        <v>111</v>
      </c>
      <c r="H71" s="368">
        <f>AVERAGE(Angele:Willem!H70:H70)</f>
        <v>1.75</v>
      </c>
      <c r="I71" s="362" t="s">
        <v>29</v>
      </c>
      <c r="J71" s="368">
        <f>AVERAGE(Angele:Willem!J70:J70)</f>
        <v>0.29166666666666669</v>
      </c>
      <c r="K71" s="234" t="str">
        <f t="shared" si="4"/>
        <v>1</v>
      </c>
      <c r="L71" s="235" t="str">
        <f>VLOOKUP($B71,Invulblad!$A$11:$S$103,13,0)</f>
        <v>1</v>
      </c>
      <c r="M71" s="211">
        <f>IF(L71&lt;&gt;"",VLOOKUP($B71,Invulblad!$A$11:$S$103,7,0),"")</f>
        <v>2</v>
      </c>
      <c r="N71" s="209" t="s">
        <v>29</v>
      </c>
      <c r="O71" s="211">
        <f>IF(L71&lt;&gt;"",VLOOKUP($B71,Invulblad!$A$11:$S$103,9,0),"")</f>
        <v>1</v>
      </c>
      <c r="P71" s="212">
        <f t="shared" ref="P71:P76" si="12">IF(L71&lt;&gt;"",IF(AND(M71=H71,O71=J71),10,IF(K71=L71,5,0)),"")</f>
        <v>5</v>
      </c>
    </row>
    <row r="72" spans="1:16">
      <c r="A72" s="188">
        <v>58</v>
      </c>
      <c r="B72" s="195">
        <v>16</v>
      </c>
      <c r="C72" s="332">
        <v>41808</v>
      </c>
      <c r="D72" s="333">
        <v>0</v>
      </c>
      <c r="E72" s="189" t="s">
        <v>445</v>
      </c>
      <c r="F72" s="189" t="s">
        <v>29</v>
      </c>
      <c r="G72" s="189" t="s">
        <v>107</v>
      </c>
      <c r="H72" s="368">
        <f>AVERAGE(Angele:Willem!H71:H71)</f>
        <v>1.3333333333333333</v>
      </c>
      <c r="I72" s="362" t="s">
        <v>29</v>
      </c>
      <c r="J72" s="368">
        <f>AVERAGE(Angele:Willem!J71:J71)</f>
        <v>0.45833333333333331</v>
      </c>
      <c r="K72" s="234" t="str">
        <f t="shared" si="4"/>
        <v>1</v>
      </c>
      <c r="L72" s="235">
        <f>VLOOKUP($B72,Invulblad!$A$11:$S$103,13,0)</f>
        <v>3</v>
      </c>
      <c r="M72" s="211">
        <f>IF(L72&lt;&gt;"",VLOOKUP($B72,Invulblad!$A$11:$S$103,7,0),"")</f>
        <v>1</v>
      </c>
      <c r="N72" s="209" t="s">
        <v>29</v>
      </c>
      <c r="O72" s="211">
        <f>IF(L72&lt;&gt;"",VLOOKUP($B72,Invulblad!$A$11:$S$103,9,0),"")</f>
        <v>1</v>
      </c>
      <c r="P72" s="212">
        <f t="shared" si="12"/>
        <v>0</v>
      </c>
    </row>
    <row r="73" spans="1:16">
      <c r="A73" s="188">
        <v>59</v>
      </c>
      <c r="B73" s="195">
        <v>31</v>
      </c>
      <c r="C73" s="332">
        <v>41812</v>
      </c>
      <c r="D73" s="333">
        <v>0.75</v>
      </c>
      <c r="E73" s="189" t="s">
        <v>444</v>
      </c>
      <c r="F73" s="189" t="s">
        <v>29</v>
      </c>
      <c r="G73" s="189" t="s">
        <v>446</v>
      </c>
      <c r="H73" s="368">
        <f>AVERAGE(Angele:Willem!H72:H72)</f>
        <v>1.125</v>
      </c>
      <c r="I73" s="362" t="s">
        <v>29</v>
      </c>
      <c r="J73" s="368">
        <f>AVERAGE(Angele:Willem!J72:J72)</f>
        <v>0.875</v>
      </c>
      <c r="K73" s="234" t="str">
        <f t="shared" si="4"/>
        <v>1</v>
      </c>
      <c r="L73" s="235" t="str">
        <f>VLOOKUP($B73,Invulblad!$A$11:$S$103,13,0)</f>
        <v>1</v>
      </c>
      <c r="M73" s="211">
        <f>IF(L73&lt;&gt;"",VLOOKUP($B73,Invulblad!$A$11:$S$103,7,0),"")</f>
        <v>1</v>
      </c>
      <c r="N73" s="209" t="s">
        <v>29</v>
      </c>
      <c r="O73" s="211">
        <f>IF(L73&lt;&gt;"",VLOOKUP($B73,Invulblad!$A$11:$S$103,9,0),"")</f>
        <v>0</v>
      </c>
      <c r="P73" s="212">
        <f t="shared" si="12"/>
        <v>5</v>
      </c>
    </row>
    <row r="74" spans="1:16">
      <c r="A74" s="188">
        <v>60</v>
      </c>
      <c r="B74" s="195">
        <v>32</v>
      </c>
      <c r="C74" s="332">
        <v>41812</v>
      </c>
      <c r="D74" s="333">
        <v>0.875</v>
      </c>
      <c r="E74" s="189" t="s">
        <v>232</v>
      </c>
      <c r="F74" s="189" t="s">
        <v>29</v>
      </c>
      <c r="G74" s="189" t="s">
        <v>111</v>
      </c>
      <c r="H74" s="368">
        <f>AVERAGE(Angele:Willem!H73:H73)</f>
        <v>1.0416666666666667</v>
      </c>
      <c r="I74" s="362" t="s">
        <v>29</v>
      </c>
      <c r="J74" s="368">
        <f>AVERAGE(Angele:Willem!J73:J73)</f>
        <v>0.625</v>
      </c>
      <c r="K74" s="234" t="str">
        <f t="shared" si="4"/>
        <v>1</v>
      </c>
      <c r="L74" s="235">
        <f>VLOOKUP($B74,Invulblad!$A$11:$S$103,13,0)</f>
        <v>2</v>
      </c>
      <c r="M74" s="211">
        <f>IF(L74&lt;&gt;"",VLOOKUP($B74,Invulblad!$A$11:$S$103,7,0),"")</f>
        <v>2</v>
      </c>
      <c r="N74" s="209" t="s">
        <v>29</v>
      </c>
      <c r="O74" s="211">
        <f>IF(L74&lt;&gt;"",VLOOKUP($B74,Invulblad!$A$11:$S$103,9,0),"")</f>
        <v>4</v>
      </c>
      <c r="P74" s="212">
        <f t="shared" si="12"/>
        <v>0</v>
      </c>
    </row>
    <row r="75" spans="1:16">
      <c r="A75" s="188">
        <v>61</v>
      </c>
      <c r="B75" s="195">
        <v>47</v>
      </c>
      <c r="C75" s="332">
        <v>41816</v>
      </c>
      <c r="D75" s="333">
        <v>0.91666666666666663</v>
      </c>
      <c r="E75" s="189" t="s">
        <v>232</v>
      </c>
      <c r="F75" s="189" t="s">
        <v>29</v>
      </c>
      <c r="G75" s="189" t="s">
        <v>447</v>
      </c>
      <c r="H75" s="368">
        <f>AVERAGE(Angele:Willem!H74:H74)</f>
        <v>0.58333333333333337</v>
      </c>
      <c r="I75" s="362" t="s">
        <v>29</v>
      </c>
      <c r="J75" s="368">
        <f>AVERAGE(Angele:Willem!J74:J74)</f>
        <v>1.5833333333333333</v>
      </c>
      <c r="K75" s="234">
        <f t="shared" si="4"/>
        <v>2</v>
      </c>
      <c r="L75" s="235">
        <f>VLOOKUP($B75,Invulblad!$A$11:$S$103,13,0)</f>
        <v>2</v>
      </c>
      <c r="M75" s="211">
        <f>IF(L75&lt;&gt;"",VLOOKUP($B75,Invulblad!$A$11:$S$103,7,0),"")</f>
        <v>0</v>
      </c>
      <c r="N75" s="209" t="s">
        <v>29</v>
      </c>
      <c r="O75" s="211">
        <f>IF(L75&lt;&gt;"",VLOOKUP($B75,Invulblad!$A$11:$S$103,9,0),"")</f>
        <v>1</v>
      </c>
      <c r="P75" s="212">
        <f t="shared" si="12"/>
        <v>5</v>
      </c>
    </row>
    <row r="76" spans="1:16">
      <c r="A76" s="188">
        <v>62</v>
      </c>
      <c r="B76" s="195">
        <v>48</v>
      </c>
      <c r="C76" s="332">
        <v>41816</v>
      </c>
      <c r="D76" s="333">
        <v>0.91666666666666663</v>
      </c>
      <c r="E76" s="189" t="s">
        <v>236</v>
      </c>
      <c r="F76" s="189" t="s">
        <v>29</v>
      </c>
      <c r="G76" s="189" t="s">
        <v>446</v>
      </c>
      <c r="H76" s="368">
        <f>AVERAGE(Angele:Willem!H75:H75)</f>
        <v>0.375</v>
      </c>
      <c r="I76" s="362" t="s">
        <v>29</v>
      </c>
      <c r="J76" s="368">
        <f>AVERAGE(Angele:Willem!J75:J75)</f>
        <v>1.5416666666666667</v>
      </c>
      <c r="K76" s="234">
        <f t="shared" si="4"/>
        <v>2</v>
      </c>
      <c r="L76" s="235">
        <f>VLOOKUP($B76,Invulblad!$A$11:$S$103,13,0)</f>
        <v>3</v>
      </c>
      <c r="M76" s="211">
        <f>IF(L76&lt;&gt;"",VLOOKUP($B76,Invulblad!$A$11:$S$103,7,0),"")</f>
        <v>1</v>
      </c>
      <c r="N76" s="209" t="s">
        <v>29</v>
      </c>
      <c r="O76" s="211">
        <f>IF(L76&lt;&gt;"",VLOOKUP($B76,Invulblad!$A$11:$S$103,9,0),"")</f>
        <v>1</v>
      </c>
      <c r="P76" s="212">
        <f t="shared" si="12"/>
        <v>0</v>
      </c>
    </row>
    <row r="77" spans="1:16">
      <c r="A77" s="188">
        <v>63</v>
      </c>
      <c r="B77" s="201" t="s">
        <v>86</v>
      </c>
      <c r="H77" s="201"/>
      <c r="I77" s="201"/>
      <c r="J77" s="201"/>
      <c r="K77" s="236" t="str">
        <f t="shared" si="4"/>
        <v/>
      </c>
      <c r="L77" s="235"/>
      <c r="M77" s="211" t="str">
        <f>IF(L77&lt;&gt;"",VLOOKUP($B77,Invulblad!$A$11:$S$103,7,0),"")</f>
        <v/>
      </c>
      <c r="N77" s="209"/>
      <c r="O77" s="211" t="str">
        <f>IF(L77&lt;&gt;"",VLOOKUP($B77,Invulblad!$A$11:$S$103,9,0),"")</f>
        <v/>
      </c>
    </row>
    <row r="78" spans="1:16" ht="15" customHeight="1">
      <c r="B78" s="201"/>
      <c r="C78" s="189" t="s">
        <v>420</v>
      </c>
      <c r="D78" s="189" t="s">
        <v>421</v>
      </c>
      <c r="E78" s="189" t="s">
        <v>145</v>
      </c>
      <c r="F78" s="189" t="s">
        <v>29</v>
      </c>
      <c r="G78" s="189" t="s">
        <v>145</v>
      </c>
      <c r="H78" s="458" t="s">
        <v>93</v>
      </c>
      <c r="I78" s="458"/>
      <c r="J78" s="458"/>
      <c r="K78" s="236"/>
      <c r="L78" s="235"/>
      <c r="M78" s="211"/>
      <c r="N78" s="209"/>
      <c r="O78" s="211"/>
    </row>
    <row r="79" spans="1:16">
      <c r="A79" s="188">
        <v>65</v>
      </c>
      <c r="B79" s="195">
        <v>49</v>
      </c>
      <c r="C79" s="332">
        <v>41818</v>
      </c>
      <c r="D79" s="333">
        <v>0.75</v>
      </c>
      <c r="E79" s="370" t="s">
        <v>65</v>
      </c>
      <c r="F79" s="369" t="s">
        <v>29</v>
      </c>
      <c r="G79" s="370" t="s">
        <v>68</v>
      </c>
      <c r="H79" s="368">
        <f>AVERAGE(Angele:Willem!H78:H78)</f>
        <v>1.7916666666666667</v>
      </c>
      <c r="I79" s="362" t="s">
        <v>29</v>
      </c>
      <c r="J79" s="368">
        <f>AVERAGE(Angele:Willem!J78:J78)</f>
        <v>1.0833333333333333</v>
      </c>
      <c r="K79" s="234" t="str">
        <f t="shared" ref="K79:K102" si="13">IF(AND(H79="",J79=""),"",IF(OR(H79="",J79=""),"FOUT",IF(H79&gt;J79,"1",IF(H79=J79,3,2))))</f>
        <v>1</v>
      </c>
      <c r="L79" s="235">
        <f>VLOOKUP($B79,Invulblad!$A$11:$S$103,13,0)</f>
        <v>3</v>
      </c>
      <c r="M79" s="211">
        <f>IF(L79&lt;&gt;"",VLOOKUP($B79,Invulblad!$A$11:$S$103,7,0),"")</f>
        <v>1</v>
      </c>
      <c r="N79" s="209" t="s">
        <v>29</v>
      </c>
      <c r="O79" s="211">
        <f>IF(L79&lt;&gt;"",VLOOKUP($B79,Invulblad!$A$11:$S$103,9,0),"")</f>
        <v>1</v>
      </c>
      <c r="P79" s="212">
        <f t="shared" ref="P79:P86" si="14">IF(L79&lt;&gt;"",IF(AND(M79=H79,O79=J79),10,IF(K79=L79,5,0)),"")</f>
        <v>0</v>
      </c>
    </row>
    <row r="80" spans="1:16">
      <c r="A80" s="188">
        <v>66</v>
      </c>
      <c r="B80" s="195">
        <v>50</v>
      </c>
      <c r="C80" s="332">
        <v>41818</v>
      </c>
      <c r="D80" s="333">
        <v>0.91666666666666663</v>
      </c>
      <c r="E80" s="371" t="s">
        <v>69</v>
      </c>
      <c r="F80" s="369" t="s">
        <v>29</v>
      </c>
      <c r="G80" s="371" t="s">
        <v>72</v>
      </c>
      <c r="H80" s="368">
        <f>AVERAGE(Angele:Willem!H79:H79)</f>
        <v>0.83333333333333337</v>
      </c>
      <c r="I80" s="362" t="s">
        <v>29</v>
      </c>
      <c r="J80" s="368">
        <f>AVERAGE(Angele:Willem!J79:J79)</f>
        <v>0.875</v>
      </c>
      <c r="K80" s="234">
        <f t="shared" si="13"/>
        <v>2</v>
      </c>
      <c r="L80" s="235" t="str">
        <f>VLOOKUP($B80,Invulblad!$A$11:$S$103,13,0)</f>
        <v>1</v>
      </c>
      <c r="M80" s="211">
        <f>IF(L80&lt;&gt;"",VLOOKUP($B80,Invulblad!$A$11:$S$103,7,0),"")</f>
        <v>2</v>
      </c>
      <c r="N80" s="209" t="s">
        <v>29</v>
      </c>
      <c r="O80" s="211">
        <f>IF(L80&lt;&gt;"",VLOOKUP($B80,Invulblad!$A$11:$S$103,9,0),"")</f>
        <v>0</v>
      </c>
      <c r="P80" s="212">
        <f t="shared" si="14"/>
        <v>0</v>
      </c>
    </row>
    <row r="81" spans="1:19">
      <c r="A81" s="188">
        <v>67</v>
      </c>
      <c r="B81" s="195">
        <v>51</v>
      </c>
      <c r="C81" s="332">
        <v>41819</v>
      </c>
      <c r="D81" s="333">
        <v>0.75</v>
      </c>
      <c r="E81" s="370" t="s">
        <v>67</v>
      </c>
      <c r="F81" s="369" t="s">
        <v>29</v>
      </c>
      <c r="G81" s="370" t="s">
        <v>66</v>
      </c>
      <c r="H81" s="368">
        <f>AVERAGE(Angele:Willem!H80:H80)</f>
        <v>1.625</v>
      </c>
      <c r="I81" s="362" t="s">
        <v>29</v>
      </c>
      <c r="J81" s="368">
        <f>AVERAGE(Angele:Willem!J80:J80)</f>
        <v>0.58333333333333337</v>
      </c>
      <c r="K81" s="234" t="str">
        <f t="shared" si="13"/>
        <v>1</v>
      </c>
      <c r="L81" s="235" t="str">
        <f>VLOOKUP($B81,Invulblad!$A$11:$S$103,13,0)</f>
        <v>1</v>
      </c>
      <c r="M81" s="211">
        <f>IF(L81&lt;&gt;"",VLOOKUP($B81,Invulblad!$A$11:$S$103,7,0),"")</f>
        <v>2</v>
      </c>
      <c r="N81" s="209" t="s">
        <v>29</v>
      </c>
      <c r="O81" s="211">
        <f>IF(L81&lt;&gt;"",VLOOKUP($B81,Invulblad!$A$11:$S$103,9,0),"")</f>
        <v>1</v>
      </c>
      <c r="P81" s="212">
        <f t="shared" si="14"/>
        <v>5</v>
      </c>
    </row>
    <row r="82" spans="1:19">
      <c r="A82" s="188">
        <v>68</v>
      </c>
      <c r="B82" s="195">
        <v>52</v>
      </c>
      <c r="C82" s="332">
        <v>41819</v>
      </c>
      <c r="D82" s="333">
        <v>0.91666666666666663</v>
      </c>
      <c r="E82" s="371" t="s">
        <v>71</v>
      </c>
      <c r="F82" s="369" t="s">
        <v>29</v>
      </c>
      <c r="G82" s="371" t="s">
        <v>70</v>
      </c>
      <c r="H82" s="368">
        <f>AVERAGE(Angele:Willem!H81:H81)</f>
        <v>1.5</v>
      </c>
      <c r="I82" s="362" t="s">
        <v>29</v>
      </c>
      <c r="J82" s="368">
        <f>AVERAGE(Angele:Willem!J81:J81)</f>
        <v>0.66666666666666663</v>
      </c>
      <c r="K82" s="234" t="str">
        <f t="shared" si="13"/>
        <v>1</v>
      </c>
      <c r="L82" s="235">
        <f>VLOOKUP($B82,Invulblad!$A$11:$S$103,13,0)</f>
        <v>3</v>
      </c>
      <c r="M82" s="211">
        <f>IF(L82&lt;&gt;"",VLOOKUP($B82,Invulblad!$A$11:$S$103,7,0),"")</f>
        <v>1</v>
      </c>
      <c r="N82" s="209" t="s">
        <v>29</v>
      </c>
      <c r="O82" s="211">
        <f>IF(L82&lt;&gt;"",VLOOKUP($B82,Invulblad!$A$11:$S$103,9,0),"")</f>
        <v>1</v>
      </c>
      <c r="P82" s="212">
        <f t="shared" si="14"/>
        <v>0</v>
      </c>
    </row>
    <row r="83" spans="1:19">
      <c r="A83" s="188">
        <v>69</v>
      </c>
      <c r="B83" s="195">
        <v>53</v>
      </c>
      <c r="C83" s="332">
        <v>41820</v>
      </c>
      <c r="D83" s="333">
        <v>0.75</v>
      </c>
      <c r="E83" s="370" t="s">
        <v>73</v>
      </c>
      <c r="F83" s="369" t="s">
        <v>29</v>
      </c>
      <c r="G83" s="370" t="s">
        <v>76</v>
      </c>
      <c r="H83" s="368">
        <f>AVERAGE(Angele:Willem!H82:H82)</f>
        <v>1.75</v>
      </c>
      <c r="I83" s="362" t="s">
        <v>29</v>
      </c>
      <c r="J83" s="368">
        <f>AVERAGE(Angele:Willem!J82:J82)</f>
        <v>0.5</v>
      </c>
      <c r="K83" s="234" t="str">
        <f t="shared" si="13"/>
        <v>1</v>
      </c>
      <c r="L83" s="235" t="str">
        <f>VLOOKUP($B83,Invulblad!$A$11:$S$103,13,0)</f>
        <v>1</v>
      </c>
      <c r="M83" s="211">
        <f>IF(L83&lt;&gt;"",VLOOKUP($B83,Invulblad!$A$11:$S$103,7,0),"")</f>
        <v>2</v>
      </c>
      <c r="N83" s="209" t="s">
        <v>29</v>
      </c>
      <c r="O83" s="211">
        <f>IF(L83&lt;&gt;"",VLOOKUP($B83,Invulblad!$A$11:$S$103,9,0),"")</f>
        <v>0</v>
      </c>
      <c r="P83" s="212">
        <f t="shared" si="14"/>
        <v>5</v>
      </c>
    </row>
    <row r="84" spans="1:19">
      <c r="A84" s="188">
        <v>70</v>
      </c>
      <c r="B84" s="195">
        <v>54</v>
      </c>
      <c r="C84" s="332">
        <v>41820</v>
      </c>
      <c r="D84" s="333">
        <v>0.91666666666666663</v>
      </c>
      <c r="E84" s="371" t="s">
        <v>77</v>
      </c>
      <c r="F84" s="369" t="s">
        <v>29</v>
      </c>
      <c r="G84" s="371" t="s">
        <v>80</v>
      </c>
      <c r="H84" s="368">
        <f>AVERAGE(Angele:Willem!H83:H83)</f>
        <v>2</v>
      </c>
      <c r="I84" s="362" t="s">
        <v>29</v>
      </c>
      <c r="J84" s="368">
        <f>AVERAGE(Angele:Willem!J83:J83)</f>
        <v>0.54166666666666663</v>
      </c>
      <c r="K84" s="234" t="str">
        <f t="shared" si="13"/>
        <v>1</v>
      </c>
      <c r="L84" s="235" t="str">
        <f>VLOOKUP($B84,Invulblad!$A$11:$S$103,13,0)</f>
        <v>1</v>
      </c>
      <c r="M84" s="211">
        <f>IF(L84&lt;&gt;"",VLOOKUP($B84,Invulblad!$A$11:$S$103,7,0),"")</f>
        <v>2</v>
      </c>
      <c r="N84" s="209" t="s">
        <v>29</v>
      </c>
      <c r="O84" s="211">
        <f>IF(L84&lt;&gt;"",VLOOKUP($B84,Invulblad!$A$11:$S$103,9,0),"")</f>
        <v>1</v>
      </c>
      <c r="P84" s="212">
        <f t="shared" si="14"/>
        <v>5</v>
      </c>
    </row>
    <row r="85" spans="1:19">
      <c r="A85" s="188">
        <v>71</v>
      </c>
      <c r="B85" s="195">
        <v>55</v>
      </c>
      <c r="C85" s="332">
        <v>41821</v>
      </c>
      <c r="D85" s="333">
        <v>0.75</v>
      </c>
      <c r="E85" s="370" t="s">
        <v>75</v>
      </c>
      <c r="F85" s="369" t="s">
        <v>29</v>
      </c>
      <c r="G85" s="370" t="s">
        <v>74</v>
      </c>
      <c r="H85" s="368">
        <f>AVERAGE(Angele:Willem!H84:H84)</f>
        <v>2</v>
      </c>
      <c r="I85" s="362" t="s">
        <v>29</v>
      </c>
      <c r="J85" s="368">
        <f>AVERAGE(Angele:Willem!J84:J84)</f>
        <v>0.45833333333333331</v>
      </c>
      <c r="K85" s="234" t="str">
        <f t="shared" si="13"/>
        <v>1</v>
      </c>
      <c r="L85" s="235" t="str">
        <f>VLOOKUP($B85,Invulblad!$A$11:$S$103,13,0)</f>
        <v>1</v>
      </c>
      <c r="M85" s="211">
        <f>IF(L85&lt;&gt;"",VLOOKUP($B85,Invulblad!$A$11:$S$103,7,0),"")</f>
        <v>1</v>
      </c>
      <c r="N85" s="209" t="s">
        <v>29</v>
      </c>
      <c r="O85" s="211">
        <f>IF(L85&lt;&gt;"",VLOOKUP($B85,Invulblad!$A$11:$S$103,9,0),"")</f>
        <v>0</v>
      </c>
      <c r="P85" s="212">
        <f t="shared" si="14"/>
        <v>5</v>
      </c>
    </row>
    <row r="86" spans="1:19">
      <c r="A86" s="188">
        <v>72</v>
      </c>
      <c r="B86" s="195">
        <v>56</v>
      </c>
      <c r="C86" s="332">
        <v>41821</v>
      </c>
      <c r="D86" s="333">
        <v>0.91666666666666663</v>
      </c>
      <c r="E86" s="371" t="s">
        <v>79</v>
      </c>
      <c r="F86" s="369" t="s">
        <v>29</v>
      </c>
      <c r="G86" s="371" t="s">
        <v>78</v>
      </c>
      <c r="H86" s="368">
        <f>AVERAGE(Angele:Willem!H85:H85)</f>
        <v>0.95833333333333337</v>
      </c>
      <c r="I86" s="362" t="s">
        <v>29</v>
      </c>
      <c r="J86" s="368">
        <f>AVERAGE(Angele:Willem!J85:J85)</f>
        <v>1.2916666666666667</v>
      </c>
      <c r="K86" s="234">
        <f t="shared" si="13"/>
        <v>2</v>
      </c>
      <c r="L86" s="235" t="str">
        <f>VLOOKUP($B86,Invulblad!$A$11:$S$103,13,0)</f>
        <v>1</v>
      </c>
      <c r="M86" s="211">
        <f>IF(L86&lt;&gt;"",VLOOKUP($B86,Invulblad!$A$11:$S$103,7,0),"")</f>
        <v>2</v>
      </c>
      <c r="N86" s="209" t="s">
        <v>29</v>
      </c>
      <c r="O86" s="211">
        <f>IF(L86&lt;&gt;"",VLOOKUP($B86,Invulblad!$A$11:$S$103,9,0),"")</f>
        <v>1</v>
      </c>
      <c r="P86" s="212">
        <f t="shared" si="14"/>
        <v>0</v>
      </c>
    </row>
    <row r="87" spans="1:19">
      <c r="A87" s="188">
        <v>73</v>
      </c>
      <c r="B87" s="201" t="s">
        <v>136</v>
      </c>
      <c r="H87" s="201"/>
      <c r="I87" s="201"/>
      <c r="J87" s="201"/>
      <c r="K87" s="236" t="str">
        <f t="shared" si="13"/>
        <v/>
      </c>
      <c r="L87" s="235"/>
      <c r="M87" s="211" t="str">
        <f>IF(L87&lt;&gt;"",VLOOKUP($B87,Invulblad!$A$11:$S$103,7,0),"")</f>
        <v/>
      </c>
      <c r="N87" s="209"/>
      <c r="O87" s="211" t="str">
        <f>IF(L87&lt;&gt;"",VLOOKUP($B87,Invulblad!$A$11:$S$103,9,0),"")</f>
        <v/>
      </c>
    </row>
    <row r="88" spans="1:19" ht="15" customHeight="1">
      <c r="B88" s="201"/>
      <c r="C88" s="189" t="s">
        <v>420</v>
      </c>
      <c r="D88" s="189" t="s">
        <v>421</v>
      </c>
      <c r="H88" s="458" t="s">
        <v>93</v>
      </c>
      <c r="I88" s="458"/>
      <c r="J88" s="458"/>
      <c r="K88" s="236"/>
      <c r="L88" s="235"/>
      <c r="M88" s="211"/>
      <c r="N88" s="209"/>
      <c r="O88" s="211"/>
    </row>
    <row r="89" spans="1:19">
      <c r="A89" s="188">
        <v>75</v>
      </c>
      <c r="B89" s="195">
        <v>57</v>
      </c>
      <c r="C89" s="332">
        <v>41824</v>
      </c>
      <c r="D89" s="333">
        <v>0.91666666666666663</v>
      </c>
      <c r="E89" s="189" t="s">
        <v>501</v>
      </c>
      <c r="F89" s="189" t="s">
        <v>29</v>
      </c>
      <c r="G89" s="189" t="s">
        <v>505</v>
      </c>
      <c r="H89" s="368">
        <f>AVERAGE(Angele:Willem!H88:H88)</f>
        <v>1.7916666666666667</v>
      </c>
      <c r="I89" s="362" t="s">
        <v>29</v>
      </c>
      <c r="J89" s="368">
        <f>AVERAGE(Angele:Willem!J88:J88)</f>
        <v>0.625</v>
      </c>
      <c r="K89" s="234" t="str">
        <f t="shared" si="13"/>
        <v>1</v>
      </c>
      <c r="L89" s="235" t="str">
        <f>VLOOKUP($B89,Invulblad!$A$11:$S$103,13,0)</f>
        <v>1</v>
      </c>
      <c r="M89" s="211">
        <f>IF(L89&lt;&gt;"",VLOOKUP($B89,Invulblad!$A$11:$S$103,7,0),"")</f>
        <v>2</v>
      </c>
      <c r="N89" s="209" t="s">
        <v>29</v>
      </c>
      <c r="O89" s="211">
        <f>IF(L89&lt;&gt;"",VLOOKUP($B89,Invulblad!$A$11:$S$103,9,0),"")</f>
        <v>1</v>
      </c>
      <c r="P89" s="212">
        <f>IF(L89&lt;&gt;"",IF(AND(M89=H89,O89=J89),10,IF(K89=L89,5,0)),"")</f>
        <v>5</v>
      </c>
      <c r="S89" s="189" t="s">
        <v>513</v>
      </c>
    </row>
    <row r="90" spans="1:19">
      <c r="A90" s="188">
        <v>76</v>
      </c>
      <c r="B90" s="195">
        <v>58</v>
      </c>
      <c r="C90" s="332">
        <v>41824</v>
      </c>
      <c r="D90" s="333">
        <v>0.75</v>
      </c>
      <c r="E90" s="189" t="s">
        <v>502</v>
      </c>
      <c r="F90" s="189" t="s">
        <v>29</v>
      </c>
      <c r="G90" s="189" t="s">
        <v>506</v>
      </c>
      <c r="H90" s="368">
        <f>AVERAGE(Angele:Willem!H89:H89)</f>
        <v>0.75</v>
      </c>
      <c r="I90" s="362" t="s">
        <v>29</v>
      </c>
      <c r="J90" s="368">
        <f>AVERAGE(Angele:Willem!J89:J89)</f>
        <v>1.875</v>
      </c>
      <c r="K90" s="234">
        <f t="shared" si="13"/>
        <v>2</v>
      </c>
      <c r="L90" s="235">
        <f>VLOOKUP($B90,Invulblad!$A$11:$S$103,13,0)</f>
        <v>2</v>
      </c>
      <c r="M90" s="211">
        <f>IF(L90&lt;&gt;"",VLOOKUP($B90,Invulblad!$A$11:$S$103,7,0),"")</f>
        <v>0</v>
      </c>
      <c r="N90" s="209" t="s">
        <v>29</v>
      </c>
      <c r="O90" s="211">
        <f>IF(L90&lt;&gt;"",VLOOKUP($B90,Invulblad!$A$11:$S$103,9,0),"")</f>
        <v>1</v>
      </c>
      <c r="P90" s="212">
        <f>IF(L90&lt;&gt;"",IF(AND(M90=H90,O90=J90),10,IF(K90=L90,5,0)),"")</f>
        <v>5</v>
      </c>
      <c r="S90" s="189" t="s">
        <v>514</v>
      </c>
    </row>
    <row r="91" spans="1:19">
      <c r="A91" s="188">
        <v>77</v>
      </c>
      <c r="B91" s="195">
        <v>59</v>
      </c>
      <c r="C91" s="332">
        <v>41825</v>
      </c>
      <c r="D91" s="333">
        <v>0.91666666666666663</v>
      </c>
      <c r="E91" s="189" t="s">
        <v>503</v>
      </c>
      <c r="F91" s="189" t="s">
        <v>29</v>
      </c>
      <c r="G91" s="189" t="s">
        <v>507</v>
      </c>
      <c r="H91" s="368">
        <f>AVERAGE(Angele:Willem!H90:H90)</f>
        <v>1.4583333333333333</v>
      </c>
      <c r="I91" s="362" t="s">
        <v>29</v>
      </c>
      <c r="J91" s="368">
        <f>AVERAGE(Angele:Willem!J90:J90)</f>
        <v>0.75</v>
      </c>
      <c r="K91" s="234" t="str">
        <f t="shared" si="13"/>
        <v>1</v>
      </c>
      <c r="L91" s="235">
        <f>VLOOKUP($B91,Invulblad!$A$11:$S$103,13,0)</f>
        <v>3</v>
      </c>
      <c r="M91" s="211">
        <f>IF(L91&lt;&gt;"",VLOOKUP($B91,Invulblad!$A$11:$S$103,7,0),"")</f>
        <v>0</v>
      </c>
      <c r="N91" s="209" t="s">
        <v>29</v>
      </c>
      <c r="O91" s="211">
        <f>IF(L91&lt;&gt;"",VLOOKUP($B91,Invulblad!$A$11:$S$103,9,0),"")</f>
        <v>0</v>
      </c>
      <c r="P91" s="212">
        <f>IF(L91&lt;&gt;"",IF(AND(M91=H91,O91=J91),10,IF(K91=L91,5,0)),"")</f>
        <v>0</v>
      </c>
      <c r="S91" s="189" t="s">
        <v>515</v>
      </c>
    </row>
    <row r="92" spans="1:19">
      <c r="A92" s="188">
        <v>78</v>
      </c>
      <c r="B92" s="195">
        <v>60</v>
      </c>
      <c r="C92" s="332">
        <v>41825</v>
      </c>
      <c r="D92" s="333">
        <v>0.75</v>
      </c>
      <c r="E92" s="189" t="s">
        <v>504</v>
      </c>
      <c r="F92" s="189" t="s">
        <v>29</v>
      </c>
      <c r="G92" s="189" t="s">
        <v>508</v>
      </c>
      <c r="H92" s="368">
        <f>AVERAGE(Angele:Willem!H91:H91)</f>
        <v>1.7083333333333333</v>
      </c>
      <c r="I92" s="362" t="s">
        <v>29</v>
      </c>
      <c r="J92" s="368">
        <f>AVERAGE(Angele:Willem!J91:J91)</f>
        <v>0.66666666666666663</v>
      </c>
      <c r="K92" s="234" t="str">
        <f t="shared" si="13"/>
        <v>1</v>
      </c>
      <c r="L92" s="235" t="str">
        <f>VLOOKUP($B92,Invulblad!$A$11:$S$103,13,0)</f>
        <v>1</v>
      </c>
      <c r="M92" s="211">
        <f>IF(L92&lt;&gt;"",VLOOKUP($B92,Invulblad!$A$11:$S$103,7,0),"")</f>
        <v>1</v>
      </c>
      <c r="N92" s="209" t="s">
        <v>29</v>
      </c>
      <c r="O92" s="211">
        <f>IF(L92&lt;&gt;"",VLOOKUP($B92,Invulblad!$A$11:$S$103,9,0),"")</f>
        <v>0</v>
      </c>
      <c r="P92" s="212">
        <f>IF(L92&lt;&gt;"",IF(AND(M92=H92,O92=J92),10,IF(K92=L92,5,0)),"")</f>
        <v>5</v>
      </c>
      <c r="S92" s="189" t="s">
        <v>516</v>
      </c>
    </row>
    <row r="93" spans="1:19">
      <c r="A93" s="188">
        <v>79</v>
      </c>
      <c r="B93" s="201" t="s">
        <v>88</v>
      </c>
      <c r="H93" s="201"/>
      <c r="I93" s="201"/>
      <c r="J93" s="201"/>
      <c r="K93" s="236" t="str">
        <f t="shared" si="13"/>
        <v/>
      </c>
      <c r="L93" s="235"/>
      <c r="M93" s="211" t="str">
        <f>IF(L93&lt;&gt;"",VLOOKUP($B93,Invulblad!$A$11:$S$103,7,0),"")</f>
        <v/>
      </c>
      <c r="O93" s="211" t="str">
        <f>IF(L93&lt;&gt;"",VLOOKUP($B93,Invulblad!$A$11:$S$103,9,0),"")</f>
        <v/>
      </c>
    </row>
    <row r="94" spans="1:19" ht="15" customHeight="1">
      <c r="B94" s="201"/>
      <c r="C94" s="189" t="s">
        <v>420</v>
      </c>
      <c r="D94" s="189" t="s">
        <v>421</v>
      </c>
      <c r="H94" s="458" t="s">
        <v>93</v>
      </c>
      <c r="I94" s="458"/>
      <c r="J94" s="458"/>
      <c r="K94" s="236"/>
      <c r="L94" s="235"/>
      <c r="M94" s="211"/>
      <c r="O94" s="211"/>
    </row>
    <row r="95" spans="1:19">
      <c r="A95" s="188">
        <v>81</v>
      </c>
      <c r="B95" s="195">
        <v>61</v>
      </c>
      <c r="C95" s="332">
        <v>41828</v>
      </c>
      <c r="D95" s="333">
        <v>0.91666666666666663</v>
      </c>
      <c r="E95" s="189" t="s">
        <v>509</v>
      </c>
      <c r="F95" s="189" t="s">
        <v>29</v>
      </c>
      <c r="G95" s="189" t="s">
        <v>510</v>
      </c>
      <c r="H95" s="368">
        <f>AVERAGE(Angele:Willem!H94:H94)</f>
        <v>1.4166666666666667</v>
      </c>
      <c r="I95" s="362" t="s">
        <v>29</v>
      </c>
      <c r="J95" s="368">
        <f>AVERAGE(Angele:Willem!J94:J94)</f>
        <v>1.0416666666666667</v>
      </c>
      <c r="K95" s="234" t="str">
        <f t="shared" si="13"/>
        <v>1</v>
      </c>
      <c r="L95" s="235">
        <f>VLOOKUP($B95,Invulblad!$A$11:$S$103,13,0)</f>
        <v>2</v>
      </c>
      <c r="M95" s="211">
        <f>IF(L95&lt;&gt;"",VLOOKUP($B95,Invulblad!$A$11:$S$103,7,0),"")</f>
        <v>1</v>
      </c>
      <c r="N95" s="209" t="s">
        <v>29</v>
      </c>
      <c r="O95" s="211">
        <f>IF(L95&lt;&gt;"",VLOOKUP($B95,Invulblad!$A$11:$S$103,9,0),"")</f>
        <v>7</v>
      </c>
      <c r="P95" s="212">
        <f>IF(L95&lt;&gt;"",IF(AND(M95=H95,O95=J95),10,IF(K95=L95,5,0)),"")</f>
        <v>0</v>
      </c>
    </row>
    <row r="96" spans="1:19">
      <c r="A96" s="188">
        <v>82</v>
      </c>
      <c r="B96" s="195">
        <v>62</v>
      </c>
      <c r="C96" s="332">
        <v>41829</v>
      </c>
      <c r="D96" s="333">
        <v>0.91666666666666663</v>
      </c>
      <c r="E96" s="189" t="s">
        <v>511</v>
      </c>
      <c r="F96" s="189" t="s">
        <v>29</v>
      </c>
      <c r="G96" s="189" t="s">
        <v>512</v>
      </c>
      <c r="H96" s="368">
        <f>AVERAGE(Angele:Willem!H95:H95)</f>
        <v>1.125</v>
      </c>
      <c r="I96" s="362" t="s">
        <v>29</v>
      </c>
      <c r="J96" s="368">
        <f>AVERAGE(Angele:Willem!J95:J95)</f>
        <v>1.2916666666666667</v>
      </c>
      <c r="K96" s="234">
        <f t="shared" si="13"/>
        <v>2</v>
      </c>
      <c r="L96" s="235">
        <f>VLOOKUP($B96,Invulblad!$A$11:$S$103,13,0)</f>
        <v>3</v>
      </c>
      <c r="M96" s="211">
        <f>IF(L96&lt;&gt;"",VLOOKUP($B96,Invulblad!$A$11:$S$103,7,0),"")</f>
        <v>0</v>
      </c>
      <c r="N96" s="209" t="s">
        <v>29</v>
      </c>
      <c r="O96" s="211">
        <f>IF(L96&lt;&gt;"",VLOOKUP($B96,Invulblad!$A$11:$S$103,9,0),"")</f>
        <v>0</v>
      </c>
      <c r="P96" s="212">
        <f>IF(L96&lt;&gt;"",IF(AND(M96=H96,O96=J96),10,IF(K96=L96,5,0)),"")</f>
        <v>0</v>
      </c>
    </row>
    <row r="97" spans="1:16">
      <c r="A97" s="188">
        <v>83</v>
      </c>
      <c r="B97" s="201" t="s">
        <v>137</v>
      </c>
      <c r="H97" s="201"/>
      <c r="I97" s="201"/>
      <c r="J97" s="201"/>
      <c r="K97" s="236" t="str">
        <f t="shared" si="13"/>
        <v/>
      </c>
      <c r="L97" s="235"/>
      <c r="M97" s="211" t="str">
        <f>IF(L97&lt;&gt;"",VLOOKUP($B97,Invulblad!$A$11:$S$103,7,0),"")</f>
        <v/>
      </c>
      <c r="N97" s="209"/>
      <c r="O97" s="211" t="str">
        <f>IF(L97&lt;&gt;"",VLOOKUP($B97,Invulblad!$A$11:$S$103,9,0),"")</f>
        <v/>
      </c>
    </row>
    <row r="98" spans="1:16" ht="15" customHeight="1">
      <c r="B98" s="201"/>
      <c r="C98" s="189" t="s">
        <v>420</v>
      </c>
      <c r="D98" s="189" t="s">
        <v>421</v>
      </c>
      <c r="H98" s="458" t="s">
        <v>93</v>
      </c>
      <c r="I98" s="458"/>
      <c r="J98" s="458"/>
      <c r="K98" s="236"/>
      <c r="L98" s="235"/>
      <c r="M98" s="211"/>
      <c r="N98" s="209"/>
      <c r="O98" s="211"/>
    </row>
    <row r="99" spans="1:16">
      <c r="A99" s="188">
        <v>85</v>
      </c>
      <c r="B99" s="195">
        <v>63</v>
      </c>
      <c r="C99" s="332">
        <v>41832</v>
      </c>
      <c r="D99" s="333">
        <v>0.91666666666666663</v>
      </c>
      <c r="E99" s="189">
        <v>61</v>
      </c>
      <c r="F99" s="189" t="s">
        <v>29</v>
      </c>
      <c r="G99" s="189">
        <v>62</v>
      </c>
      <c r="H99" s="368">
        <f>AVERAGE(Angele:Willem!H98:H98)</f>
        <v>1.3333333333333333</v>
      </c>
      <c r="I99" s="362" t="s">
        <v>29</v>
      </c>
      <c r="J99" s="368">
        <f>AVERAGE(Angele:Willem!J98:J98)</f>
        <v>0.91666666666666663</v>
      </c>
      <c r="K99" s="234" t="str">
        <f t="shared" si="13"/>
        <v>1</v>
      </c>
      <c r="L99" s="235">
        <f>VLOOKUP($B99,Invulblad!$A$11:$S$103,13,0)</f>
        <v>2</v>
      </c>
      <c r="M99" s="211">
        <f>IF(L99&lt;&gt;"",VLOOKUP($B99,Invulblad!$A$11:$S$103,7,0),"")</f>
        <v>0</v>
      </c>
      <c r="N99" s="209" t="s">
        <v>29</v>
      </c>
      <c r="O99" s="211">
        <f>IF(L99&lt;&gt;"",VLOOKUP($B99,Invulblad!$A$11:$S$103,9,0),"")</f>
        <v>3</v>
      </c>
      <c r="P99" s="212">
        <f>IF(L99&lt;&gt;"",IF(AND(M99=H99,O99=J99),10,IF(K99=L99,5,0)),"")</f>
        <v>0</v>
      </c>
    </row>
    <row r="100" spans="1:16">
      <c r="A100" s="188">
        <v>86</v>
      </c>
      <c r="B100" s="201" t="s">
        <v>48</v>
      </c>
      <c r="H100" s="201"/>
      <c r="I100" s="201"/>
      <c r="J100" s="201"/>
      <c r="K100" s="236" t="str">
        <f t="shared" si="13"/>
        <v/>
      </c>
      <c r="L100" s="235"/>
      <c r="M100" s="211" t="str">
        <f>IF(L100&lt;&gt;"",VLOOKUP($B100,Invulblad!$A$11:$S$103,7,0),"")</f>
        <v/>
      </c>
      <c r="N100" s="209"/>
      <c r="O100" s="211" t="str">
        <f>IF(L100&lt;&gt;"",VLOOKUP($B100,Invulblad!$A$11:$S$103,9,0),"")</f>
        <v/>
      </c>
    </row>
    <row r="101" spans="1:16" ht="15" customHeight="1">
      <c r="B101" s="201"/>
      <c r="C101" s="189" t="s">
        <v>420</v>
      </c>
      <c r="D101" s="189" t="s">
        <v>421</v>
      </c>
      <c r="E101" s="189" t="s">
        <v>145</v>
      </c>
      <c r="F101" s="189" t="s">
        <v>29</v>
      </c>
      <c r="G101" s="189" t="s">
        <v>145</v>
      </c>
      <c r="H101" s="458" t="s">
        <v>93</v>
      </c>
      <c r="I101" s="458"/>
      <c r="J101" s="458"/>
      <c r="K101" s="236"/>
      <c r="L101" s="235"/>
      <c r="M101" s="211"/>
      <c r="N101" s="209"/>
      <c r="O101" s="211"/>
    </row>
    <row r="102" spans="1:16">
      <c r="A102" s="188">
        <v>88</v>
      </c>
      <c r="B102" s="195">
        <v>64</v>
      </c>
      <c r="C102" s="332">
        <v>41833</v>
      </c>
      <c r="D102" s="333">
        <v>0.875</v>
      </c>
      <c r="E102" s="189" t="s">
        <v>199</v>
      </c>
      <c r="F102" s="189" t="s">
        <v>29</v>
      </c>
      <c r="G102" s="189" t="s">
        <v>448</v>
      </c>
      <c r="H102" s="368">
        <f>AVERAGE(Angele:Willem!H101:H101)</f>
        <v>1.375</v>
      </c>
      <c r="I102" s="362" t="s">
        <v>29</v>
      </c>
      <c r="J102" s="368">
        <f>AVERAGE(Angele:Willem!J101:J101)</f>
        <v>1.2083333333333333</v>
      </c>
      <c r="K102" s="234" t="str">
        <f t="shared" si="13"/>
        <v>1</v>
      </c>
      <c r="L102" s="235" t="str">
        <f>VLOOKUP($B102,Invulblad!$A$11:$S$103,13,0)</f>
        <v>1</v>
      </c>
      <c r="M102" s="211">
        <f>IF(L102&lt;&gt;"",VLOOKUP($B102,Invulblad!$A$11:$S$103,7,0),"")</f>
        <v>1</v>
      </c>
      <c r="N102" s="209" t="s">
        <v>29</v>
      </c>
      <c r="O102" s="211">
        <f>IF(L102&lt;&gt;"",VLOOKUP($B102,Invulblad!$A$11:$S$103,9,0),"")</f>
        <v>0</v>
      </c>
      <c r="P102" s="212">
        <f>IF(L102&lt;&gt;"",IF(AND(M102=H102,O102=J102),10,IF(K102=L102,5,0)),"")</f>
        <v>5</v>
      </c>
    </row>
  </sheetData>
  <sheetProtection sheet="1" objects="1" scenarios="1" selectLockedCells="1" selectUnlockedCells="1"/>
  <mergeCells count="13">
    <mergeCell ref="H101:J101"/>
    <mergeCell ref="H62:J62"/>
    <mergeCell ref="H70:J70"/>
    <mergeCell ref="H78:J78"/>
    <mergeCell ref="H88:J88"/>
    <mergeCell ref="H94:J94"/>
    <mergeCell ref="H98:J98"/>
    <mergeCell ref="H54:J54"/>
    <mergeCell ref="H14:J14"/>
    <mergeCell ref="H22:J22"/>
    <mergeCell ref="H30:J30"/>
    <mergeCell ref="H38:J38"/>
    <mergeCell ref="H46:J46"/>
  </mergeCells>
  <pageMargins left="0.7" right="0.7" top="0.75" bottom="0.75" header="0.51180555555555551" footer="0.51180555555555551"/>
  <pageSetup firstPageNumber="0" orientation="portrait" horizontalDpi="300" verticalDpi="300"/>
  <headerFooter alignWithMargins="0"/>
</worksheet>
</file>

<file path=xl/worksheets/sheet11.xml><?xml version="1.0" encoding="utf-8"?>
<worksheet xmlns="http://schemas.openxmlformats.org/spreadsheetml/2006/main" xmlns:r="http://schemas.openxmlformats.org/officeDocument/2006/relationships">
  <sheetPr codeName="Blad9">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customWidth="1"/>
    <col min="11" max="11" width="5.5703125" style="228" customWidth="1"/>
    <col min="12" max="12" width="3.28515625" style="229" customWidth="1"/>
    <col min="13" max="13" width="3.7109375" style="189" customWidth="1"/>
    <col min="14" max="14" width="2" style="189" customWidth="1"/>
    <col min="15" max="15" width="3.42578125" style="189" customWidth="1"/>
    <col min="16" max="16" width="7.42578125" style="189" customWidth="1"/>
    <col min="17" max="16384" width="9.140625" style="189"/>
  </cols>
  <sheetData>
    <row r="1" spans="1:21" s="193" customFormat="1" ht="21">
      <c r="A1" s="191"/>
      <c r="B1" s="192" t="s">
        <v>253</v>
      </c>
      <c r="K1" s="230"/>
      <c r="L1" s="231"/>
      <c r="P1" s="193">
        <f>SUM(P14:P101)+E11+H11+L7+L11+Q11</f>
        <v>420</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Nederland</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Ivoorkust</v>
      </c>
      <c r="C4" s="222">
        <f t="shared" si="1"/>
        <v>0</v>
      </c>
      <c r="D4" s="224" t="str">
        <f t="shared" si="2"/>
        <v>Italië</v>
      </c>
      <c r="E4" s="222">
        <f t="shared" si="3"/>
        <v>0</v>
      </c>
      <c r="F4" s="339" t="s">
        <v>450</v>
      </c>
      <c r="G4" s="195" t="str">
        <f>G88</f>
        <v>Italië</v>
      </c>
      <c r="H4" s="222">
        <f t="shared" si="4"/>
        <v>0</v>
      </c>
      <c r="I4" s="339" t="s">
        <v>458</v>
      </c>
      <c r="J4" s="195" t="str">
        <f>G94</f>
        <v>Duitsland</v>
      </c>
      <c r="L4" s="222">
        <f>IF(ISNA(MATCH(J4,teams_halve,0)),0,20)</f>
        <v>20</v>
      </c>
      <c r="Q4" s="224"/>
    </row>
    <row r="5" spans="1:21" s="195" customFormat="1" ht="15" customHeight="1">
      <c r="B5" s="224" t="str">
        <f t="shared" si="0"/>
        <v>Spanje</v>
      </c>
      <c r="C5" s="222">
        <f t="shared" si="1"/>
        <v>0</v>
      </c>
      <c r="D5" s="224" t="str">
        <f t="shared" si="2"/>
        <v>Mexico</v>
      </c>
      <c r="E5" s="222">
        <f t="shared" si="3"/>
        <v>10</v>
      </c>
      <c r="F5" s="339" t="s">
        <v>451</v>
      </c>
      <c r="G5" s="195" t="str">
        <f>E90</f>
        <v>Spanje</v>
      </c>
      <c r="H5" s="222">
        <f t="shared" si="4"/>
        <v>0</v>
      </c>
      <c r="I5" s="339" t="s">
        <v>459</v>
      </c>
      <c r="J5" s="195" t="str">
        <f>E95</f>
        <v>Spanje</v>
      </c>
      <c r="L5" s="222">
        <f>IF(ISNA(MATCH(J5,teams_halve,0)),0,20)</f>
        <v>0</v>
      </c>
    </row>
    <row r="6" spans="1:21" s="195" customFormat="1" ht="15" customHeight="1">
      <c r="B6" s="224" t="str">
        <f t="shared" si="0"/>
        <v>Uruguay</v>
      </c>
      <c r="C6" s="222">
        <f t="shared" si="1"/>
        <v>10</v>
      </c>
      <c r="D6" s="224" t="str">
        <f t="shared" si="2"/>
        <v>Colombia</v>
      </c>
      <c r="E6" s="222">
        <f t="shared" si="3"/>
        <v>10</v>
      </c>
      <c r="F6" s="339" t="s">
        <v>452</v>
      </c>
      <c r="G6" s="195" t="str">
        <f>G90</f>
        <v>Uruguay</v>
      </c>
      <c r="H6" s="222">
        <f t="shared" si="4"/>
        <v>0</v>
      </c>
      <c r="I6" s="339" t="s">
        <v>460</v>
      </c>
      <c r="J6" s="195" t="str">
        <f>G95</f>
        <v>Argentinië</v>
      </c>
      <c r="L6" s="222">
        <f>IF(ISNA(MATCH(J6,teams_halve,0)),0,20)</f>
        <v>20</v>
      </c>
    </row>
    <row r="7" spans="1:21" s="195" customFormat="1" ht="15" customHeight="1">
      <c r="B7" s="224" t="str">
        <f t="shared" si="0"/>
        <v>Frankrijk</v>
      </c>
      <c r="C7" s="222">
        <f t="shared" si="1"/>
        <v>10</v>
      </c>
      <c r="D7" s="224" t="str">
        <f t="shared" si="2"/>
        <v>Nigeria</v>
      </c>
      <c r="E7" s="222">
        <f t="shared" si="3"/>
        <v>10</v>
      </c>
      <c r="F7" s="339" t="s">
        <v>453</v>
      </c>
      <c r="G7" s="195" t="str">
        <f>E89</f>
        <v>Frankrijk</v>
      </c>
      <c r="H7" s="222">
        <f t="shared" si="4"/>
        <v>15</v>
      </c>
      <c r="I7" s="339"/>
      <c r="J7" s="198" t="s">
        <v>83</v>
      </c>
      <c r="K7" s="199"/>
      <c r="L7" s="225">
        <f>SUM(L3:L6)</f>
        <v>60</v>
      </c>
    </row>
    <row r="8" spans="1:21" s="195" customFormat="1" ht="15" customHeight="1">
      <c r="B8" s="224" t="str">
        <f t="shared" si="0"/>
        <v>Duitsland</v>
      </c>
      <c r="C8" s="222">
        <f t="shared" si="1"/>
        <v>10</v>
      </c>
      <c r="D8" s="224" t="str">
        <f t="shared" si="2"/>
        <v>Zuid-Korea</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Ecuador</v>
      </c>
      <c r="E9" s="222">
        <f t="shared" si="3"/>
        <v>0</v>
      </c>
      <c r="F9" s="339" t="s">
        <v>455</v>
      </c>
      <c r="G9" s="195" t="str">
        <f>E91</f>
        <v>Argentinië</v>
      </c>
      <c r="H9" s="222">
        <f t="shared" si="4"/>
        <v>15</v>
      </c>
      <c r="I9" s="339" t="s">
        <v>461</v>
      </c>
      <c r="J9" s="195" t="str">
        <f>E101</f>
        <v>Brazilië</v>
      </c>
      <c r="L9" s="222">
        <f>IF(ISNA(MATCH(J9,teams_fin,0)),0,30)</f>
        <v>0</v>
      </c>
      <c r="P9" s="444" t="str">
        <f>E98</f>
        <v>Duitsland</v>
      </c>
      <c r="Q9" s="222">
        <f>IF(ISNA(MATCH(P9,teams_troost,0)),0,25)</f>
        <v>0</v>
      </c>
    </row>
    <row r="10" spans="1:21" s="195" customFormat="1" ht="15" customHeight="1">
      <c r="B10" s="224" t="str">
        <f t="shared" si="0"/>
        <v>Rusland</v>
      </c>
      <c r="C10" s="222">
        <f t="shared" si="1"/>
        <v>0</v>
      </c>
      <c r="D10" s="224" t="str">
        <f t="shared" si="2"/>
        <v>USA</v>
      </c>
      <c r="E10" s="222">
        <f t="shared" si="3"/>
        <v>10</v>
      </c>
      <c r="F10" s="339" t="s">
        <v>456</v>
      </c>
      <c r="G10" s="195" t="str">
        <f>G91</f>
        <v>USA</v>
      </c>
      <c r="H10" s="222">
        <f t="shared" si="4"/>
        <v>0</v>
      </c>
      <c r="I10" s="339" t="s">
        <v>462</v>
      </c>
      <c r="J10" s="195" t="str">
        <f>G101</f>
        <v>Spanje</v>
      </c>
      <c r="L10" s="222">
        <f>IF(ISNA(MATCH(J10,teams_fin,0)),0,30)</f>
        <v>0</v>
      </c>
      <c r="P10" s="444" t="str">
        <f>G98</f>
        <v>Argentinië</v>
      </c>
      <c r="Q10" s="222">
        <f>IF(ISNA(MATCH(P10,teams_troost,0)),0,25)</f>
        <v>0</v>
      </c>
    </row>
    <row r="11" spans="1:21" s="195" customFormat="1" ht="15" customHeight="1">
      <c r="D11" s="198" t="s">
        <v>89</v>
      </c>
      <c r="E11" s="225">
        <f>SUM(C3:E10)</f>
        <v>100</v>
      </c>
      <c r="G11" s="198" t="s">
        <v>82</v>
      </c>
      <c r="H11" s="225">
        <f>SUM(H3:H10)</f>
        <v>60</v>
      </c>
      <c r="J11" s="198" t="s">
        <v>90</v>
      </c>
      <c r="K11" s="199"/>
      <c r="L11" s="225">
        <f>SUM(L9:L10)</f>
        <v>0</v>
      </c>
      <c r="P11" s="199"/>
      <c r="Q11" s="225">
        <f>SUM(Q9:Q10)</f>
        <v>0</v>
      </c>
    </row>
    <row r="12" spans="1:21">
      <c r="B12" s="201" t="s">
        <v>19</v>
      </c>
      <c r="C12" s="201"/>
      <c r="D12" s="339" t="s">
        <v>463</v>
      </c>
      <c r="E12" s="202" t="s">
        <v>199</v>
      </c>
      <c r="F12" s="226">
        <f>IF(ISNA(MATCH(E12,Invulblad!F104,0)),0,50)</f>
        <v>0</v>
      </c>
      <c r="G12" s="201"/>
      <c r="H12" s="201"/>
      <c r="I12" s="201"/>
      <c r="J12" s="201"/>
      <c r="K12" s="201"/>
      <c r="L12" s="203"/>
      <c r="M12" s="201"/>
      <c r="N12" s="201"/>
      <c r="O12" s="201"/>
    </row>
    <row r="13" spans="1:21" ht="15" customHeight="1">
      <c r="A13" s="188" t="s">
        <v>91</v>
      </c>
      <c r="B13" s="204" t="s">
        <v>272</v>
      </c>
      <c r="C13" s="332" t="s">
        <v>420</v>
      </c>
      <c r="D13" s="333" t="s">
        <v>421</v>
      </c>
      <c r="E13" s="189" t="s">
        <v>145</v>
      </c>
      <c r="F13" s="189" t="s">
        <v>29</v>
      </c>
      <c r="G13" s="189" t="s">
        <v>145</v>
      </c>
      <c r="H13" s="365" t="s">
        <v>93</v>
      </c>
      <c r="I13" s="365"/>
      <c r="J13" s="365"/>
      <c r="K13" s="232" t="s">
        <v>20</v>
      </c>
      <c r="L13" s="233"/>
      <c r="M13" s="204" t="s">
        <v>94</v>
      </c>
      <c r="N13" s="206"/>
      <c r="O13" s="206"/>
      <c r="P13" s="201" t="s">
        <v>95</v>
      </c>
    </row>
    <row r="14" spans="1:21">
      <c r="A14" s="188">
        <v>1</v>
      </c>
      <c r="B14" s="195">
        <v>1</v>
      </c>
      <c r="C14" s="332">
        <v>41802</v>
      </c>
      <c r="D14" s="333">
        <v>0.91666666666666663</v>
      </c>
      <c r="E14" s="189" t="s">
        <v>557</v>
      </c>
      <c r="F14" s="189" t="s">
        <v>29</v>
      </c>
      <c r="G14" s="189" t="s">
        <v>558</v>
      </c>
      <c r="H14" s="366">
        <v>3</v>
      </c>
      <c r="I14" s="366" t="s">
        <v>29</v>
      </c>
      <c r="J14" s="366">
        <v>1</v>
      </c>
      <c r="K14" s="234" t="str">
        <f t="shared" ref="K14:K49" si="5">IF(AND(H14="",J14=""),"",IF(OR(H14="",J14=""),"FOUT",IF(H14&gt;J14,"1",IF(H14=J14,3,2))))</f>
        <v>1</v>
      </c>
      <c r="L14" s="235" t="str">
        <f>VLOOKUP($B14,Invulblad!$A$11:$S$103,13,0)</f>
        <v>1</v>
      </c>
      <c r="M14" s="211">
        <f>IF(L14&lt;&gt;"",VLOOKUP($B14,Invulblad!$A$11:$S$103,7,0),"")</f>
        <v>3</v>
      </c>
      <c r="N14" s="209" t="s">
        <v>29</v>
      </c>
      <c r="O14" s="211">
        <f>IF(L14&lt;&gt;"",VLOOKUP($B14,Invulblad!$A$11:$S$103,9,0),"")</f>
        <v>1</v>
      </c>
      <c r="P14" s="212">
        <f t="shared" ref="P14:P19" si="6">IF(L14&lt;&gt;"",IF(AND(M14=H14,O14=J14),10,IF(K14=L14,5,0)),"")</f>
        <v>10</v>
      </c>
    </row>
    <row r="15" spans="1:21">
      <c r="A15" s="188">
        <v>2</v>
      </c>
      <c r="B15" s="195">
        <v>2</v>
      </c>
      <c r="C15" s="332">
        <v>41803</v>
      </c>
      <c r="D15" s="333">
        <v>0.75</v>
      </c>
      <c r="E15" s="189" t="s">
        <v>101</v>
      </c>
      <c r="F15" s="189" t="s">
        <v>29</v>
      </c>
      <c r="G15" s="189" t="s">
        <v>119</v>
      </c>
      <c r="H15" s="366">
        <v>2</v>
      </c>
      <c r="I15" s="366" t="s">
        <v>29</v>
      </c>
      <c r="J15" s="366">
        <v>1</v>
      </c>
      <c r="K15" s="234" t="str">
        <f t="shared" si="5"/>
        <v>1</v>
      </c>
      <c r="L15" s="235" t="str">
        <f>VLOOKUP($B15,Invulblad!$A$11:$S$103,13,0)</f>
        <v>1</v>
      </c>
      <c r="M15" s="211">
        <f>IF(L15&lt;&gt;"",VLOOKUP($B15,Invulblad!$A$11:$S$103,7,0),"")</f>
        <v>1</v>
      </c>
      <c r="N15" s="209" t="s">
        <v>29</v>
      </c>
      <c r="O15" s="211">
        <f>IF(L15&lt;&gt;"",VLOOKUP($B15,Invulblad!$A$11:$S$103,9,0),"")</f>
        <v>0</v>
      </c>
      <c r="P15" s="212">
        <f t="shared" si="6"/>
        <v>5</v>
      </c>
    </row>
    <row r="16" spans="1:21">
      <c r="A16" s="188">
        <v>3</v>
      </c>
      <c r="B16" s="195">
        <v>17</v>
      </c>
      <c r="C16" s="332">
        <v>41807</v>
      </c>
      <c r="D16" s="333">
        <v>0.875</v>
      </c>
      <c r="E16" s="189" t="s">
        <v>557</v>
      </c>
      <c r="F16" s="189" t="s">
        <v>29</v>
      </c>
      <c r="G16" s="189" t="s">
        <v>96</v>
      </c>
      <c r="H16" s="366">
        <v>3</v>
      </c>
      <c r="I16" s="366" t="s">
        <v>29</v>
      </c>
      <c r="J16" s="366">
        <v>1</v>
      </c>
      <c r="K16" s="234" t="str">
        <f t="shared" si="5"/>
        <v>1</v>
      </c>
      <c r="L16" s="235">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2</v>
      </c>
      <c r="I17" s="366" t="s">
        <v>29</v>
      </c>
      <c r="J17" s="366">
        <v>1</v>
      </c>
      <c r="K17" s="234" t="str">
        <f t="shared" si="5"/>
        <v>1</v>
      </c>
      <c r="L17" s="235">
        <f>VLOOKUP($B17,Invulblad!$A$11:$S$103,13,0)</f>
        <v>2</v>
      </c>
      <c r="M17" s="211">
        <f>IF(L17&lt;&gt;"",VLOOKUP($B17,Invulblad!$A$11:$S$103,7,0),"")</f>
        <v>0</v>
      </c>
      <c r="N17" s="209" t="s">
        <v>29</v>
      </c>
      <c r="O17" s="211">
        <f>IF(L17&lt;&gt;"",VLOOKUP($B17,Invulblad!$A$11:$S$103,9,0),"")</f>
        <v>4</v>
      </c>
      <c r="P17" s="212">
        <f t="shared" si="6"/>
        <v>0</v>
      </c>
    </row>
    <row r="18" spans="1:16">
      <c r="A18" s="188">
        <v>5</v>
      </c>
      <c r="B18" s="195">
        <v>33</v>
      </c>
      <c r="C18" s="332">
        <v>41813</v>
      </c>
      <c r="D18" s="333">
        <v>0.91666666666666663</v>
      </c>
      <c r="E18" s="189" t="s">
        <v>121</v>
      </c>
      <c r="F18" s="189" t="s">
        <v>29</v>
      </c>
      <c r="G18" s="189" t="s">
        <v>559</v>
      </c>
      <c r="H18" s="366">
        <v>1</v>
      </c>
      <c r="I18" s="366" t="s">
        <v>29</v>
      </c>
      <c r="J18" s="366">
        <v>5</v>
      </c>
      <c r="K18" s="234">
        <f t="shared" si="5"/>
        <v>2</v>
      </c>
      <c r="L18" s="235">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2</v>
      </c>
      <c r="I19" s="366" t="s">
        <v>29</v>
      </c>
      <c r="J19" s="366">
        <v>2</v>
      </c>
      <c r="K19" s="234">
        <f t="shared" si="5"/>
        <v>3</v>
      </c>
      <c r="L19" s="235">
        <f>VLOOKUP($B19,Invulblad!$A$11:$S$103,13,0)</f>
        <v>2</v>
      </c>
      <c r="M19" s="211">
        <f>IF(L19&lt;&gt;"",VLOOKUP($B19,Invulblad!$A$11:$S$103,7,0),"")</f>
        <v>1</v>
      </c>
      <c r="N19" s="209" t="s">
        <v>29</v>
      </c>
      <c r="O19" s="211">
        <f>IF(L19&lt;&gt;"",VLOOKUP($B19,Invulblad!$A$11:$S$103,9,0),"")</f>
        <v>3</v>
      </c>
      <c r="P19" s="212">
        <f t="shared" si="6"/>
        <v>0</v>
      </c>
    </row>
    <row r="20" spans="1:16">
      <c r="A20" s="188">
        <v>7</v>
      </c>
      <c r="B20" s="201" t="s">
        <v>30</v>
      </c>
      <c r="H20" s="201"/>
      <c r="I20" s="201"/>
      <c r="J20" s="201"/>
      <c r="K20" s="236" t="str">
        <f t="shared" si="5"/>
        <v/>
      </c>
      <c r="L20" s="235"/>
      <c r="M20" s="211" t="str">
        <f>IF(L20&lt;&gt;"",VLOOKUP($B20,Invulblad!$A$11:$S$103,7,0),"")</f>
        <v/>
      </c>
      <c r="N20" s="201"/>
      <c r="O20" s="211" t="str">
        <f>IF(L20&lt;&gt;"",VLOOKUP($B20,Invulblad!$A$11:$S$103,9,0),"")</f>
        <v/>
      </c>
    </row>
    <row r="21" spans="1:16" ht="15" customHeight="1">
      <c r="B21" s="201" t="s">
        <v>272</v>
      </c>
      <c r="C21" s="189" t="s">
        <v>420</v>
      </c>
      <c r="D21" s="189" t="s">
        <v>421</v>
      </c>
      <c r="E21" s="189" t="s">
        <v>145</v>
      </c>
      <c r="F21" s="189" t="s">
        <v>29</v>
      </c>
      <c r="G21" s="189" t="s">
        <v>145</v>
      </c>
      <c r="H21" s="365" t="s">
        <v>93</v>
      </c>
      <c r="I21" s="365"/>
      <c r="J21" s="365"/>
      <c r="K21" s="236"/>
      <c r="L21" s="235"/>
      <c r="M21" s="211"/>
      <c r="N21" s="201"/>
      <c r="O21" s="211"/>
    </row>
    <row r="22" spans="1:16">
      <c r="A22" s="188">
        <v>9</v>
      </c>
      <c r="B22" s="195">
        <v>3</v>
      </c>
      <c r="C22" s="332">
        <v>41803</v>
      </c>
      <c r="D22" s="333">
        <v>0.875</v>
      </c>
      <c r="E22" s="189" t="s">
        <v>129</v>
      </c>
      <c r="F22" s="189" t="s">
        <v>29</v>
      </c>
      <c r="G22" s="189" t="s">
        <v>122</v>
      </c>
      <c r="H22" s="366">
        <v>1</v>
      </c>
      <c r="I22" s="366" t="s">
        <v>29</v>
      </c>
      <c r="J22" s="366">
        <v>0</v>
      </c>
      <c r="K22" s="234" t="str">
        <f t="shared" si="5"/>
        <v>1</v>
      </c>
      <c r="L22" s="235">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3</v>
      </c>
      <c r="I23" s="366" t="s">
        <v>29</v>
      </c>
      <c r="J23" s="366">
        <v>1</v>
      </c>
      <c r="K23" s="234" t="str">
        <f t="shared" si="5"/>
        <v>1</v>
      </c>
      <c r="L23" s="235" t="str">
        <f>VLOOKUP($B23,Invulblad!$A$11:$S$103,13,0)</f>
        <v>1</v>
      </c>
      <c r="M23" s="211">
        <f>IF(L23&lt;&gt;"",VLOOKUP($B23,Invulblad!$A$11:$S$103,7,0),"")</f>
        <v>3</v>
      </c>
      <c r="N23" s="209" t="s">
        <v>29</v>
      </c>
      <c r="O23" s="211">
        <f>IF(L23&lt;&gt;"",VLOOKUP($B23,Invulblad!$A$11:$S$103,9,0),"")</f>
        <v>1</v>
      </c>
      <c r="P23" s="212">
        <f t="shared" si="7"/>
        <v>10</v>
      </c>
    </row>
    <row r="24" spans="1:16">
      <c r="A24" s="188">
        <v>11</v>
      </c>
      <c r="B24" s="195">
        <v>19</v>
      </c>
      <c r="C24" s="332">
        <v>41808</v>
      </c>
      <c r="D24" s="333">
        <v>0.875</v>
      </c>
      <c r="E24" s="189" t="s">
        <v>129</v>
      </c>
      <c r="F24" s="189" t="s">
        <v>29</v>
      </c>
      <c r="G24" s="189" t="s">
        <v>128</v>
      </c>
      <c r="H24" s="366">
        <v>2</v>
      </c>
      <c r="I24" s="366" t="s">
        <v>29</v>
      </c>
      <c r="J24" s="366">
        <v>1</v>
      </c>
      <c r="K24" s="234" t="str">
        <f t="shared" si="5"/>
        <v>1</v>
      </c>
      <c r="L24" s="235">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1</v>
      </c>
      <c r="I25" s="366" t="s">
        <v>29</v>
      </c>
      <c r="J25" s="366">
        <v>3</v>
      </c>
      <c r="K25" s="234">
        <f t="shared" si="5"/>
        <v>2</v>
      </c>
      <c r="L25" s="235">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0</v>
      </c>
      <c r="I26" s="366" t="s">
        <v>29</v>
      </c>
      <c r="J26" s="366">
        <v>2</v>
      </c>
      <c r="K26" s="234">
        <f t="shared" si="5"/>
        <v>2</v>
      </c>
      <c r="L26" s="235">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1</v>
      </c>
      <c r="I27" s="366" t="s">
        <v>29</v>
      </c>
      <c r="J27" s="366">
        <v>0</v>
      </c>
      <c r="K27" s="234" t="str">
        <f t="shared" si="5"/>
        <v>1</v>
      </c>
      <c r="L27" s="235" t="str">
        <f>VLOOKUP($B27,Invulblad!$A$11:$S$103,13,0)</f>
        <v>1</v>
      </c>
      <c r="M27" s="211">
        <f>IF(L27&lt;&gt;"",VLOOKUP($B27,Invulblad!$A$11:$S$103,7,0),"")</f>
        <v>2</v>
      </c>
      <c r="N27" s="209" t="s">
        <v>29</v>
      </c>
      <c r="O27" s="211">
        <f>IF(L27&lt;&gt;"",VLOOKUP($B27,Invulblad!$A$11:$S$103,9,0),"")</f>
        <v>0</v>
      </c>
      <c r="P27" s="212">
        <f t="shared" si="7"/>
        <v>5</v>
      </c>
    </row>
    <row r="28" spans="1:16">
      <c r="A28" s="188">
        <v>15</v>
      </c>
      <c r="B28" s="201" t="s">
        <v>31</v>
      </c>
      <c r="H28" s="201"/>
      <c r="I28" s="201"/>
      <c r="J28" s="201"/>
      <c r="K28" s="236" t="str">
        <f t="shared" si="5"/>
        <v/>
      </c>
      <c r="L28" s="235"/>
      <c r="M28" s="211" t="str">
        <f>IF(L28&lt;&gt;"",VLOOKUP($B28,Invulblad!$A$11:$S$103,7,0),"")</f>
        <v/>
      </c>
      <c r="N28" s="209"/>
      <c r="O28" s="211" t="str">
        <f>IF(L28&lt;&gt;"",VLOOKUP($B28,Invulblad!$A$11:$S$103,9,0),"")</f>
        <v/>
      </c>
    </row>
    <row r="29" spans="1:16" ht="15" customHeight="1">
      <c r="B29" s="201" t="s">
        <v>272</v>
      </c>
      <c r="C29" s="189" t="s">
        <v>420</v>
      </c>
      <c r="D29" s="189" t="s">
        <v>421</v>
      </c>
      <c r="E29" s="189" t="s">
        <v>145</v>
      </c>
      <c r="F29" s="189" t="s">
        <v>29</v>
      </c>
      <c r="G29" s="189" t="s">
        <v>145</v>
      </c>
      <c r="H29" s="365" t="s">
        <v>93</v>
      </c>
      <c r="I29" s="365"/>
      <c r="J29" s="365"/>
      <c r="K29" s="236"/>
      <c r="L29" s="235"/>
      <c r="M29" s="211"/>
      <c r="N29" s="209"/>
      <c r="O29" s="211"/>
    </row>
    <row r="30" spans="1:16">
      <c r="A30" s="188">
        <v>17</v>
      </c>
      <c r="B30" s="195">
        <v>5</v>
      </c>
      <c r="C30" s="332">
        <v>41804</v>
      </c>
      <c r="D30" s="333">
        <v>0.75</v>
      </c>
      <c r="E30" s="189" t="s">
        <v>428</v>
      </c>
      <c r="F30" s="189" t="s">
        <v>29</v>
      </c>
      <c r="G30" s="189" t="s">
        <v>105</v>
      </c>
      <c r="H30" s="366">
        <v>2</v>
      </c>
      <c r="I30" s="366" t="s">
        <v>29</v>
      </c>
      <c r="J30" s="366">
        <v>0</v>
      </c>
      <c r="K30" s="234" t="str">
        <f t="shared" si="5"/>
        <v>1</v>
      </c>
      <c r="L30" s="235"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2</v>
      </c>
      <c r="I31" s="366" t="s">
        <v>29</v>
      </c>
      <c r="J31" s="366">
        <v>1</v>
      </c>
      <c r="K31" s="234" t="str">
        <f t="shared" si="5"/>
        <v>1</v>
      </c>
      <c r="L31" s="235" t="str">
        <f>VLOOKUP($B31,Invulblad!$A$11:$S$103,13,0)</f>
        <v>1</v>
      </c>
      <c r="M31" s="211">
        <f>IF(L31&lt;&gt;"",VLOOKUP($B31,Invulblad!$A$11:$S$103,7,0),"")</f>
        <v>2</v>
      </c>
      <c r="N31" s="209" t="s">
        <v>29</v>
      </c>
      <c r="O31" s="211">
        <f>IF(L31&lt;&gt;"",VLOOKUP($B31,Invulblad!$A$11:$S$103,9,0),"")</f>
        <v>1</v>
      </c>
      <c r="P31" s="212">
        <f t="shared" si="8"/>
        <v>10</v>
      </c>
    </row>
    <row r="32" spans="1:16">
      <c r="A32" s="188">
        <v>19</v>
      </c>
      <c r="B32" s="195">
        <v>21</v>
      </c>
      <c r="C32" s="332">
        <v>41809</v>
      </c>
      <c r="D32" s="333">
        <v>0.75</v>
      </c>
      <c r="E32" s="189" t="s">
        <v>428</v>
      </c>
      <c r="F32" s="189" t="s">
        <v>29</v>
      </c>
      <c r="G32" s="189" t="s">
        <v>125</v>
      </c>
      <c r="H32" s="366">
        <v>1</v>
      </c>
      <c r="I32" s="366" t="s">
        <v>29</v>
      </c>
      <c r="J32" s="366">
        <v>3</v>
      </c>
      <c r="K32" s="234">
        <f t="shared" si="5"/>
        <v>2</v>
      </c>
      <c r="L32" s="235" t="str">
        <f>VLOOKUP($B32,Invulblad!$A$11:$S$103,13,0)</f>
        <v>1</v>
      </c>
      <c r="M32" s="211">
        <f>IF(L32&lt;&gt;"",VLOOKUP($B32,Invulblad!$A$11:$S$103,7,0),"")</f>
        <v>2</v>
      </c>
      <c r="N32" s="209" t="s">
        <v>29</v>
      </c>
      <c r="O32" s="211">
        <f>IF(L32&lt;&gt;"",VLOOKUP($B32,Invulblad!$A$11:$S$103,9,0),"")</f>
        <v>1</v>
      </c>
      <c r="P32" s="212">
        <f t="shared" si="8"/>
        <v>0</v>
      </c>
    </row>
    <row r="33" spans="1:16">
      <c r="A33" s="188">
        <v>20</v>
      </c>
      <c r="B33" s="195">
        <v>22</v>
      </c>
      <c r="C33" s="332">
        <v>41810</v>
      </c>
      <c r="D33" s="333">
        <v>0</v>
      </c>
      <c r="E33" s="189" t="s">
        <v>118</v>
      </c>
      <c r="F33" s="189" t="s">
        <v>29</v>
      </c>
      <c r="G33" s="189" t="s">
        <v>105</v>
      </c>
      <c r="H33" s="366">
        <v>2</v>
      </c>
      <c r="I33" s="366" t="s">
        <v>29</v>
      </c>
      <c r="J33" s="366">
        <v>0</v>
      </c>
      <c r="K33" s="234" t="str">
        <f t="shared" si="5"/>
        <v>1</v>
      </c>
      <c r="L33" s="235">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1</v>
      </c>
      <c r="I34" s="366" t="s">
        <v>29</v>
      </c>
      <c r="J34" s="366">
        <v>2</v>
      </c>
      <c r="K34" s="234">
        <f t="shared" si="5"/>
        <v>2</v>
      </c>
      <c r="L34" s="235">
        <f>VLOOKUP($B34,Invulblad!$A$11:$S$103,13,0)</f>
        <v>2</v>
      </c>
      <c r="M34" s="211">
        <f>IF(L34&lt;&gt;"",VLOOKUP($B34,Invulblad!$A$11:$S$103,7,0),"")</f>
        <v>1</v>
      </c>
      <c r="N34" s="209" t="s">
        <v>29</v>
      </c>
      <c r="O34" s="211">
        <f>IF(L34&lt;&gt;"",VLOOKUP($B34,Invulblad!$A$11:$S$103,9,0),"")</f>
        <v>4</v>
      </c>
      <c r="P34" s="212">
        <f t="shared" si="8"/>
        <v>5</v>
      </c>
    </row>
    <row r="35" spans="1:16">
      <c r="A35" s="188">
        <v>22</v>
      </c>
      <c r="B35" s="195">
        <v>38</v>
      </c>
      <c r="C35" s="332">
        <v>41814</v>
      </c>
      <c r="D35" s="333">
        <v>0.91666666666666663</v>
      </c>
      <c r="E35" s="189" t="s">
        <v>233</v>
      </c>
      <c r="F35" s="189" t="s">
        <v>29</v>
      </c>
      <c r="G35" s="189" t="s">
        <v>125</v>
      </c>
      <c r="H35" s="366">
        <v>0</v>
      </c>
      <c r="I35" s="366" t="s">
        <v>29</v>
      </c>
      <c r="J35" s="366">
        <v>3</v>
      </c>
      <c r="K35" s="234">
        <f t="shared" si="5"/>
        <v>2</v>
      </c>
      <c r="L35" s="235"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201"/>
      <c r="I36" s="201"/>
      <c r="J36" s="201"/>
      <c r="K36" s="236" t="str">
        <f t="shared" si="5"/>
        <v/>
      </c>
      <c r="L36" s="235"/>
      <c r="M36" s="211" t="str">
        <f>IF(L36&lt;&gt;"",VLOOKUP($B36,Invulblad!$A$11:$S$103,7,0),"")</f>
        <v/>
      </c>
      <c r="N36" s="209"/>
      <c r="O36" s="211" t="str">
        <f>IF(L36&lt;&gt;"",VLOOKUP($B36,Invulblad!$A$11:$S$103,9,0),"")</f>
        <v/>
      </c>
    </row>
    <row r="37" spans="1:16" ht="15" customHeight="1">
      <c r="B37" s="201" t="s">
        <v>272</v>
      </c>
      <c r="C37" s="189" t="s">
        <v>420</v>
      </c>
      <c r="D37" s="189" t="s">
        <v>421</v>
      </c>
      <c r="E37" s="189" t="s">
        <v>145</v>
      </c>
      <c r="F37" s="189" t="s">
        <v>29</v>
      </c>
      <c r="G37" s="189" t="s">
        <v>145</v>
      </c>
      <c r="H37" s="365" t="s">
        <v>93</v>
      </c>
      <c r="I37" s="365"/>
      <c r="J37" s="365"/>
      <c r="K37" s="236"/>
      <c r="L37" s="235"/>
      <c r="M37" s="211"/>
      <c r="N37" s="209"/>
      <c r="O37" s="211"/>
    </row>
    <row r="38" spans="1:16">
      <c r="A38" s="188">
        <v>25</v>
      </c>
      <c r="B38" s="195">
        <v>7</v>
      </c>
      <c r="C38" s="332">
        <v>41804</v>
      </c>
      <c r="D38" s="333">
        <v>0.875</v>
      </c>
      <c r="E38" s="189" t="s">
        <v>231</v>
      </c>
      <c r="F38" s="189" t="s">
        <v>29</v>
      </c>
      <c r="G38" s="189" t="s">
        <v>430</v>
      </c>
      <c r="H38" s="366">
        <v>3</v>
      </c>
      <c r="I38" s="366" t="s">
        <v>29</v>
      </c>
      <c r="J38" s="366">
        <v>0</v>
      </c>
      <c r="K38" s="234" t="str">
        <f t="shared" si="5"/>
        <v>1</v>
      </c>
      <c r="L38" s="235">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2</v>
      </c>
      <c r="K39" s="234">
        <f t="shared" si="5"/>
        <v>2</v>
      </c>
      <c r="L39" s="235">
        <f>VLOOKUP($B39,Invulblad!$A$11:$S$103,13,0)</f>
        <v>2</v>
      </c>
      <c r="M39" s="211">
        <f>IF(L39&lt;&gt;"",VLOOKUP($B39,Invulblad!$A$11:$S$103,7,0),"")</f>
        <v>1</v>
      </c>
      <c r="N39" s="209" t="s">
        <v>29</v>
      </c>
      <c r="O39" s="211">
        <f>IF(L39&lt;&gt;"",VLOOKUP($B39,Invulblad!$A$11:$S$103,9,0),"")</f>
        <v>2</v>
      </c>
      <c r="P39" s="212">
        <f t="shared" si="9"/>
        <v>10</v>
      </c>
    </row>
    <row r="40" spans="1:16">
      <c r="A40" s="188">
        <v>27</v>
      </c>
      <c r="B40" s="195">
        <v>23</v>
      </c>
      <c r="C40" s="332">
        <v>41809</v>
      </c>
      <c r="D40" s="333">
        <v>0.875</v>
      </c>
      <c r="E40" s="189" t="s">
        <v>231</v>
      </c>
      <c r="F40" s="189" t="s">
        <v>29</v>
      </c>
      <c r="G40" s="189" t="s">
        <v>112</v>
      </c>
      <c r="H40" s="366">
        <v>2</v>
      </c>
      <c r="I40" s="366" t="s">
        <v>29</v>
      </c>
      <c r="J40" s="366">
        <v>0</v>
      </c>
      <c r="K40" s="234" t="str">
        <f t="shared" si="5"/>
        <v>1</v>
      </c>
      <c r="L40" s="235" t="str">
        <f>VLOOKUP($B40,Invulblad!$A$11:$S$103,13,0)</f>
        <v>1</v>
      </c>
      <c r="M40" s="211">
        <f>IF(L40&lt;&gt;"",VLOOKUP($B40,Invulblad!$A$11:$S$103,7,0),"")</f>
        <v>2</v>
      </c>
      <c r="N40" s="209" t="s">
        <v>29</v>
      </c>
      <c r="O40" s="211">
        <f>IF(L40&lt;&gt;"",VLOOKUP($B40,Invulblad!$A$11:$S$103,9,0),"")</f>
        <v>1</v>
      </c>
      <c r="P40" s="212">
        <f t="shared" si="9"/>
        <v>5</v>
      </c>
    </row>
    <row r="41" spans="1:16">
      <c r="A41" s="188">
        <v>28</v>
      </c>
      <c r="B41" s="195">
        <v>24</v>
      </c>
      <c r="C41" s="332">
        <v>41810</v>
      </c>
      <c r="D41" s="333">
        <v>0.75</v>
      </c>
      <c r="E41" s="189" t="s">
        <v>564</v>
      </c>
      <c r="F41" s="189" t="s">
        <v>29</v>
      </c>
      <c r="G41" s="189" t="s">
        <v>430</v>
      </c>
      <c r="H41" s="366">
        <v>2</v>
      </c>
      <c r="I41" s="366" t="s">
        <v>29</v>
      </c>
      <c r="J41" s="366">
        <v>0</v>
      </c>
      <c r="K41" s="234" t="str">
        <f t="shared" si="5"/>
        <v>1</v>
      </c>
      <c r="L41" s="235">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2</v>
      </c>
      <c r="I42" s="366" t="s">
        <v>29</v>
      </c>
      <c r="J42" s="366">
        <v>3</v>
      </c>
      <c r="K42" s="234">
        <f t="shared" si="5"/>
        <v>2</v>
      </c>
      <c r="L42" s="235">
        <f>VLOOKUP($B42,Invulblad!$A$11:$S$103,13,0)</f>
        <v>2</v>
      </c>
      <c r="M42" s="211">
        <f>IF(L42&lt;&gt;"",VLOOKUP($B42,Invulblad!$A$11:$S$103,7,0),"")</f>
        <v>0</v>
      </c>
      <c r="N42" s="209" t="s">
        <v>29</v>
      </c>
      <c r="O42" s="211">
        <f>IF(L42&lt;&gt;"",VLOOKUP($B42,Invulblad!$A$11:$S$103,9,0),"")</f>
        <v>1</v>
      </c>
      <c r="P42" s="212">
        <f t="shared" si="9"/>
        <v>5</v>
      </c>
    </row>
    <row r="43" spans="1:16">
      <c r="A43" s="188">
        <v>30</v>
      </c>
      <c r="B43" s="195">
        <v>40</v>
      </c>
      <c r="C43" s="332">
        <v>41814</v>
      </c>
      <c r="D43" s="333">
        <v>0.75</v>
      </c>
      <c r="E43" s="189" t="s">
        <v>433</v>
      </c>
      <c r="F43" s="189" t="s">
        <v>29</v>
      </c>
      <c r="G43" s="189" t="s">
        <v>112</v>
      </c>
      <c r="H43" s="366">
        <v>0</v>
      </c>
      <c r="I43" s="366" t="s">
        <v>29</v>
      </c>
      <c r="J43" s="366">
        <v>2</v>
      </c>
      <c r="K43" s="234">
        <f t="shared" si="5"/>
        <v>2</v>
      </c>
      <c r="L43" s="235">
        <f>VLOOKUP($B43,Invulblad!$A$11:$S$103,13,0)</f>
        <v>3</v>
      </c>
      <c r="M43" s="211">
        <f>IF(L43&lt;&gt;"",VLOOKUP($B43,Invulblad!$A$11:$S$103,7,0),"")</f>
        <v>0</v>
      </c>
      <c r="N43" s="209" t="s">
        <v>29</v>
      </c>
      <c r="O43" s="211">
        <f>IF(L43&lt;&gt;"",VLOOKUP($B43,Invulblad!$A$11:$S$103,9,0),"")</f>
        <v>0</v>
      </c>
      <c r="P43" s="212">
        <f t="shared" si="9"/>
        <v>0</v>
      </c>
    </row>
    <row r="44" spans="1:16">
      <c r="A44" s="188">
        <v>31</v>
      </c>
      <c r="B44" s="201" t="s">
        <v>34</v>
      </c>
      <c r="H44" s="201"/>
      <c r="I44" s="201"/>
      <c r="J44" s="201"/>
      <c r="K44" s="236" t="str">
        <f t="shared" si="5"/>
        <v/>
      </c>
      <c r="L44" s="235"/>
      <c r="M44" s="211" t="str">
        <f>IF(L44&lt;&gt;"",VLOOKUP($B44,Invulblad!$A$11:$S$103,7,0),"")</f>
        <v/>
      </c>
      <c r="N44" s="209"/>
      <c r="O44" s="211" t="str">
        <f>IF(L44&lt;&gt;"",VLOOKUP($B44,Invulblad!$A$11:$S$103,9,0),"")</f>
        <v/>
      </c>
    </row>
    <row r="45" spans="1:16" ht="15" customHeight="1">
      <c r="B45" s="201" t="s">
        <v>272</v>
      </c>
      <c r="C45" s="189" t="s">
        <v>420</v>
      </c>
      <c r="D45" s="189" t="s">
        <v>421</v>
      </c>
      <c r="E45" s="189" t="s">
        <v>145</v>
      </c>
      <c r="F45" s="189" t="s">
        <v>29</v>
      </c>
      <c r="G45" s="189" t="s">
        <v>145</v>
      </c>
      <c r="H45" s="365" t="s">
        <v>93</v>
      </c>
      <c r="I45" s="365"/>
      <c r="J45" s="365"/>
      <c r="K45" s="236"/>
      <c r="L45" s="235"/>
      <c r="M45" s="211"/>
      <c r="N45" s="209"/>
      <c r="O45" s="211"/>
    </row>
    <row r="46" spans="1:16">
      <c r="A46" s="188">
        <v>33</v>
      </c>
      <c r="B46" s="195">
        <v>9</v>
      </c>
      <c r="C46" s="332">
        <v>41805</v>
      </c>
      <c r="D46" s="333">
        <v>0.75</v>
      </c>
      <c r="E46" s="189" t="s">
        <v>134</v>
      </c>
      <c r="F46" s="189" t="s">
        <v>29</v>
      </c>
      <c r="G46" s="189" t="s">
        <v>434</v>
      </c>
      <c r="H46" s="366">
        <v>0</v>
      </c>
      <c r="I46" s="366" t="s">
        <v>29</v>
      </c>
      <c r="J46" s="366">
        <v>1</v>
      </c>
      <c r="K46" s="234">
        <f t="shared" si="5"/>
        <v>2</v>
      </c>
      <c r="L46" s="235" t="str">
        <f>VLOOKUP($B46,Invulblad!$A$11:$S$103,13,0)</f>
        <v>1</v>
      </c>
      <c r="M46" s="211">
        <f>IF(L46&lt;&gt;"",VLOOKUP($B46,Invulblad!$A$11:$S$103,7,0),"")</f>
        <v>2</v>
      </c>
      <c r="N46" s="209" t="s">
        <v>29</v>
      </c>
      <c r="O46" s="211">
        <f>IF(L46&lt;&gt;"",VLOOKUP($B46,Invulblad!$A$11:$S$103,9,0),"")</f>
        <v>1</v>
      </c>
      <c r="P46" s="212">
        <f t="shared" ref="P46:P51" si="10">IF(L46&lt;&gt;"",IF(AND(M46=H46,O46=J46),10,IF(K46=L46,5,0)),"")</f>
        <v>0</v>
      </c>
    </row>
    <row r="47" spans="1:16">
      <c r="A47" s="188">
        <v>34</v>
      </c>
      <c r="B47" s="195">
        <v>10</v>
      </c>
      <c r="C47" s="332">
        <v>41805</v>
      </c>
      <c r="D47" s="333">
        <v>0.875</v>
      </c>
      <c r="E47" s="189" t="s">
        <v>100</v>
      </c>
      <c r="F47" s="189" t="s">
        <v>29</v>
      </c>
      <c r="G47" s="189" t="s">
        <v>132</v>
      </c>
      <c r="H47" s="366">
        <v>4</v>
      </c>
      <c r="I47" s="366" t="s">
        <v>29</v>
      </c>
      <c r="J47" s="366">
        <v>0</v>
      </c>
      <c r="K47" s="234" t="str">
        <f t="shared" si="5"/>
        <v>1</v>
      </c>
      <c r="L47" s="235"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0</v>
      </c>
      <c r="I48" s="366" t="s">
        <v>29</v>
      </c>
      <c r="J48" s="366">
        <v>3</v>
      </c>
      <c r="K48" s="234">
        <f t="shared" si="5"/>
        <v>2</v>
      </c>
      <c r="L48" s="235">
        <f>VLOOKUP($B48,Invulblad!$A$11:$S$103,13,0)</f>
        <v>2</v>
      </c>
      <c r="M48" s="211">
        <f>IF(L48&lt;&gt;"",VLOOKUP($B48,Invulblad!$A$11:$S$103,7,0),"")</f>
        <v>2</v>
      </c>
      <c r="N48" s="209" t="s">
        <v>29</v>
      </c>
      <c r="O48" s="211">
        <f>IF(L48&lt;&gt;"",VLOOKUP($B48,Invulblad!$A$11:$S$103,9,0),"")</f>
        <v>5</v>
      </c>
      <c r="P48" s="212">
        <f t="shared" si="10"/>
        <v>5</v>
      </c>
    </row>
    <row r="49" spans="1:16">
      <c r="A49" s="188">
        <v>36</v>
      </c>
      <c r="B49" s="195">
        <v>26</v>
      </c>
      <c r="C49" s="332">
        <v>41811</v>
      </c>
      <c r="D49" s="333">
        <v>0</v>
      </c>
      <c r="E49" s="189" t="s">
        <v>127</v>
      </c>
      <c r="F49" s="189" t="s">
        <v>29</v>
      </c>
      <c r="G49" s="189" t="s">
        <v>434</v>
      </c>
      <c r="H49" s="366">
        <v>0</v>
      </c>
      <c r="I49" s="366" t="s">
        <v>29</v>
      </c>
      <c r="J49" s="366">
        <v>2</v>
      </c>
      <c r="K49" s="234">
        <f t="shared" si="5"/>
        <v>2</v>
      </c>
      <c r="L49" s="235">
        <f>VLOOKUP($B49,Invulblad!$A$11:$S$103,13,0)</f>
        <v>2</v>
      </c>
      <c r="M49" s="211">
        <f>IF(L49&lt;&gt;"",VLOOKUP($B49,Invulblad!$A$11:$S$103,7,0),"")</f>
        <v>1</v>
      </c>
      <c r="N49" s="209" t="s">
        <v>29</v>
      </c>
      <c r="O49" s="211">
        <f>IF(L49&lt;&gt;"",VLOOKUP($B49,Invulblad!$A$11:$S$103,9,0),"")</f>
        <v>2</v>
      </c>
      <c r="P49" s="212">
        <f t="shared" si="10"/>
        <v>5</v>
      </c>
    </row>
    <row r="50" spans="1:16">
      <c r="A50" s="188">
        <v>37</v>
      </c>
      <c r="B50" s="195">
        <v>41</v>
      </c>
      <c r="C50" s="332">
        <v>41815</v>
      </c>
      <c r="D50" s="333">
        <v>0.91666666666666663</v>
      </c>
      <c r="E50" s="189" t="s">
        <v>127</v>
      </c>
      <c r="F50" s="189" t="s">
        <v>29</v>
      </c>
      <c r="G50" s="189" t="s">
        <v>130</v>
      </c>
      <c r="H50" s="366">
        <v>0</v>
      </c>
      <c r="I50" s="366" t="s">
        <v>29</v>
      </c>
      <c r="J50" s="366">
        <v>0</v>
      </c>
      <c r="K50" s="234">
        <f t="shared" ref="K50:K85" si="11">IF(AND(H50="",J50=""),"",IF(OR(H50="",J50=""),"FOUT",IF(H50&gt;J50,"1",IF(H50=J50,3,2))))</f>
        <v>3</v>
      </c>
      <c r="L50" s="235">
        <f>VLOOKUP($B50,Invulblad!$A$11:$S$103,13,0)</f>
        <v>2</v>
      </c>
      <c r="M50" s="211">
        <f>IF(L50&lt;&gt;"",VLOOKUP($B50,Invulblad!$A$11:$S$103,7,0),"")</f>
        <v>0</v>
      </c>
      <c r="N50" s="209" t="s">
        <v>29</v>
      </c>
      <c r="O50" s="211">
        <f>IF(L50&lt;&gt;"",VLOOKUP($B50,Invulblad!$A$11:$S$103,9,0),"")</f>
        <v>3</v>
      </c>
      <c r="P50" s="212">
        <f t="shared" si="10"/>
        <v>0</v>
      </c>
    </row>
    <row r="51" spans="1:16">
      <c r="A51" s="188">
        <v>38</v>
      </c>
      <c r="B51" s="195">
        <v>42</v>
      </c>
      <c r="C51" s="332">
        <v>41815</v>
      </c>
      <c r="D51" s="333">
        <v>0.91666666666666663</v>
      </c>
      <c r="E51" s="189" t="s">
        <v>435</v>
      </c>
      <c r="F51" s="189" t="s">
        <v>29</v>
      </c>
      <c r="G51" s="189" t="s">
        <v>98</v>
      </c>
      <c r="H51" s="366">
        <v>1</v>
      </c>
      <c r="I51" s="366" t="s">
        <v>29</v>
      </c>
      <c r="J51" s="366">
        <v>2</v>
      </c>
      <c r="K51" s="234">
        <f t="shared" si="11"/>
        <v>2</v>
      </c>
      <c r="L51" s="235">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201"/>
      <c r="I52" s="201"/>
      <c r="J52" s="201"/>
      <c r="K52" s="236" t="str">
        <f t="shared" si="11"/>
        <v/>
      </c>
      <c r="L52" s="235"/>
      <c r="M52" s="211" t="str">
        <f>IF(L52&lt;&gt;"",VLOOKUP($B52,Invulblad!$A$11:$S$103,7,0),"")</f>
        <v/>
      </c>
      <c r="N52" s="209"/>
      <c r="O52" s="211" t="str">
        <f>IF(L52&lt;&gt;"",VLOOKUP($B52,Invulblad!$A$11:$S$103,9,0),"")</f>
        <v/>
      </c>
    </row>
    <row r="53" spans="1:16" ht="15" customHeight="1">
      <c r="B53" s="201" t="s">
        <v>272</v>
      </c>
      <c r="C53" s="189" t="s">
        <v>420</v>
      </c>
      <c r="D53" s="189" t="s">
        <v>421</v>
      </c>
      <c r="E53" s="189" t="s">
        <v>145</v>
      </c>
      <c r="F53" s="189" t="s">
        <v>29</v>
      </c>
      <c r="G53" s="189" t="s">
        <v>145</v>
      </c>
      <c r="H53" s="365" t="s">
        <v>93</v>
      </c>
      <c r="I53" s="365"/>
      <c r="J53" s="365"/>
      <c r="K53" s="236"/>
      <c r="L53" s="235"/>
      <c r="M53" s="211"/>
      <c r="N53" s="209"/>
      <c r="O53" s="211"/>
    </row>
    <row r="54" spans="1:16">
      <c r="A54" s="188">
        <v>41</v>
      </c>
      <c r="B54" s="195">
        <v>11</v>
      </c>
      <c r="C54" s="332">
        <v>41806</v>
      </c>
      <c r="D54" s="333">
        <v>0</v>
      </c>
      <c r="E54" s="189" t="s">
        <v>565</v>
      </c>
      <c r="F54" s="189" t="s">
        <v>29</v>
      </c>
      <c r="G54" s="189" t="s">
        <v>566</v>
      </c>
      <c r="H54" s="366">
        <v>3</v>
      </c>
      <c r="I54" s="366" t="s">
        <v>29</v>
      </c>
      <c r="J54" s="366">
        <v>0</v>
      </c>
      <c r="K54" s="234" t="str">
        <f t="shared" si="11"/>
        <v>1</v>
      </c>
      <c r="L54" s="235"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2">
        <v>41806</v>
      </c>
      <c r="D55" s="333">
        <v>0.875</v>
      </c>
      <c r="E55" s="189" t="s">
        <v>438</v>
      </c>
      <c r="F55" s="189" t="s">
        <v>29</v>
      </c>
      <c r="G55" s="189" t="s">
        <v>103</v>
      </c>
      <c r="H55" s="366">
        <v>1</v>
      </c>
      <c r="I55" s="366" t="s">
        <v>29</v>
      </c>
      <c r="J55" s="366">
        <v>2</v>
      </c>
      <c r="K55" s="234">
        <f t="shared" si="11"/>
        <v>2</v>
      </c>
      <c r="L55" s="235">
        <f>VLOOKUP($B55,Invulblad!$A$11:$S$103,13,0)</f>
        <v>3</v>
      </c>
      <c r="M55" s="211">
        <f>IF(L55&lt;&gt;"",VLOOKUP($B55,Invulblad!$A$11:$S$103,7,0),"")</f>
        <v>0</v>
      </c>
      <c r="N55" s="209" t="s">
        <v>29</v>
      </c>
      <c r="O55" s="211">
        <f>IF(L55&lt;&gt;"",VLOOKUP($B55,Invulblad!$A$11:$S$103,9,0),"")</f>
        <v>0</v>
      </c>
      <c r="P55" s="212">
        <f t="shared" si="12"/>
        <v>0</v>
      </c>
    </row>
    <row r="56" spans="1:16">
      <c r="A56" s="188">
        <v>43</v>
      </c>
      <c r="B56" s="195">
        <v>27</v>
      </c>
      <c r="C56" s="332">
        <v>41811</v>
      </c>
      <c r="D56" s="333">
        <v>0.75</v>
      </c>
      <c r="E56" s="189" t="s">
        <v>565</v>
      </c>
      <c r="F56" s="189" t="s">
        <v>29</v>
      </c>
      <c r="G56" s="189" t="s">
        <v>439</v>
      </c>
      <c r="H56" s="366">
        <v>4</v>
      </c>
      <c r="I56" s="366" t="s">
        <v>29</v>
      </c>
      <c r="J56" s="366">
        <v>0</v>
      </c>
      <c r="K56" s="234" t="str">
        <f t="shared" si="11"/>
        <v>1</v>
      </c>
      <c r="L56" s="235"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1</v>
      </c>
      <c r="I57" s="366" t="s">
        <v>29</v>
      </c>
      <c r="J57" s="366">
        <v>0</v>
      </c>
      <c r="K57" s="234" t="str">
        <f t="shared" si="11"/>
        <v>1</v>
      </c>
      <c r="L57" s="235" t="str">
        <f>VLOOKUP($B57,Invulblad!$A$11:$S$103,13,0)</f>
        <v>1</v>
      </c>
      <c r="M57" s="211">
        <f>IF(L57&lt;&gt;"",VLOOKUP($B57,Invulblad!$A$11:$S$103,7,0),"")</f>
        <v>1</v>
      </c>
      <c r="N57" s="209" t="s">
        <v>29</v>
      </c>
      <c r="O57" s="211">
        <f>IF(L57&lt;&gt;"",VLOOKUP($B57,Invulblad!$A$11:$S$103,9,0),"")</f>
        <v>0</v>
      </c>
      <c r="P57" s="212">
        <f t="shared" si="12"/>
        <v>10</v>
      </c>
    </row>
    <row r="58" spans="1:16">
      <c r="A58" s="188">
        <v>45</v>
      </c>
      <c r="B58" s="195">
        <v>43</v>
      </c>
      <c r="C58" s="332">
        <v>41815</v>
      </c>
      <c r="D58" s="333">
        <v>0.75</v>
      </c>
      <c r="E58" s="189" t="s">
        <v>234</v>
      </c>
      <c r="F58" s="189" t="s">
        <v>29</v>
      </c>
      <c r="G58" s="189" t="s">
        <v>567</v>
      </c>
      <c r="H58" s="366">
        <v>1</v>
      </c>
      <c r="I58" s="366" t="s">
        <v>29</v>
      </c>
      <c r="J58" s="366">
        <v>3</v>
      </c>
      <c r="K58" s="234">
        <f t="shared" si="11"/>
        <v>2</v>
      </c>
      <c r="L58" s="235">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0</v>
      </c>
      <c r="I59" s="366" t="s">
        <v>29</v>
      </c>
      <c r="J59" s="366">
        <v>1</v>
      </c>
      <c r="K59" s="234">
        <f t="shared" si="11"/>
        <v>2</v>
      </c>
      <c r="L59" s="235" t="str">
        <f>VLOOKUP($B59,Invulblad!$A$11:$S$103,13,0)</f>
        <v>1</v>
      </c>
      <c r="M59" s="211">
        <f>IF(L59&lt;&gt;"",VLOOKUP($B59,Invulblad!$A$11:$S$103,7,0),"")</f>
        <v>3</v>
      </c>
      <c r="N59" s="209" t="s">
        <v>29</v>
      </c>
      <c r="O59" s="211">
        <f>IF(L59&lt;&gt;"",VLOOKUP($B59,Invulblad!$A$11:$S$103,9,0),"")</f>
        <v>1</v>
      </c>
      <c r="P59" s="212">
        <f t="shared" si="12"/>
        <v>0</v>
      </c>
    </row>
    <row r="60" spans="1:16">
      <c r="A60" s="188">
        <v>47</v>
      </c>
      <c r="B60" s="201" t="s">
        <v>36</v>
      </c>
      <c r="H60" s="201"/>
      <c r="I60" s="201"/>
      <c r="J60" s="201"/>
      <c r="K60" s="236" t="str">
        <f t="shared" si="11"/>
        <v/>
      </c>
      <c r="L60" s="235"/>
      <c r="M60" s="211" t="str">
        <f>IF(L60&lt;&gt;"",VLOOKUP($B60,Invulblad!$A$11:$S$103,7,0),"")</f>
        <v/>
      </c>
      <c r="N60" s="209"/>
      <c r="O60" s="211" t="str">
        <f>IF(L60&lt;&gt;"",VLOOKUP($B60,Invulblad!$A$11:$S$103,9,0),"")</f>
        <v/>
      </c>
    </row>
    <row r="61" spans="1:16" ht="15" customHeight="1">
      <c r="B61" s="201" t="s">
        <v>272</v>
      </c>
      <c r="C61" s="189" t="s">
        <v>420</v>
      </c>
      <c r="D61" s="189" t="s">
        <v>421</v>
      </c>
      <c r="E61" s="189" t="s">
        <v>145</v>
      </c>
      <c r="F61" s="189" t="s">
        <v>29</v>
      </c>
      <c r="G61" s="189" t="s">
        <v>145</v>
      </c>
      <c r="H61" s="365" t="s">
        <v>93</v>
      </c>
      <c r="I61" s="365"/>
      <c r="J61" s="365"/>
      <c r="K61" s="236"/>
      <c r="L61" s="235"/>
      <c r="M61" s="211"/>
      <c r="N61" s="209"/>
      <c r="O61" s="211"/>
    </row>
    <row r="62" spans="1:16">
      <c r="A62" s="188">
        <v>49</v>
      </c>
      <c r="B62" s="195">
        <v>13</v>
      </c>
      <c r="C62" s="332">
        <v>41806</v>
      </c>
      <c r="D62" s="333">
        <v>0.75</v>
      </c>
      <c r="E62" s="189" t="s">
        <v>113</v>
      </c>
      <c r="F62" s="189" t="s">
        <v>29</v>
      </c>
      <c r="G62" s="189" t="s">
        <v>124</v>
      </c>
      <c r="H62" s="366">
        <v>2</v>
      </c>
      <c r="I62" s="366" t="s">
        <v>29</v>
      </c>
      <c r="J62" s="366">
        <v>1</v>
      </c>
      <c r="K62" s="234" t="str">
        <f t="shared" si="11"/>
        <v>1</v>
      </c>
      <c r="L62" s="235" t="str">
        <f>VLOOKUP($B62,Invulblad!$A$11:$S$103,13,0)</f>
        <v>1</v>
      </c>
      <c r="M62" s="211">
        <f>IF(L62&lt;&gt;"",VLOOKUP($B62,Invulblad!$A$11:$S$103,7,0),"")</f>
        <v>4</v>
      </c>
      <c r="N62" s="209" t="s">
        <v>29</v>
      </c>
      <c r="O62" s="211">
        <f>IF(L62&lt;&gt;"",VLOOKUP($B62,Invulblad!$A$11:$S$103,9,0),"")</f>
        <v>0</v>
      </c>
      <c r="P62" s="212">
        <f t="shared" ref="P62:P67" si="13">IF(L62&lt;&gt;"",IF(AND(M62=H62,O62=J62),10,IF(K62=L62,5,0)),"")</f>
        <v>5</v>
      </c>
    </row>
    <row r="63" spans="1:16">
      <c r="A63" s="188">
        <v>50</v>
      </c>
      <c r="B63" s="195">
        <v>14</v>
      </c>
      <c r="C63" s="332">
        <v>41807</v>
      </c>
      <c r="D63" s="333">
        <v>0</v>
      </c>
      <c r="E63" s="189" t="s">
        <v>115</v>
      </c>
      <c r="F63" s="189" t="s">
        <v>29</v>
      </c>
      <c r="G63" s="189" t="s">
        <v>577</v>
      </c>
      <c r="H63" s="366">
        <v>1</v>
      </c>
      <c r="I63" s="366" t="s">
        <v>29</v>
      </c>
      <c r="J63" s="366">
        <v>2</v>
      </c>
      <c r="K63" s="234">
        <f t="shared" si="11"/>
        <v>2</v>
      </c>
      <c r="L63" s="235">
        <f>VLOOKUP($B63,Invulblad!$A$11:$S$103,13,0)</f>
        <v>2</v>
      </c>
      <c r="M63" s="211">
        <f>IF(L63&lt;&gt;"",VLOOKUP($B63,Invulblad!$A$11:$S$103,7,0),"")</f>
        <v>1</v>
      </c>
      <c r="N63" s="209" t="s">
        <v>29</v>
      </c>
      <c r="O63" s="211">
        <f>IF(L63&lt;&gt;"",VLOOKUP($B63,Invulblad!$A$11:$S$103,9,0),"")</f>
        <v>2</v>
      </c>
      <c r="P63" s="212">
        <f t="shared" si="13"/>
        <v>10</v>
      </c>
    </row>
    <row r="64" spans="1:16">
      <c r="A64" s="188">
        <v>51</v>
      </c>
      <c r="B64" s="195">
        <v>29</v>
      </c>
      <c r="C64" s="332">
        <v>41811</v>
      </c>
      <c r="D64" s="333">
        <v>0.875</v>
      </c>
      <c r="E64" s="189" t="s">
        <v>113</v>
      </c>
      <c r="F64" s="189" t="s">
        <v>29</v>
      </c>
      <c r="G64" s="189" t="s">
        <v>114</v>
      </c>
      <c r="H64" s="366">
        <v>2</v>
      </c>
      <c r="I64" s="366" t="s">
        <v>29</v>
      </c>
      <c r="J64" s="366">
        <v>0</v>
      </c>
      <c r="K64" s="234" t="str">
        <f t="shared" si="11"/>
        <v>1</v>
      </c>
      <c r="L64" s="235">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3</v>
      </c>
      <c r="I65" s="366" t="s">
        <v>29</v>
      </c>
      <c r="J65" s="366">
        <v>2</v>
      </c>
      <c r="K65" s="234" t="str">
        <f t="shared" si="11"/>
        <v>1</v>
      </c>
      <c r="L65" s="235">
        <f>VLOOKUP($B65,Invulblad!$A$11:$S$103,13,0)</f>
        <v>3</v>
      </c>
      <c r="M65" s="211">
        <f>IF(L65&lt;&gt;"",VLOOKUP($B65,Invulblad!$A$11:$S$103,7,0),"")</f>
        <v>2</v>
      </c>
      <c r="N65" s="209" t="s">
        <v>29</v>
      </c>
      <c r="O65" s="211">
        <f>IF(L65&lt;&gt;"",VLOOKUP($B65,Invulblad!$A$11:$S$103,9,0),"")</f>
        <v>2</v>
      </c>
      <c r="P65" s="212">
        <f t="shared" si="13"/>
        <v>0</v>
      </c>
    </row>
    <row r="66" spans="1:16">
      <c r="A66" s="188">
        <v>53</v>
      </c>
      <c r="B66" s="195">
        <v>45</v>
      </c>
      <c r="C66" s="332">
        <v>41816</v>
      </c>
      <c r="D66" s="333">
        <v>0.75</v>
      </c>
      <c r="E66" s="189" t="s">
        <v>578</v>
      </c>
      <c r="F66" s="189" t="s">
        <v>29</v>
      </c>
      <c r="G66" s="189" t="s">
        <v>116</v>
      </c>
      <c r="H66" s="366">
        <v>1</v>
      </c>
      <c r="I66" s="366" t="s">
        <v>29</v>
      </c>
      <c r="J66" s="366">
        <v>2</v>
      </c>
      <c r="K66" s="234">
        <f t="shared" si="11"/>
        <v>2</v>
      </c>
      <c r="L66" s="235">
        <f>VLOOKUP($B66,Invulblad!$A$11:$S$103,13,0)</f>
        <v>2</v>
      </c>
      <c r="M66" s="211">
        <f>IF(L66&lt;&gt;"",VLOOKUP($B66,Invulblad!$A$11:$S$103,7,0),"")</f>
        <v>0</v>
      </c>
      <c r="N66" s="209" t="s">
        <v>29</v>
      </c>
      <c r="O66" s="211">
        <f>IF(L66&lt;&gt;"",VLOOKUP($B66,Invulblad!$A$11:$S$103,9,0),"")</f>
        <v>1</v>
      </c>
      <c r="P66" s="212">
        <f t="shared" si="13"/>
        <v>5</v>
      </c>
    </row>
    <row r="67" spans="1:16">
      <c r="A67" s="188">
        <v>54</v>
      </c>
      <c r="B67" s="195">
        <v>46</v>
      </c>
      <c r="C67" s="332">
        <v>41816</v>
      </c>
      <c r="D67" s="333">
        <v>0.75</v>
      </c>
      <c r="E67" s="189" t="s">
        <v>126</v>
      </c>
      <c r="F67" s="189" t="s">
        <v>29</v>
      </c>
      <c r="G67" s="189" t="s">
        <v>114</v>
      </c>
      <c r="H67" s="366">
        <v>1</v>
      </c>
      <c r="I67" s="366" t="s">
        <v>29</v>
      </c>
      <c r="J67" s="366">
        <v>0</v>
      </c>
      <c r="K67" s="234" t="str">
        <f t="shared" si="11"/>
        <v>1</v>
      </c>
      <c r="L67" s="235" t="str">
        <f>VLOOKUP($B67,Invulblad!$A$11:$S$103,13,0)</f>
        <v>1</v>
      </c>
      <c r="M67" s="211">
        <f>IF(L67&lt;&gt;"",VLOOKUP($B67,Invulblad!$A$11:$S$103,7,0),"")</f>
        <v>2</v>
      </c>
      <c r="N67" s="209" t="s">
        <v>29</v>
      </c>
      <c r="O67" s="211">
        <f>IF(L67&lt;&gt;"",VLOOKUP($B67,Invulblad!$A$11:$S$103,9,0),"")</f>
        <v>1</v>
      </c>
      <c r="P67" s="212">
        <f t="shared" si="13"/>
        <v>5</v>
      </c>
    </row>
    <row r="68" spans="1:16">
      <c r="A68" s="188">
        <v>55</v>
      </c>
      <c r="B68" s="201" t="s">
        <v>37</v>
      </c>
      <c r="H68" s="201"/>
      <c r="I68" s="201"/>
      <c r="J68" s="201"/>
      <c r="K68" s="236" t="str">
        <f t="shared" si="11"/>
        <v/>
      </c>
      <c r="L68" s="235"/>
      <c r="M68" s="211" t="str">
        <f>IF(L68&lt;&gt;"",VLOOKUP($B68,Invulblad!$A$11:$S$103,7,0),"")</f>
        <v/>
      </c>
      <c r="N68" s="209"/>
      <c r="O68" s="211" t="str">
        <f>IF(L68&lt;&gt;"",VLOOKUP($B68,Invulblad!$A$11:$S$103,9,0),"")</f>
        <v/>
      </c>
    </row>
    <row r="69" spans="1:16" ht="15" customHeight="1">
      <c r="B69" s="201" t="s">
        <v>272</v>
      </c>
      <c r="C69" s="189" t="s">
        <v>420</v>
      </c>
      <c r="D69" s="189" t="s">
        <v>421</v>
      </c>
      <c r="E69" s="189" t="s">
        <v>145</v>
      </c>
      <c r="F69" s="189" t="s">
        <v>29</v>
      </c>
      <c r="G69" s="189" t="s">
        <v>145</v>
      </c>
      <c r="H69" s="365" t="s">
        <v>93</v>
      </c>
      <c r="I69" s="365"/>
      <c r="J69" s="365"/>
      <c r="K69" s="236"/>
      <c r="L69" s="235"/>
      <c r="M69" s="211"/>
      <c r="N69" s="209"/>
      <c r="O69" s="211"/>
    </row>
    <row r="70" spans="1:16">
      <c r="A70" s="188">
        <v>57</v>
      </c>
      <c r="B70" s="195">
        <v>15</v>
      </c>
      <c r="C70" s="332">
        <v>41807</v>
      </c>
      <c r="D70" s="333">
        <v>0.75</v>
      </c>
      <c r="E70" s="189" t="s">
        <v>569</v>
      </c>
      <c r="F70" s="189" t="s">
        <v>29</v>
      </c>
      <c r="G70" s="189" t="s">
        <v>111</v>
      </c>
      <c r="H70" s="366">
        <v>0</v>
      </c>
      <c r="I70" s="366" t="s">
        <v>29</v>
      </c>
      <c r="J70" s="366">
        <v>0</v>
      </c>
      <c r="K70" s="234">
        <f t="shared" si="11"/>
        <v>3</v>
      </c>
      <c r="L70" s="235" t="str">
        <f>VLOOKUP($B70,Invulblad!$A$11:$S$103,13,0)</f>
        <v>1</v>
      </c>
      <c r="M70" s="211">
        <f>IF(L70&lt;&gt;"",VLOOKUP($B70,Invulblad!$A$11:$S$103,7,0),"")</f>
        <v>2</v>
      </c>
      <c r="N70" s="209" t="s">
        <v>29</v>
      </c>
      <c r="O70" s="211">
        <f>IF(L70&lt;&gt;"",VLOOKUP($B70,Invulblad!$A$11:$S$103,9,0),"")</f>
        <v>1</v>
      </c>
      <c r="P70" s="212">
        <f t="shared" ref="P70:P75" si="14">IF(L70&lt;&gt;"",IF(AND(M70=H70,O70=J70),10,IF(K70=L70,5,0)),"")</f>
        <v>0</v>
      </c>
    </row>
    <row r="71" spans="1:16">
      <c r="A71" s="188">
        <v>58</v>
      </c>
      <c r="B71" s="195">
        <v>16</v>
      </c>
      <c r="C71" s="332">
        <v>41808</v>
      </c>
      <c r="D71" s="333">
        <v>0</v>
      </c>
      <c r="E71" s="189" t="s">
        <v>445</v>
      </c>
      <c r="F71" s="189" t="s">
        <v>29</v>
      </c>
      <c r="G71" s="189" t="s">
        <v>107</v>
      </c>
      <c r="H71" s="366">
        <v>1</v>
      </c>
      <c r="I71" s="366" t="s">
        <v>29</v>
      </c>
      <c r="J71" s="366">
        <v>0</v>
      </c>
      <c r="K71" s="234" t="str">
        <f t="shared" si="11"/>
        <v>1</v>
      </c>
      <c r="L71" s="235">
        <f>VLOOKUP($B71,Invulblad!$A$11:$S$103,13,0)</f>
        <v>3</v>
      </c>
      <c r="M71" s="211">
        <f>IF(L71&lt;&gt;"",VLOOKUP($B71,Invulblad!$A$11:$S$103,7,0),"")</f>
        <v>1</v>
      </c>
      <c r="N71" s="209" t="s">
        <v>29</v>
      </c>
      <c r="O71" s="211">
        <f>IF(L71&lt;&gt;"",VLOOKUP($B71,Invulblad!$A$11:$S$103,9,0),"")</f>
        <v>1</v>
      </c>
      <c r="P71" s="212">
        <f t="shared" si="14"/>
        <v>0</v>
      </c>
    </row>
    <row r="72" spans="1:16">
      <c r="A72" s="188">
        <v>59</v>
      </c>
      <c r="B72" s="195">
        <v>31</v>
      </c>
      <c r="C72" s="332">
        <v>41812</v>
      </c>
      <c r="D72" s="333">
        <v>0.75</v>
      </c>
      <c r="E72" s="189" t="s">
        <v>569</v>
      </c>
      <c r="F72" s="189" t="s">
        <v>29</v>
      </c>
      <c r="G72" s="189" t="s">
        <v>446</v>
      </c>
      <c r="H72" s="366">
        <v>0</v>
      </c>
      <c r="I72" s="366" t="s">
        <v>29</v>
      </c>
      <c r="J72" s="366">
        <v>2</v>
      </c>
      <c r="K72" s="234">
        <f t="shared" si="11"/>
        <v>2</v>
      </c>
      <c r="L72" s="235" t="str">
        <f>VLOOKUP($B72,Invulblad!$A$11:$S$103,13,0)</f>
        <v>1</v>
      </c>
      <c r="M72" s="211">
        <f>IF(L72&lt;&gt;"",VLOOKUP($B72,Invulblad!$A$11:$S$103,7,0),"")</f>
        <v>1</v>
      </c>
      <c r="N72" s="209" t="s">
        <v>29</v>
      </c>
      <c r="O72" s="211">
        <f>IF(L72&lt;&gt;"",VLOOKUP($B72,Invulblad!$A$11:$S$103,9,0),"")</f>
        <v>0</v>
      </c>
      <c r="P72" s="212">
        <f t="shared" si="14"/>
        <v>0</v>
      </c>
    </row>
    <row r="73" spans="1:16">
      <c r="A73" s="188">
        <v>60</v>
      </c>
      <c r="B73" s="195">
        <v>32</v>
      </c>
      <c r="C73" s="332">
        <v>41812</v>
      </c>
      <c r="D73" s="333">
        <v>0.875</v>
      </c>
      <c r="E73" s="189" t="s">
        <v>232</v>
      </c>
      <c r="F73" s="189" t="s">
        <v>29</v>
      </c>
      <c r="G73" s="189" t="s">
        <v>111</v>
      </c>
      <c r="H73" s="366">
        <v>0</v>
      </c>
      <c r="I73" s="366" t="s">
        <v>29</v>
      </c>
      <c r="J73" s="366">
        <v>0</v>
      </c>
      <c r="K73" s="234">
        <f t="shared" si="11"/>
        <v>3</v>
      </c>
      <c r="L73" s="235">
        <f>VLOOKUP($B73,Invulblad!$A$11:$S$103,13,0)</f>
        <v>2</v>
      </c>
      <c r="M73" s="211">
        <f>IF(L73&lt;&gt;"",VLOOKUP($B73,Invulblad!$A$11:$S$103,7,0),"")</f>
        <v>2</v>
      </c>
      <c r="N73" s="209" t="s">
        <v>29</v>
      </c>
      <c r="O73" s="211">
        <f>IF(L73&lt;&gt;"",VLOOKUP($B73,Invulblad!$A$11:$S$103,9,0),"")</f>
        <v>4</v>
      </c>
      <c r="P73" s="212">
        <f t="shared" si="14"/>
        <v>0</v>
      </c>
    </row>
    <row r="74" spans="1:16">
      <c r="A74" s="188">
        <v>61</v>
      </c>
      <c r="B74" s="195">
        <v>47</v>
      </c>
      <c r="C74" s="332">
        <v>41816</v>
      </c>
      <c r="D74" s="333">
        <v>0.91666666666666663</v>
      </c>
      <c r="E74" s="189" t="s">
        <v>232</v>
      </c>
      <c r="F74" s="189" t="s">
        <v>29</v>
      </c>
      <c r="G74" s="189" t="s">
        <v>570</v>
      </c>
      <c r="H74" s="366">
        <v>1</v>
      </c>
      <c r="I74" s="366" t="s">
        <v>29</v>
      </c>
      <c r="J74" s="366">
        <v>0</v>
      </c>
      <c r="K74" s="234" t="str">
        <f t="shared" si="11"/>
        <v>1</v>
      </c>
      <c r="L74" s="235">
        <f>VLOOKUP($B74,Invulblad!$A$11:$S$103,13,0)</f>
        <v>2</v>
      </c>
      <c r="M74" s="211">
        <f>IF(L74&lt;&gt;"",VLOOKUP($B74,Invulblad!$A$11:$S$103,7,0),"")</f>
        <v>0</v>
      </c>
      <c r="N74" s="209" t="s">
        <v>29</v>
      </c>
      <c r="O74" s="211">
        <f>IF(L74&lt;&gt;"",VLOOKUP($B74,Invulblad!$A$11:$S$103,9,0),"")</f>
        <v>1</v>
      </c>
      <c r="P74" s="212">
        <f t="shared" si="14"/>
        <v>0</v>
      </c>
    </row>
    <row r="75" spans="1:16">
      <c r="A75" s="188">
        <v>62</v>
      </c>
      <c r="B75" s="195">
        <v>48</v>
      </c>
      <c r="C75" s="332">
        <v>41816</v>
      </c>
      <c r="D75" s="333">
        <v>0.91666666666666663</v>
      </c>
      <c r="E75" s="189" t="s">
        <v>236</v>
      </c>
      <c r="F75" s="189" t="s">
        <v>29</v>
      </c>
      <c r="G75" s="189" t="s">
        <v>446</v>
      </c>
      <c r="H75" s="366">
        <v>1</v>
      </c>
      <c r="I75" s="366" t="s">
        <v>29</v>
      </c>
      <c r="J75" s="366">
        <v>2</v>
      </c>
      <c r="K75" s="234">
        <f t="shared" si="11"/>
        <v>2</v>
      </c>
      <c r="L75" s="235">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201"/>
      <c r="I76" s="201"/>
      <c r="J76" s="201"/>
      <c r="K76" s="236" t="str">
        <f t="shared" si="11"/>
        <v/>
      </c>
      <c r="L76" s="235"/>
      <c r="M76" s="211" t="str">
        <f>IF(L76&lt;&gt;"",VLOOKUP($B76,Invulblad!$A$11:$S$103,7,0),"")</f>
        <v/>
      </c>
      <c r="N76" s="209"/>
      <c r="O76" s="211" t="str">
        <f>IF(L76&lt;&gt;"",VLOOKUP($B76,Invulblad!$A$11:$S$103,9,0),"")</f>
        <v/>
      </c>
    </row>
    <row r="77" spans="1:16" ht="15" customHeight="1">
      <c r="B77" s="201" t="s">
        <v>272</v>
      </c>
      <c r="C77" s="189" t="s">
        <v>420</v>
      </c>
      <c r="D77" s="189" t="s">
        <v>421</v>
      </c>
      <c r="E77" s="189" t="s">
        <v>145</v>
      </c>
      <c r="F77" s="189" t="s">
        <v>29</v>
      </c>
      <c r="G77" s="189" t="s">
        <v>145</v>
      </c>
      <c r="H77" s="365" t="s">
        <v>93</v>
      </c>
      <c r="I77" s="365"/>
      <c r="J77" s="365"/>
      <c r="K77" s="236"/>
      <c r="L77" s="235"/>
      <c r="M77" s="211"/>
      <c r="N77" s="209"/>
      <c r="O77" s="211"/>
    </row>
    <row r="78" spans="1:16">
      <c r="A78" s="188">
        <v>65</v>
      </c>
      <c r="B78" s="195">
        <v>49</v>
      </c>
      <c r="C78" s="332">
        <v>41818</v>
      </c>
      <c r="D78" s="333">
        <v>0.75</v>
      </c>
      <c r="E78" s="189" t="s">
        <v>199</v>
      </c>
      <c r="F78" s="189" t="s">
        <v>29</v>
      </c>
      <c r="G78" s="189" t="s">
        <v>135</v>
      </c>
      <c r="H78" s="366">
        <v>2</v>
      </c>
      <c r="I78" s="366" t="s">
        <v>29</v>
      </c>
      <c r="J78" s="366">
        <v>0</v>
      </c>
      <c r="K78" s="234" t="str">
        <f t="shared" si="11"/>
        <v>1</v>
      </c>
      <c r="L78" s="235">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200</v>
      </c>
      <c r="F79" s="189" t="s">
        <v>29</v>
      </c>
      <c r="G79" s="189" t="s">
        <v>193</v>
      </c>
      <c r="H79" s="366">
        <v>1</v>
      </c>
      <c r="I79" s="366" t="s">
        <v>29</v>
      </c>
      <c r="J79" s="366">
        <v>2</v>
      </c>
      <c r="K79" s="234">
        <f t="shared" si="11"/>
        <v>2</v>
      </c>
      <c r="L79" s="235"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138</v>
      </c>
      <c r="F80" s="189" t="s">
        <v>29</v>
      </c>
      <c r="G80" s="189" t="s">
        <v>152</v>
      </c>
      <c r="H80" s="366">
        <v>2</v>
      </c>
      <c r="I80" s="366" t="s">
        <v>29</v>
      </c>
      <c r="J80" s="366">
        <v>0</v>
      </c>
      <c r="K80" s="234" t="str">
        <f t="shared" si="11"/>
        <v>1</v>
      </c>
      <c r="L80" s="235"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97</v>
      </c>
      <c r="F81" s="189" t="s">
        <v>29</v>
      </c>
      <c r="G81" s="189" t="s">
        <v>390</v>
      </c>
      <c r="H81" s="366">
        <v>3</v>
      </c>
      <c r="I81" s="366" t="s">
        <v>29</v>
      </c>
      <c r="J81" s="366">
        <v>1</v>
      </c>
      <c r="K81" s="234" t="str">
        <f t="shared" si="11"/>
        <v>1</v>
      </c>
      <c r="L81" s="235">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143</v>
      </c>
      <c r="F82" s="189" t="s">
        <v>29</v>
      </c>
      <c r="G82" s="189" t="s">
        <v>108</v>
      </c>
      <c r="H82" s="366">
        <v>3</v>
      </c>
      <c r="I82" s="366" t="s">
        <v>29</v>
      </c>
      <c r="J82" s="366">
        <v>0</v>
      </c>
      <c r="K82" s="234" t="str">
        <f t="shared" si="11"/>
        <v>1</v>
      </c>
      <c r="L82" s="235" t="str">
        <f>VLOOKUP($B82,Invulblad!$A$11:$S$103,13,0)</f>
        <v>1</v>
      </c>
      <c r="M82" s="211">
        <f>IF(L82&lt;&gt;"",VLOOKUP($B82,Invulblad!$A$11:$S$103,7,0),"")</f>
        <v>2</v>
      </c>
      <c r="N82" s="209" t="s">
        <v>29</v>
      </c>
      <c r="O82" s="211">
        <f>IF(L82&lt;&gt;"",VLOOKUP($B82,Invulblad!$A$11:$S$103,9,0),"")</f>
        <v>0</v>
      </c>
      <c r="P82" s="212">
        <f t="shared" si="15"/>
        <v>5</v>
      </c>
    </row>
    <row r="83" spans="1:16">
      <c r="A83" s="188">
        <v>70</v>
      </c>
      <c r="B83" s="195">
        <v>54</v>
      </c>
      <c r="C83" s="332">
        <v>41820</v>
      </c>
      <c r="D83" s="333">
        <v>0.91666666666666663</v>
      </c>
      <c r="E83" s="189" t="s">
        <v>177</v>
      </c>
      <c r="F83" s="189" t="s">
        <v>29</v>
      </c>
      <c r="G83" s="189" t="s">
        <v>104</v>
      </c>
      <c r="H83" s="366">
        <v>4</v>
      </c>
      <c r="I83" s="366" t="s">
        <v>29</v>
      </c>
      <c r="J83" s="366">
        <v>1</v>
      </c>
      <c r="K83" s="234" t="str">
        <f t="shared" si="11"/>
        <v>1</v>
      </c>
      <c r="L83" s="235"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392</v>
      </c>
      <c r="H84" s="366">
        <v>3</v>
      </c>
      <c r="I84" s="366" t="s">
        <v>29</v>
      </c>
      <c r="J84" s="366">
        <v>0</v>
      </c>
      <c r="K84" s="234" t="str">
        <f t="shared" si="11"/>
        <v>1</v>
      </c>
      <c r="L84" s="235"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396</v>
      </c>
      <c r="F85" s="189" t="s">
        <v>29</v>
      </c>
      <c r="G85" s="189" t="s">
        <v>32</v>
      </c>
      <c r="H85" s="366">
        <v>2</v>
      </c>
      <c r="I85" s="366" t="s">
        <v>29</v>
      </c>
      <c r="J85" s="366">
        <v>2</v>
      </c>
      <c r="K85" s="234">
        <f t="shared" si="11"/>
        <v>3</v>
      </c>
      <c r="L85" s="235"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201"/>
      <c r="I86" s="201"/>
      <c r="J86" s="201"/>
      <c r="K86" s="236" t="str">
        <f t="shared" ref="K86:K101" si="16">IF(AND(H86="",J86=""),"",IF(OR(H86="",J86=""),"FOUT",IF(H86&gt;J86,"1",IF(H86=J86,3,2))))</f>
        <v/>
      </c>
      <c r="L86" s="235"/>
      <c r="M86" s="211" t="str">
        <f>IF(L86&lt;&gt;"",VLOOKUP($B86,Invulblad!$A$11:$S$103,7,0),"")</f>
        <v/>
      </c>
      <c r="N86" s="209"/>
      <c r="O86" s="211" t="str">
        <f>IF(L86&lt;&gt;"",VLOOKUP($B86,Invulblad!$A$11:$S$103,9,0),"")</f>
        <v/>
      </c>
    </row>
    <row r="87" spans="1:16" ht="15" customHeight="1">
      <c r="B87" s="201" t="s">
        <v>272</v>
      </c>
      <c r="C87" s="189" t="s">
        <v>420</v>
      </c>
      <c r="D87" s="189" t="s">
        <v>421</v>
      </c>
      <c r="E87" s="189" t="s">
        <v>145</v>
      </c>
      <c r="F87" s="189" t="s">
        <v>29</v>
      </c>
      <c r="G87" s="189" t="s">
        <v>145</v>
      </c>
      <c r="H87" s="365" t="s">
        <v>93</v>
      </c>
      <c r="I87" s="365"/>
      <c r="J87" s="365"/>
      <c r="K87" s="236"/>
      <c r="L87" s="235"/>
      <c r="M87" s="211"/>
      <c r="N87" s="209"/>
      <c r="O87" s="211"/>
    </row>
    <row r="88" spans="1:16">
      <c r="A88" s="188">
        <v>75</v>
      </c>
      <c r="B88" s="195">
        <v>57</v>
      </c>
      <c r="C88" s="332">
        <v>41824</v>
      </c>
      <c r="D88" s="333">
        <v>0.91666666666666663</v>
      </c>
      <c r="E88" s="189" t="s">
        <v>199</v>
      </c>
      <c r="F88" s="189" t="s">
        <v>29</v>
      </c>
      <c r="G88" s="189" t="s">
        <v>193</v>
      </c>
      <c r="H88" s="366">
        <v>3</v>
      </c>
      <c r="I88" s="366" t="s">
        <v>29</v>
      </c>
      <c r="J88" s="366">
        <v>2</v>
      </c>
      <c r="K88" s="234" t="str">
        <f t="shared" si="16"/>
        <v>1</v>
      </c>
      <c r="L88" s="235" t="str">
        <f>VLOOKUP($B88,Invulblad!$A$11:$S$103,13,0)</f>
        <v>1</v>
      </c>
      <c r="M88" s="211">
        <f>IF(L88&lt;&gt;"",VLOOKUP($B88,Invulblad!$A$11:$S$103,7,0),"")</f>
        <v>2</v>
      </c>
      <c r="N88" s="209" t="s">
        <v>29</v>
      </c>
      <c r="O88" s="211">
        <f>IF(L88&lt;&gt;"",VLOOKUP($B88,Invulblad!$A$11:$S$103,9,0),"")</f>
        <v>1</v>
      </c>
      <c r="P88" s="212">
        <f>IF(L88&lt;&gt;"",IF(AND(M88=H88,O88=J88),10,IF(K88=L88,5,0)),"")</f>
        <v>5</v>
      </c>
    </row>
    <row r="89" spans="1:16">
      <c r="A89" s="188">
        <v>76</v>
      </c>
      <c r="B89" s="195">
        <v>58</v>
      </c>
      <c r="C89" s="332">
        <v>41824</v>
      </c>
      <c r="D89" s="333">
        <v>0.75</v>
      </c>
      <c r="E89" s="189" t="s">
        <v>143</v>
      </c>
      <c r="F89" s="189" t="s">
        <v>29</v>
      </c>
      <c r="G89" s="189" t="s">
        <v>177</v>
      </c>
      <c r="H89" s="366">
        <v>1</v>
      </c>
      <c r="I89" s="366" t="s">
        <v>29</v>
      </c>
      <c r="J89" s="366">
        <v>2</v>
      </c>
      <c r="K89" s="234">
        <f t="shared" si="16"/>
        <v>2</v>
      </c>
      <c r="L89" s="235">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138</v>
      </c>
      <c r="F90" s="189" t="s">
        <v>29</v>
      </c>
      <c r="G90" s="189" t="s">
        <v>97</v>
      </c>
      <c r="H90" s="366">
        <v>2</v>
      </c>
      <c r="I90" s="366" t="s">
        <v>29</v>
      </c>
      <c r="J90" s="366">
        <v>0</v>
      </c>
      <c r="K90" s="234" t="str">
        <f t="shared" si="16"/>
        <v>1</v>
      </c>
      <c r="L90" s="235">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32</v>
      </c>
      <c r="H91" s="366">
        <v>3</v>
      </c>
      <c r="I91" s="366" t="s">
        <v>29</v>
      </c>
      <c r="J91" s="366">
        <v>1</v>
      </c>
      <c r="K91" s="234" t="str">
        <f t="shared" si="16"/>
        <v>1</v>
      </c>
      <c r="L91" s="235"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H92" s="201"/>
      <c r="I92" s="201"/>
      <c r="J92" s="201"/>
      <c r="K92" s="236" t="str">
        <f t="shared" si="16"/>
        <v/>
      </c>
      <c r="L92" s="235"/>
      <c r="M92" s="211" t="str">
        <f>IF(L92&lt;&gt;"",VLOOKUP($B92,Invulblad!$A$11:$S$103,7,0),"")</f>
        <v/>
      </c>
      <c r="O92" s="211" t="str">
        <f>IF(L92&lt;&gt;"",VLOOKUP($B92,Invulblad!$A$11:$S$103,9,0),"")</f>
        <v/>
      </c>
    </row>
    <row r="93" spans="1:16" ht="15" customHeight="1">
      <c r="B93" s="201" t="s">
        <v>272</v>
      </c>
      <c r="C93" s="189" t="s">
        <v>420</v>
      </c>
      <c r="D93" s="189" t="s">
        <v>421</v>
      </c>
      <c r="E93" s="189" t="s">
        <v>145</v>
      </c>
      <c r="F93" s="189" t="s">
        <v>29</v>
      </c>
      <c r="G93" s="189" t="s">
        <v>145</v>
      </c>
      <c r="H93" s="365" t="s">
        <v>93</v>
      </c>
      <c r="I93" s="365"/>
      <c r="J93" s="365"/>
      <c r="K93" s="236"/>
      <c r="L93" s="235"/>
      <c r="M93" s="211"/>
      <c r="O93" s="211"/>
    </row>
    <row r="94" spans="1:16">
      <c r="A94" s="188">
        <v>81</v>
      </c>
      <c r="B94" s="195">
        <v>61</v>
      </c>
      <c r="C94" s="332">
        <v>41828</v>
      </c>
      <c r="D94" s="333">
        <v>0.91666666666666663</v>
      </c>
      <c r="E94" s="189" t="s">
        <v>199</v>
      </c>
      <c r="F94" s="189" t="s">
        <v>29</v>
      </c>
      <c r="G94" s="189" t="s">
        <v>177</v>
      </c>
      <c r="H94" s="366">
        <v>2</v>
      </c>
      <c r="I94" s="366" t="s">
        <v>29</v>
      </c>
      <c r="J94" s="366">
        <v>0</v>
      </c>
      <c r="K94" s="234" t="str">
        <f t="shared" si="16"/>
        <v>1</v>
      </c>
      <c r="L94" s="235">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138</v>
      </c>
      <c r="F95" s="189" t="s">
        <v>29</v>
      </c>
      <c r="G95" s="189" t="s">
        <v>102</v>
      </c>
      <c r="H95" s="366">
        <v>2</v>
      </c>
      <c r="I95" s="366" t="s">
        <v>29</v>
      </c>
      <c r="J95" s="366">
        <v>1</v>
      </c>
      <c r="K95" s="234" t="str">
        <f t="shared" si="16"/>
        <v>1</v>
      </c>
      <c r="L95" s="235">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201"/>
      <c r="I96" s="201"/>
      <c r="J96" s="201"/>
      <c r="K96" s="236" t="str">
        <f t="shared" si="16"/>
        <v/>
      </c>
      <c r="L96" s="235"/>
      <c r="M96" s="211" t="str">
        <f>IF(L96&lt;&gt;"",VLOOKUP($B96,Invulblad!$A$11:$S$103,7,0),"")</f>
        <v/>
      </c>
      <c r="N96" s="209"/>
      <c r="O96" s="211" t="str">
        <f>IF(L96&lt;&gt;"",VLOOKUP($B96,Invulblad!$A$11:$S$103,9,0),"")</f>
        <v/>
      </c>
    </row>
    <row r="97" spans="1:16" ht="15" customHeight="1">
      <c r="B97" s="201" t="s">
        <v>272</v>
      </c>
      <c r="C97" s="189" t="s">
        <v>420</v>
      </c>
      <c r="D97" s="189" t="s">
        <v>421</v>
      </c>
      <c r="E97" s="189" t="s">
        <v>145</v>
      </c>
      <c r="F97" s="189" t="s">
        <v>29</v>
      </c>
      <c r="G97" s="189" t="s">
        <v>145</v>
      </c>
      <c r="H97" s="365" t="s">
        <v>93</v>
      </c>
      <c r="I97" s="365"/>
      <c r="J97" s="365"/>
      <c r="K97" s="236"/>
      <c r="L97" s="235"/>
      <c r="M97" s="211"/>
      <c r="N97" s="209"/>
      <c r="O97" s="211"/>
    </row>
    <row r="98" spans="1:16">
      <c r="A98" s="188">
        <v>85</v>
      </c>
      <c r="B98" s="195">
        <v>63</v>
      </c>
      <c r="C98" s="332">
        <v>41832</v>
      </c>
      <c r="D98" s="333">
        <v>0.91666666666666663</v>
      </c>
      <c r="E98" s="189" t="s">
        <v>177</v>
      </c>
      <c r="F98" s="189" t="s">
        <v>29</v>
      </c>
      <c r="G98" s="189" t="s">
        <v>102</v>
      </c>
      <c r="H98" s="366">
        <v>2</v>
      </c>
      <c r="I98" s="366" t="s">
        <v>29</v>
      </c>
      <c r="J98" s="366">
        <v>3</v>
      </c>
      <c r="K98" s="234">
        <f t="shared" si="16"/>
        <v>2</v>
      </c>
      <c r="L98" s="235">
        <f>VLOOKUP($B98,Invulblad!$A$11:$S$103,13,0)</f>
        <v>2</v>
      </c>
      <c r="M98" s="211">
        <f>IF(L98&lt;&gt;"",VLOOKUP($B98,Invulblad!$A$11:$S$103,7,0),"")</f>
        <v>0</v>
      </c>
      <c r="N98" s="209" t="s">
        <v>29</v>
      </c>
      <c r="O98" s="211">
        <f>IF(L98&lt;&gt;"",VLOOKUP($B98,Invulblad!$A$11:$S$103,9,0),"")</f>
        <v>3</v>
      </c>
      <c r="P98" s="212">
        <f>IF(L98&lt;&gt;"",IF(AND(M98=H98,O98=J98),10,IF(K98=L98,5,0)),"")</f>
        <v>5</v>
      </c>
    </row>
    <row r="99" spans="1:16">
      <c r="A99" s="188">
        <v>86</v>
      </c>
      <c r="B99" s="201" t="s">
        <v>48</v>
      </c>
      <c r="H99" s="201"/>
      <c r="I99" s="201"/>
      <c r="J99" s="201"/>
      <c r="K99" s="236" t="str">
        <f t="shared" si="16"/>
        <v/>
      </c>
      <c r="L99" s="235"/>
      <c r="M99" s="211" t="str">
        <f>IF(L99&lt;&gt;"",VLOOKUP($B99,Invulblad!$A$11:$S$103,7,0),"")</f>
        <v/>
      </c>
      <c r="N99" s="209"/>
      <c r="O99" s="211" t="str">
        <f>IF(L99&lt;&gt;"",VLOOKUP($B99,Invulblad!$A$11:$S$103,9,0),"")</f>
        <v/>
      </c>
    </row>
    <row r="100" spans="1:16" ht="15" customHeight="1">
      <c r="B100" s="201" t="s">
        <v>272</v>
      </c>
      <c r="C100" s="189" t="s">
        <v>420</v>
      </c>
      <c r="D100" s="189" t="s">
        <v>421</v>
      </c>
      <c r="E100" s="189" t="s">
        <v>145</v>
      </c>
      <c r="F100" s="189" t="s">
        <v>29</v>
      </c>
      <c r="G100" s="189" t="s">
        <v>145</v>
      </c>
      <c r="H100" s="365" t="s">
        <v>93</v>
      </c>
      <c r="I100" s="365"/>
      <c r="J100" s="365"/>
      <c r="K100" s="236"/>
      <c r="L100" s="235"/>
      <c r="M100" s="211"/>
      <c r="N100" s="209"/>
      <c r="O100" s="211"/>
    </row>
    <row r="101" spans="1:16">
      <c r="A101" s="188">
        <v>88</v>
      </c>
      <c r="B101" s="195">
        <v>64</v>
      </c>
      <c r="C101" s="332">
        <v>41833</v>
      </c>
      <c r="D101" s="333">
        <v>0.875</v>
      </c>
      <c r="E101" s="189" t="s">
        <v>199</v>
      </c>
      <c r="F101" s="189" t="s">
        <v>29</v>
      </c>
      <c r="G101" s="189" t="s">
        <v>138</v>
      </c>
      <c r="H101" s="366">
        <v>1</v>
      </c>
      <c r="I101" s="366" t="s">
        <v>29</v>
      </c>
      <c r="J101" s="366">
        <v>0</v>
      </c>
      <c r="K101" s="234" t="str">
        <f t="shared" si="16"/>
        <v>1</v>
      </c>
      <c r="L101" s="235" t="str">
        <f>VLOOKUP($B101,Invulblad!$A$11:$S$103,13,0)</f>
        <v>1</v>
      </c>
      <c r="M101" s="211">
        <f>IF(L101&lt;&gt;"",VLOOKUP($B101,Invulblad!$A$11:$S$103,7,0),"")</f>
        <v>1</v>
      </c>
      <c r="N101" s="209" t="s">
        <v>29</v>
      </c>
      <c r="O101" s="211">
        <f>IF(L101&lt;&gt;"",VLOOKUP($B101,Invulblad!$A$11:$S$103,9,0),"")</f>
        <v>0</v>
      </c>
      <c r="P101" s="212">
        <f>IF(L101&lt;&gt;"",IF(AND(M101=H101,O101=J101),10,IF(K101=L101,5,0)),"")</f>
        <v>10</v>
      </c>
    </row>
    <row r="102" spans="1:16">
      <c r="B102" s="208" t="s">
        <v>517</v>
      </c>
      <c r="C102" s="208"/>
      <c r="D102" s="208"/>
      <c r="E102" s="208"/>
      <c r="F102" s="208"/>
      <c r="G102" s="208"/>
      <c r="H102" s="208"/>
      <c r="I102" s="208"/>
      <c r="J102" s="208"/>
      <c r="K102" s="237"/>
      <c r="L102" s="238"/>
      <c r="M102" s="211"/>
      <c r="N102" s="209"/>
      <c r="O102" s="211"/>
    </row>
    <row r="103" spans="1:16">
      <c r="H103" s="363"/>
      <c r="I103" s="363"/>
      <c r="J103" s="363"/>
      <c r="M103" s="211"/>
      <c r="N103" s="209"/>
      <c r="O103" s="211"/>
    </row>
    <row r="104" spans="1:16">
      <c r="H104" s="363"/>
      <c r="I104" s="363"/>
      <c r="J104" s="363"/>
      <c r="M104" s="211"/>
      <c r="N104" s="209"/>
      <c r="O104" s="211"/>
    </row>
    <row r="105" spans="1:16">
      <c r="H105" s="363"/>
      <c r="I105" s="363"/>
      <c r="J105" s="363"/>
      <c r="M105" s="211"/>
      <c r="N105" s="209"/>
      <c r="O105" s="211"/>
    </row>
    <row r="106" spans="1:16">
      <c r="B106" s="201" t="s">
        <v>139</v>
      </c>
      <c r="H106" s="363"/>
      <c r="I106" s="363"/>
      <c r="J106" s="363"/>
      <c r="M106" s="211"/>
      <c r="N106" s="209"/>
      <c r="O106" s="211"/>
    </row>
    <row r="107" spans="1:16">
      <c r="B107" s="201"/>
      <c r="H107" s="363"/>
      <c r="I107" s="363"/>
      <c r="J107" s="363"/>
    </row>
    <row r="108" spans="1:16">
      <c r="A108" s="188" t="s">
        <v>65</v>
      </c>
      <c r="B108" s="189" t="s">
        <v>140</v>
      </c>
      <c r="C108" s="189" t="s">
        <v>141</v>
      </c>
      <c r="D108" s="201" t="s">
        <v>199</v>
      </c>
      <c r="H108" s="363"/>
      <c r="I108" s="363"/>
      <c r="J108" s="363"/>
      <c r="M108" s="211"/>
      <c r="N108" s="209"/>
      <c r="O108" s="211"/>
    </row>
    <row r="109" spans="1:16">
      <c r="A109" s="188" t="s">
        <v>66</v>
      </c>
      <c r="B109" s="189" t="s">
        <v>142</v>
      </c>
      <c r="C109" s="189" t="s">
        <v>141</v>
      </c>
      <c r="D109" s="201" t="s">
        <v>152</v>
      </c>
      <c r="H109" s="363"/>
      <c r="I109" s="363"/>
      <c r="J109" s="363"/>
    </row>
    <row r="110" spans="1:16">
      <c r="H110" s="363"/>
      <c r="I110" s="363"/>
      <c r="J110" s="363"/>
    </row>
    <row r="111" spans="1:16">
      <c r="H111" s="363"/>
      <c r="I111" s="363"/>
      <c r="J111" s="363"/>
    </row>
    <row r="112" spans="1:16">
      <c r="B112" s="201" t="s">
        <v>144</v>
      </c>
      <c r="H112" s="363"/>
      <c r="I112" s="363"/>
      <c r="J112" s="363"/>
    </row>
    <row r="113" spans="2:15" ht="15.75" thickBot="1">
      <c r="H113" s="363"/>
      <c r="I113" s="363"/>
      <c r="J113" s="363"/>
    </row>
    <row r="114" spans="2:15" ht="15.75" thickBot="1">
      <c r="B114" s="215" t="s">
        <v>145</v>
      </c>
      <c r="C114" s="215" t="s">
        <v>146</v>
      </c>
      <c r="D114" s="215" t="s">
        <v>147</v>
      </c>
      <c r="E114" s="215" t="s">
        <v>148</v>
      </c>
      <c r="H114" s="363"/>
      <c r="I114" s="363"/>
      <c r="J114" s="363"/>
    </row>
    <row r="115" spans="2:15" ht="15.75" thickBot="1">
      <c r="B115" s="216" t="s">
        <v>199</v>
      </c>
      <c r="C115" s="216" t="s">
        <v>163</v>
      </c>
      <c r="D115" s="216" t="s">
        <v>243</v>
      </c>
      <c r="E115" s="216" t="s">
        <v>254</v>
      </c>
      <c r="H115" s="363"/>
      <c r="I115" s="363"/>
      <c r="J115" s="363"/>
    </row>
    <row r="116" spans="2:15" ht="15.75" thickBot="1">
      <c r="B116" s="217" t="s">
        <v>389</v>
      </c>
      <c r="C116" s="217" t="s">
        <v>156</v>
      </c>
      <c r="D116" s="217" t="s">
        <v>171</v>
      </c>
      <c r="E116" s="217" t="s">
        <v>149</v>
      </c>
      <c r="H116" s="363"/>
      <c r="I116" s="363"/>
      <c r="J116" s="363"/>
    </row>
    <row r="117" spans="2:15" ht="15.75" thickBot="1">
      <c r="B117" s="216" t="s">
        <v>152</v>
      </c>
      <c r="C117" s="216" t="s">
        <v>149</v>
      </c>
      <c r="D117" s="216" t="s">
        <v>154</v>
      </c>
      <c r="E117" s="216" t="s">
        <v>155</v>
      </c>
      <c r="H117" s="363"/>
      <c r="I117" s="363"/>
      <c r="J117" s="363"/>
    </row>
    <row r="118" spans="2:15" ht="15.75" thickBot="1">
      <c r="B118" s="217" t="s">
        <v>185</v>
      </c>
      <c r="C118" s="217" t="s">
        <v>151</v>
      </c>
      <c r="D118" s="217" t="s">
        <v>180</v>
      </c>
      <c r="E118" s="217" t="s">
        <v>149</v>
      </c>
      <c r="H118" s="363"/>
      <c r="I118" s="363"/>
      <c r="J118" s="363"/>
    </row>
    <row r="119" spans="2:15">
      <c r="H119" s="363"/>
      <c r="I119" s="363"/>
      <c r="J119" s="363"/>
    </row>
    <row r="120" spans="2:15">
      <c r="H120" s="363"/>
      <c r="I120" s="363"/>
      <c r="J120" s="363"/>
    </row>
    <row r="121" spans="2:15">
      <c r="B121" s="201" t="s">
        <v>157</v>
      </c>
      <c r="H121" s="363"/>
      <c r="I121" s="363"/>
      <c r="J121" s="363"/>
    </row>
    <row r="122" spans="2:15">
      <c r="B122" s="195"/>
      <c r="H122" s="363"/>
      <c r="I122" s="363"/>
      <c r="J122" s="363"/>
    </row>
    <row r="123" spans="2:15">
      <c r="B123" s="195" t="s">
        <v>158</v>
      </c>
      <c r="H123" s="363"/>
      <c r="I123" s="363"/>
      <c r="J123" s="363"/>
    </row>
    <row r="124" spans="2:15">
      <c r="B124" s="195" t="s">
        <v>251</v>
      </c>
      <c r="H124" s="363"/>
      <c r="I124" s="363"/>
      <c r="J124" s="363"/>
    </row>
    <row r="125" spans="2:15">
      <c r="H125" s="363"/>
      <c r="I125" s="363"/>
      <c r="J125" s="363"/>
    </row>
    <row r="126" spans="2:15">
      <c r="H126" s="363"/>
      <c r="I126" s="363"/>
      <c r="J126" s="363"/>
    </row>
    <row r="127" spans="2:15">
      <c r="B127" s="218"/>
      <c r="C127" s="218"/>
      <c r="D127" s="218"/>
      <c r="E127" s="218"/>
      <c r="F127" s="218"/>
      <c r="G127" s="218"/>
      <c r="H127" s="364"/>
      <c r="I127" s="364"/>
      <c r="J127" s="364"/>
      <c r="K127" s="239"/>
      <c r="L127" s="240"/>
      <c r="M127" s="218"/>
      <c r="N127" s="218"/>
      <c r="O127" s="218"/>
    </row>
    <row r="128" spans="2:15">
      <c r="H128" s="363"/>
      <c r="I128" s="363"/>
      <c r="J128" s="363"/>
    </row>
    <row r="129" spans="1:10">
      <c r="H129" s="363"/>
      <c r="I129" s="363"/>
      <c r="J129" s="363"/>
    </row>
    <row r="130" spans="1:10">
      <c r="B130" s="201" t="s">
        <v>160</v>
      </c>
      <c r="H130" s="363"/>
      <c r="I130" s="363"/>
      <c r="J130" s="363"/>
    </row>
    <row r="131" spans="1:10">
      <c r="H131" s="363"/>
      <c r="I131" s="363"/>
      <c r="J131" s="363"/>
    </row>
    <row r="132" spans="1:10">
      <c r="A132" s="241" t="s">
        <v>67</v>
      </c>
      <c r="B132" s="189" t="s">
        <v>140</v>
      </c>
      <c r="C132" s="189" t="s">
        <v>141</v>
      </c>
      <c r="D132" s="201" t="s">
        <v>138</v>
      </c>
      <c r="H132" s="363"/>
      <c r="I132" s="363"/>
      <c r="J132" s="363"/>
    </row>
    <row r="133" spans="1:10">
      <c r="A133" s="188" t="s">
        <v>68</v>
      </c>
      <c r="B133" s="189" t="s">
        <v>142</v>
      </c>
      <c r="C133" s="189" t="s">
        <v>141</v>
      </c>
      <c r="D133" s="201" t="s">
        <v>135</v>
      </c>
      <c r="H133" s="363"/>
      <c r="I133" s="363"/>
      <c r="J133" s="363"/>
    </row>
    <row r="134" spans="1:10">
      <c r="H134" s="363"/>
      <c r="I134" s="363"/>
      <c r="J134" s="363"/>
    </row>
    <row r="135" spans="1:10">
      <c r="H135" s="363"/>
      <c r="I135" s="363"/>
      <c r="J135" s="363"/>
    </row>
    <row r="136" spans="1:10">
      <c r="B136" s="201" t="s">
        <v>161</v>
      </c>
      <c r="H136" s="363"/>
      <c r="I136" s="363"/>
      <c r="J136" s="363"/>
    </row>
    <row r="137" spans="1:10" ht="15.75" thickBot="1">
      <c r="H137" s="363"/>
      <c r="I137" s="363"/>
      <c r="J137" s="363"/>
    </row>
    <row r="138" spans="1:10" ht="15.75" thickBot="1">
      <c r="B138" s="215" t="s">
        <v>145</v>
      </c>
      <c r="C138" s="215" t="s">
        <v>146</v>
      </c>
      <c r="D138" s="215" t="s">
        <v>147</v>
      </c>
      <c r="E138" s="215" t="s">
        <v>148</v>
      </c>
      <c r="H138" s="363"/>
      <c r="I138" s="363"/>
      <c r="J138" s="363"/>
    </row>
    <row r="139" spans="1:10" ht="15.75" thickBot="1">
      <c r="B139" s="216" t="s">
        <v>138</v>
      </c>
      <c r="C139" s="216" t="s">
        <v>163</v>
      </c>
      <c r="D139" s="216" t="s">
        <v>149</v>
      </c>
      <c r="E139" s="216" t="s">
        <v>155</v>
      </c>
      <c r="H139" s="363"/>
      <c r="I139" s="363"/>
      <c r="J139" s="363"/>
    </row>
    <row r="140" spans="1:10" ht="15.75" thickBot="1">
      <c r="B140" s="217" t="s">
        <v>135</v>
      </c>
      <c r="C140" s="217" t="s">
        <v>164</v>
      </c>
      <c r="D140" s="217" t="s">
        <v>153</v>
      </c>
      <c r="E140" s="217" t="s">
        <v>149</v>
      </c>
      <c r="H140" s="363"/>
      <c r="I140" s="363"/>
      <c r="J140" s="363"/>
    </row>
    <row r="141" spans="1:10" ht="15.75" thickBot="1">
      <c r="B141" s="216" t="s">
        <v>207</v>
      </c>
      <c r="C141" s="216" t="s">
        <v>151</v>
      </c>
      <c r="D141" s="216" t="s">
        <v>150</v>
      </c>
      <c r="E141" s="216" t="s">
        <v>149</v>
      </c>
      <c r="H141" s="363"/>
      <c r="I141" s="363"/>
      <c r="J141" s="363"/>
    </row>
    <row r="142" spans="1:10" ht="15.75" thickBot="1">
      <c r="B142" s="217" t="s">
        <v>179</v>
      </c>
      <c r="C142" s="217" t="s">
        <v>150</v>
      </c>
      <c r="D142" s="217" t="s">
        <v>241</v>
      </c>
      <c r="E142" s="217" t="s">
        <v>153</v>
      </c>
      <c r="H142" s="363"/>
      <c r="I142" s="363"/>
      <c r="J142" s="363"/>
    </row>
    <row r="143" spans="1:10">
      <c r="H143" s="363"/>
      <c r="I143" s="363"/>
      <c r="J143" s="363"/>
    </row>
    <row r="144" spans="1:10">
      <c r="H144" s="363"/>
      <c r="I144" s="363"/>
      <c r="J144" s="363"/>
    </row>
    <row r="145" spans="1:15">
      <c r="B145" s="201" t="s">
        <v>166</v>
      </c>
      <c r="H145" s="363"/>
      <c r="I145" s="363"/>
      <c r="J145" s="363"/>
    </row>
    <row r="146" spans="1:15">
      <c r="B146" s="195"/>
      <c r="H146" s="363"/>
      <c r="I146" s="363"/>
      <c r="J146" s="363"/>
    </row>
    <row r="147" spans="1:15">
      <c r="B147" s="195" t="s">
        <v>167</v>
      </c>
      <c r="H147" s="363"/>
      <c r="I147" s="363"/>
      <c r="J147" s="363"/>
    </row>
    <row r="148" spans="1:15">
      <c r="B148" s="195" t="s">
        <v>168</v>
      </c>
      <c r="H148" s="363"/>
      <c r="I148" s="363"/>
      <c r="J148" s="363"/>
    </row>
    <row r="149" spans="1:15">
      <c r="H149" s="363"/>
      <c r="I149" s="363"/>
      <c r="J149" s="363"/>
    </row>
    <row r="150" spans="1:15">
      <c r="H150" s="363"/>
      <c r="I150" s="363"/>
      <c r="J150" s="363"/>
    </row>
    <row r="151" spans="1:15">
      <c r="B151" s="218"/>
      <c r="C151" s="218"/>
      <c r="D151" s="218"/>
      <c r="E151" s="218"/>
      <c r="F151" s="218"/>
      <c r="G151" s="218"/>
      <c r="H151" s="364"/>
      <c r="I151" s="364"/>
      <c r="J151" s="364"/>
      <c r="K151" s="239"/>
      <c r="L151" s="240"/>
      <c r="M151" s="218"/>
      <c r="N151" s="218"/>
      <c r="O151" s="218"/>
    </row>
    <row r="152" spans="1:15">
      <c r="H152" s="363"/>
      <c r="I152" s="363"/>
      <c r="J152" s="363"/>
    </row>
    <row r="153" spans="1:15">
      <c r="H153" s="363"/>
      <c r="I153" s="363"/>
      <c r="J153" s="363"/>
    </row>
    <row r="154" spans="1:15">
      <c r="B154" s="201" t="s">
        <v>169</v>
      </c>
      <c r="H154" s="363"/>
      <c r="I154" s="363"/>
      <c r="J154" s="363"/>
    </row>
    <row r="155" spans="1:15">
      <c r="H155" s="363"/>
      <c r="I155" s="363"/>
      <c r="J155" s="363"/>
    </row>
    <row r="156" spans="1:15">
      <c r="A156" s="188" t="s">
        <v>69</v>
      </c>
      <c r="B156" s="189" t="s">
        <v>140</v>
      </c>
      <c r="C156" s="189" t="s">
        <v>141</v>
      </c>
      <c r="D156" s="201" t="s">
        <v>200</v>
      </c>
      <c r="H156" s="363"/>
      <c r="I156" s="363"/>
      <c r="J156" s="363"/>
    </row>
    <row r="157" spans="1:15">
      <c r="A157" s="188" t="s">
        <v>70</v>
      </c>
      <c r="B157" s="189" t="s">
        <v>142</v>
      </c>
      <c r="C157" s="189" t="s">
        <v>141</v>
      </c>
      <c r="D157" s="201" t="s">
        <v>390</v>
      </c>
      <c r="H157" s="363"/>
      <c r="I157" s="363"/>
      <c r="J157" s="363"/>
    </row>
    <row r="158" spans="1:15">
      <c r="H158" s="363"/>
      <c r="I158" s="363"/>
      <c r="J158" s="363"/>
    </row>
    <row r="159" spans="1:15">
      <c r="H159" s="363"/>
      <c r="I159" s="363"/>
      <c r="J159" s="363"/>
    </row>
    <row r="160" spans="1:15">
      <c r="B160" s="201" t="s">
        <v>170</v>
      </c>
      <c r="H160" s="363"/>
      <c r="I160" s="363"/>
      <c r="J160" s="363"/>
    </row>
    <row r="161" spans="2:15" ht="15.75" thickBot="1">
      <c r="H161" s="363"/>
      <c r="I161" s="363"/>
      <c r="J161" s="363"/>
    </row>
    <row r="162" spans="2:15" ht="15.75" thickBot="1">
      <c r="B162" s="215" t="s">
        <v>145</v>
      </c>
      <c r="C162" s="215" t="s">
        <v>146</v>
      </c>
      <c r="D162" s="215" t="s">
        <v>147</v>
      </c>
      <c r="E162" s="215" t="s">
        <v>148</v>
      </c>
      <c r="H162" s="363"/>
      <c r="I162" s="363"/>
      <c r="J162" s="363"/>
    </row>
    <row r="163" spans="2:15" ht="15.75" thickBot="1">
      <c r="B163" s="216" t="s">
        <v>390</v>
      </c>
      <c r="C163" s="216" t="s">
        <v>164</v>
      </c>
      <c r="D163" s="216" t="s">
        <v>156</v>
      </c>
      <c r="E163" s="216" t="s">
        <v>155</v>
      </c>
      <c r="H163" s="363"/>
      <c r="I163" s="363"/>
      <c r="J163" s="363"/>
    </row>
    <row r="164" spans="2:15" ht="15.75" thickBot="1">
      <c r="B164" s="217" t="s">
        <v>106</v>
      </c>
      <c r="C164" s="217" t="s">
        <v>150</v>
      </c>
      <c r="D164" s="217" t="s">
        <v>188</v>
      </c>
      <c r="E164" s="217" t="s">
        <v>150</v>
      </c>
      <c r="H164" s="363"/>
      <c r="I164" s="363"/>
      <c r="J164" s="363"/>
    </row>
    <row r="165" spans="2:15" ht="15.75" thickBot="1">
      <c r="B165" s="216" t="s">
        <v>200</v>
      </c>
      <c r="C165" s="216" t="s">
        <v>163</v>
      </c>
      <c r="D165" s="216" t="s">
        <v>164</v>
      </c>
      <c r="E165" s="216" t="s">
        <v>243</v>
      </c>
      <c r="H165" s="363"/>
      <c r="I165" s="363"/>
      <c r="J165" s="363"/>
    </row>
    <row r="166" spans="2:15" ht="15.75" thickBot="1">
      <c r="B166" s="217" t="s">
        <v>187</v>
      </c>
      <c r="C166" s="217" t="s">
        <v>151</v>
      </c>
      <c r="D166" s="217" t="s">
        <v>150</v>
      </c>
      <c r="E166" s="217" t="s">
        <v>149</v>
      </c>
      <c r="H166" s="363"/>
      <c r="I166" s="363"/>
      <c r="J166" s="363"/>
    </row>
    <row r="167" spans="2:15">
      <c r="H167" s="363"/>
      <c r="I167" s="363"/>
      <c r="J167" s="363"/>
    </row>
    <row r="168" spans="2:15">
      <c r="H168" s="363"/>
      <c r="I168" s="363"/>
      <c r="J168" s="363"/>
    </row>
    <row r="169" spans="2:15">
      <c r="B169" s="201" t="s">
        <v>173</v>
      </c>
      <c r="H169" s="363"/>
      <c r="I169" s="363"/>
      <c r="J169" s="363"/>
    </row>
    <row r="170" spans="2:15">
      <c r="B170" s="195"/>
      <c r="H170" s="363"/>
      <c r="I170" s="363"/>
      <c r="J170" s="363"/>
    </row>
    <row r="171" spans="2:15">
      <c r="B171" s="195" t="s">
        <v>174</v>
      </c>
      <c r="H171" s="363"/>
      <c r="I171" s="363"/>
      <c r="J171" s="363"/>
    </row>
    <row r="172" spans="2:15">
      <c r="B172" s="195" t="s">
        <v>175</v>
      </c>
      <c r="H172" s="363"/>
      <c r="I172" s="363"/>
      <c r="J172" s="363"/>
    </row>
    <row r="173" spans="2:15">
      <c r="H173" s="363"/>
      <c r="I173" s="363"/>
      <c r="J173" s="363"/>
    </row>
    <row r="174" spans="2:15">
      <c r="H174" s="363"/>
      <c r="I174" s="363"/>
      <c r="J174" s="363"/>
    </row>
    <row r="175" spans="2:15">
      <c r="B175" s="218"/>
      <c r="C175" s="218"/>
      <c r="D175" s="218"/>
      <c r="E175" s="218"/>
      <c r="F175" s="218"/>
      <c r="G175" s="218"/>
      <c r="H175" s="364"/>
      <c r="I175" s="364"/>
      <c r="J175" s="364"/>
    </row>
    <row r="176" spans="2:15">
      <c r="H176" s="363"/>
      <c r="I176" s="363"/>
      <c r="J176" s="363"/>
      <c r="K176" s="239"/>
      <c r="L176" s="240"/>
      <c r="M176" s="218"/>
      <c r="N176" s="218"/>
      <c r="O176" s="218"/>
    </row>
    <row r="177" spans="1:10">
      <c r="H177" s="363"/>
      <c r="I177" s="363"/>
      <c r="J177" s="363"/>
    </row>
    <row r="178" spans="1:10">
      <c r="B178" s="201" t="s">
        <v>176</v>
      </c>
      <c r="H178" s="363"/>
      <c r="I178" s="363"/>
      <c r="J178" s="363"/>
    </row>
    <row r="179" spans="1:10">
      <c r="H179" s="363"/>
      <c r="I179" s="363"/>
      <c r="J179" s="363"/>
    </row>
    <row r="180" spans="1:10">
      <c r="A180" s="188" t="s">
        <v>71</v>
      </c>
      <c r="B180" s="189" t="s">
        <v>140</v>
      </c>
      <c r="C180" s="189" t="s">
        <v>141</v>
      </c>
      <c r="D180" s="201" t="s">
        <v>97</v>
      </c>
      <c r="H180" s="363"/>
      <c r="I180" s="363"/>
      <c r="J180" s="363"/>
    </row>
    <row r="181" spans="1:10">
      <c r="A181" s="188" t="s">
        <v>72</v>
      </c>
      <c r="B181" s="189" t="s">
        <v>142</v>
      </c>
      <c r="C181" s="189" t="s">
        <v>141</v>
      </c>
      <c r="D181" s="201" t="s">
        <v>193</v>
      </c>
      <c r="H181" s="363"/>
      <c r="I181" s="363"/>
      <c r="J181" s="363"/>
    </row>
    <row r="182" spans="1:10">
      <c r="H182" s="363"/>
      <c r="I182" s="363"/>
      <c r="J182" s="363"/>
    </row>
    <row r="183" spans="1:10">
      <c r="H183" s="363"/>
      <c r="I183" s="363"/>
      <c r="J183" s="363"/>
    </row>
    <row r="184" spans="1:10">
      <c r="B184" s="201" t="s">
        <v>178</v>
      </c>
      <c r="H184" s="363"/>
      <c r="I184" s="363"/>
      <c r="J184" s="363"/>
    </row>
    <row r="185" spans="1:10" ht="15.75" thickBot="1">
      <c r="H185" s="363"/>
      <c r="I185" s="363"/>
      <c r="J185" s="363"/>
    </row>
    <row r="186" spans="1:10" ht="15.75" thickBot="1">
      <c r="B186" s="215" t="s">
        <v>145</v>
      </c>
      <c r="C186" s="215" t="s">
        <v>146</v>
      </c>
      <c r="D186" s="215" t="s">
        <v>147</v>
      </c>
      <c r="E186" s="215" t="s">
        <v>148</v>
      </c>
      <c r="H186" s="363"/>
      <c r="I186" s="363"/>
      <c r="J186" s="363"/>
    </row>
    <row r="187" spans="1:10" ht="15.75" thickBot="1">
      <c r="B187" s="216" t="s">
        <v>97</v>
      </c>
      <c r="C187" s="216" t="s">
        <v>163</v>
      </c>
      <c r="D187" s="216" t="s">
        <v>164</v>
      </c>
      <c r="E187" s="216" t="s">
        <v>243</v>
      </c>
      <c r="H187" s="363"/>
      <c r="I187" s="363"/>
      <c r="J187" s="363"/>
    </row>
    <row r="188" spans="1:10" ht="15.75" thickBot="1">
      <c r="B188" s="217" t="s">
        <v>391</v>
      </c>
      <c r="C188" s="217" t="s">
        <v>150</v>
      </c>
      <c r="D188" s="217" t="s">
        <v>188</v>
      </c>
      <c r="E188" s="217" t="s">
        <v>150</v>
      </c>
      <c r="H188" s="363"/>
      <c r="I188" s="363"/>
      <c r="J188" s="363"/>
    </row>
    <row r="189" spans="1:10" ht="15.75" thickBot="1">
      <c r="B189" s="216" t="s">
        <v>109</v>
      </c>
      <c r="C189" s="216" t="s">
        <v>151</v>
      </c>
      <c r="D189" s="216" t="s">
        <v>154</v>
      </c>
      <c r="E189" s="216" t="s">
        <v>151</v>
      </c>
      <c r="H189" s="363"/>
      <c r="I189" s="363"/>
      <c r="J189" s="363"/>
    </row>
    <row r="190" spans="1:10" ht="15.75" thickBot="1">
      <c r="B190" s="217" t="s">
        <v>193</v>
      </c>
      <c r="C190" s="217" t="s">
        <v>164</v>
      </c>
      <c r="D190" s="217" t="s">
        <v>153</v>
      </c>
      <c r="E190" s="217" t="s">
        <v>164</v>
      </c>
      <c r="H190" s="363"/>
      <c r="I190" s="363"/>
      <c r="J190" s="363"/>
    </row>
    <row r="191" spans="1:10">
      <c r="H191" s="363"/>
      <c r="I191" s="363"/>
      <c r="J191" s="363"/>
    </row>
    <row r="192" spans="1:10">
      <c r="H192" s="363"/>
      <c r="I192" s="363"/>
      <c r="J192" s="363"/>
    </row>
    <row r="193" spans="1:15">
      <c r="B193" s="201" t="s">
        <v>182</v>
      </c>
      <c r="H193" s="363"/>
      <c r="I193" s="363"/>
      <c r="J193" s="363"/>
    </row>
    <row r="194" spans="1:15">
      <c r="B194" s="195"/>
      <c r="H194" s="363"/>
      <c r="I194" s="363"/>
      <c r="J194" s="363"/>
    </row>
    <row r="195" spans="1:15">
      <c r="B195" s="195" t="s">
        <v>239</v>
      </c>
      <c r="H195" s="363"/>
      <c r="I195" s="363"/>
      <c r="J195" s="363"/>
    </row>
    <row r="196" spans="1:15">
      <c r="B196" s="195" t="s">
        <v>240</v>
      </c>
      <c r="H196" s="363"/>
      <c r="I196" s="363"/>
      <c r="J196" s="363"/>
    </row>
    <row r="197" spans="1:15">
      <c r="H197" s="363"/>
      <c r="I197" s="363"/>
      <c r="J197" s="363"/>
    </row>
    <row r="198" spans="1:15">
      <c r="H198" s="363"/>
      <c r="I198" s="363"/>
      <c r="J198" s="363"/>
    </row>
    <row r="199" spans="1:15">
      <c r="B199" s="218"/>
      <c r="C199" s="218"/>
      <c r="D199" s="218"/>
      <c r="E199" s="218"/>
      <c r="F199" s="218"/>
      <c r="G199" s="218"/>
      <c r="H199" s="364"/>
      <c r="I199" s="364"/>
      <c r="J199" s="364"/>
      <c r="K199" s="239"/>
      <c r="L199" s="240"/>
      <c r="M199" s="218"/>
      <c r="N199" s="218"/>
      <c r="O199" s="218"/>
    </row>
    <row r="200" spans="1:15">
      <c r="H200" s="363"/>
      <c r="I200" s="363"/>
      <c r="J200" s="363"/>
    </row>
    <row r="201" spans="1:15">
      <c r="H201" s="363"/>
      <c r="I201" s="363"/>
      <c r="J201" s="363"/>
    </row>
    <row r="202" spans="1:15">
      <c r="B202" s="201" t="s">
        <v>184</v>
      </c>
      <c r="H202" s="363"/>
      <c r="I202" s="363"/>
      <c r="J202" s="363"/>
    </row>
    <row r="203" spans="1:15">
      <c r="H203" s="363"/>
      <c r="I203" s="363"/>
      <c r="J203" s="363"/>
    </row>
    <row r="204" spans="1:15">
      <c r="A204" s="188" t="s">
        <v>73</v>
      </c>
      <c r="B204" s="189" t="s">
        <v>140</v>
      </c>
      <c r="C204" s="189" t="s">
        <v>141</v>
      </c>
      <c r="D204" s="201" t="s">
        <v>143</v>
      </c>
      <c r="H204" s="363"/>
      <c r="I204" s="363"/>
      <c r="J204" s="363"/>
    </row>
    <row r="205" spans="1:15">
      <c r="A205" s="188" t="s">
        <v>74</v>
      </c>
      <c r="B205" s="189" t="s">
        <v>142</v>
      </c>
      <c r="C205" s="189" t="s">
        <v>141</v>
      </c>
      <c r="D205" s="201" t="s">
        <v>392</v>
      </c>
      <c r="H205" s="363"/>
      <c r="I205" s="363"/>
      <c r="J205" s="363"/>
    </row>
    <row r="206" spans="1:15">
      <c r="H206" s="363"/>
      <c r="I206" s="363"/>
      <c r="J206" s="363"/>
    </row>
    <row r="207" spans="1:15">
      <c r="H207" s="363"/>
      <c r="I207" s="363"/>
      <c r="J207" s="363"/>
    </row>
    <row r="208" spans="1:15">
      <c r="B208" s="201" t="s">
        <v>186</v>
      </c>
      <c r="H208" s="363"/>
      <c r="I208" s="363"/>
      <c r="J208" s="363"/>
    </row>
    <row r="209" spans="2:15" ht="15.75" thickBot="1">
      <c r="H209" s="363"/>
      <c r="I209" s="363"/>
      <c r="J209" s="363"/>
    </row>
    <row r="210" spans="2:15" ht="15.75" thickBot="1">
      <c r="B210" s="215" t="s">
        <v>145</v>
      </c>
      <c r="C210" s="215" t="s">
        <v>146</v>
      </c>
      <c r="D210" s="215" t="s">
        <v>147</v>
      </c>
      <c r="E210" s="215" t="s">
        <v>148</v>
      </c>
      <c r="H210" s="363"/>
      <c r="I210" s="363"/>
      <c r="J210" s="363"/>
    </row>
    <row r="211" spans="2:15" ht="15.75" thickBot="1">
      <c r="B211" s="216" t="s">
        <v>209</v>
      </c>
      <c r="C211" s="216" t="s">
        <v>156</v>
      </c>
      <c r="D211" s="216" t="s">
        <v>180</v>
      </c>
      <c r="E211" s="216" t="s">
        <v>150</v>
      </c>
      <c r="H211" s="363"/>
      <c r="I211" s="363"/>
      <c r="J211" s="363"/>
    </row>
    <row r="212" spans="2:15" ht="15.75" thickBot="1">
      <c r="B212" s="217" t="s">
        <v>392</v>
      </c>
      <c r="C212" s="217" t="s">
        <v>164</v>
      </c>
      <c r="D212" s="217" t="s">
        <v>153</v>
      </c>
      <c r="E212" s="217" t="s">
        <v>149</v>
      </c>
      <c r="H212" s="363"/>
      <c r="I212" s="363"/>
      <c r="J212" s="363"/>
    </row>
    <row r="213" spans="2:15" ht="15.75" thickBot="1">
      <c r="B213" s="216" t="s">
        <v>143</v>
      </c>
      <c r="C213" s="216" t="s">
        <v>163</v>
      </c>
      <c r="D213" s="216" t="s">
        <v>243</v>
      </c>
      <c r="E213" s="216" t="s">
        <v>163</v>
      </c>
      <c r="H213" s="363"/>
      <c r="I213" s="363"/>
      <c r="J213" s="363"/>
    </row>
    <row r="214" spans="2:15" ht="15.75" thickBot="1">
      <c r="B214" s="217" t="s">
        <v>210</v>
      </c>
      <c r="C214" s="217" t="s">
        <v>156</v>
      </c>
      <c r="D214" s="217" t="s">
        <v>241</v>
      </c>
      <c r="E214" s="217" t="s">
        <v>150</v>
      </c>
      <c r="H214" s="363"/>
      <c r="I214" s="363"/>
      <c r="J214" s="363"/>
    </row>
    <row r="215" spans="2:15">
      <c r="H215" s="363"/>
      <c r="I215" s="363"/>
      <c r="J215" s="363"/>
    </row>
    <row r="216" spans="2:15">
      <c r="H216" s="363"/>
      <c r="I216" s="363"/>
      <c r="J216" s="363"/>
    </row>
    <row r="217" spans="2:15">
      <c r="B217" s="201" t="s">
        <v>189</v>
      </c>
      <c r="H217" s="363"/>
      <c r="I217" s="363"/>
      <c r="J217" s="363"/>
    </row>
    <row r="218" spans="2:15">
      <c r="B218" s="195"/>
      <c r="H218" s="363"/>
      <c r="I218" s="363"/>
      <c r="J218" s="363"/>
    </row>
    <row r="219" spans="2:15">
      <c r="B219" s="195" t="s">
        <v>190</v>
      </c>
      <c r="H219" s="363"/>
      <c r="I219" s="363"/>
      <c r="J219" s="363"/>
    </row>
    <row r="220" spans="2:15">
      <c r="B220" s="195" t="s">
        <v>191</v>
      </c>
      <c r="H220" s="363"/>
      <c r="I220" s="363"/>
      <c r="J220" s="363"/>
    </row>
    <row r="221" spans="2:15">
      <c r="H221" s="363"/>
      <c r="I221" s="363"/>
      <c r="J221" s="363"/>
    </row>
    <row r="222" spans="2:15">
      <c r="H222" s="363"/>
      <c r="I222" s="363"/>
      <c r="J222" s="363"/>
    </row>
    <row r="223" spans="2:15">
      <c r="B223" s="218"/>
      <c r="C223" s="218"/>
      <c r="D223" s="218"/>
      <c r="E223" s="218"/>
      <c r="F223" s="218"/>
      <c r="G223" s="218"/>
      <c r="H223" s="364"/>
      <c r="I223" s="364"/>
      <c r="J223" s="364"/>
      <c r="K223" s="239"/>
      <c r="L223" s="240"/>
      <c r="M223" s="218"/>
      <c r="N223" s="218"/>
      <c r="O223" s="218"/>
    </row>
    <row r="224" spans="2:15">
      <c r="H224" s="363"/>
      <c r="I224" s="363"/>
      <c r="J224" s="363"/>
    </row>
    <row r="225" spans="1:10">
      <c r="H225" s="363"/>
      <c r="I225" s="363"/>
      <c r="J225" s="363"/>
    </row>
    <row r="226" spans="1:10">
      <c r="B226" s="201" t="s">
        <v>192</v>
      </c>
      <c r="H226" s="363"/>
      <c r="I226" s="363"/>
      <c r="J226" s="363"/>
    </row>
    <row r="227" spans="1:10">
      <c r="H227" s="363"/>
      <c r="I227" s="363"/>
      <c r="J227" s="363"/>
    </row>
    <row r="228" spans="1:10">
      <c r="A228" s="188" t="s">
        <v>75</v>
      </c>
      <c r="B228" s="189" t="s">
        <v>140</v>
      </c>
      <c r="C228" s="189" t="s">
        <v>141</v>
      </c>
      <c r="D228" s="201" t="s">
        <v>102</v>
      </c>
      <c r="H228" s="363"/>
      <c r="I228" s="363"/>
      <c r="J228" s="363"/>
    </row>
    <row r="229" spans="1:10">
      <c r="A229" s="188" t="s">
        <v>76</v>
      </c>
      <c r="B229" s="189" t="s">
        <v>142</v>
      </c>
      <c r="C229" s="189" t="s">
        <v>141</v>
      </c>
      <c r="D229" s="201" t="s">
        <v>108</v>
      </c>
      <c r="H229" s="363"/>
      <c r="I229" s="363"/>
      <c r="J229" s="363"/>
    </row>
    <row r="230" spans="1:10">
      <c r="H230" s="363"/>
      <c r="I230" s="363"/>
      <c r="J230" s="363"/>
    </row>
    <row r="231" spans="1:10">
      <c r="H231" s="363"/>
      <c r="I231" s="363"/>
      <c r="J231" s="363"/>
    </row>
    <row r="232" spans="1:10">
      <c r="B232" s="201" t="s">
        <v>194</v>
      </c>
      <c r="H232" s="363"/>
      <c r="I232" s="363"/>
      <c r="J232" s="363"/>
    </row>
    <row r="233" spans="1:10" ht="15.75" thickBot="1">
      <c r="H233" s="363"/>
      <c r="I233" s="363"/>
      <c r="J233" s="363"/>
    </row>
    <row r="234" spans="1:10" ht="15.75" thickBot="1">
      <c r="B234" s="215" t="s">
        <v>145</v>
      </c>
      <c r="C234" s="215" t="s">
        <v>146</v>
      </c>
      <c r="D234" s="215" t="s">
        <v>147</v>
      </c>
      <c r="E234" s="215" t="s">
        <v>148</v>
      </c>
      <c r="H234" s="363"/>
      <c r="I234" s="363"/>
      <c r="J234" s="363"/>
    </row>
    <row r="235" spans="1:10" ht="15.75" thickBot="1">
      <c r="B235" s="216" t="s">
        <v>102</v>
      </c>
      <c r="C235" s="216" t="s">
        <v>163</v>
      </c>
      <c r="D235" s="216" t="s">
        <v>163</v>
      </c>
      <c r="E235" s="216" t="s">
        <v>244</v>
      </c>
      <c r="H235" s="363"/>
      <c r="I235" s="363"/>
      <c r="J235" s="363"/>
    </row>
    <row r="236" spans="1:10" ht="15.75" thickBot="1">
      <c r="B236" s="217" t="s">
        <v>572</v>
      </c>
      <c r="C236" s="217" t="s">
        <v>150</v>
      </c>
      <c r="D236" s="217" t="s">
        <v>162</v>
      </c>
      <c r="E236" s="217" t="s">
        <v>150</v>
      </c>
      <c r="H236" s="363"/>
      <c r="I236" s="363"/>
      <c r="J236" s="363"/>
    </row>
    <row r="237" spans="1:10" ht="15.75" thickBot="1">
      <c r="B237" s="216" t="s">
        <v>394</v>
      </c>
      <c r="C237" s="216" t="s">
        <v>151</v>
      </c>
      <c r="D237" s="216" t="s">
        <v>180</v>
      </c>
      <c r="E237" s="216" t="s">
        <v>153</v>
      </c>
      <c r="H237" s="363"/>
      <c r="I237" s="363"/>
      <c r="J237" s="363"/>
    </row>
    <row r="238" spans="1:10" ht="15.75" thickBot="1">
      <c r="B238" s="217" t="s">
        <v>108</v>
      </c>
      <c r="C238" s="217" t="s">
        <v>164</v>
      </c>
      <c r="D238" s="217" t="s">
        <v>150</v>
      </c>
      <c r="E238" s="217" t="s">
        <v>149</v>
      </c>
      <c r="H238" s="363"/>
      <c r="I238" s="363"/>
      <c r="J238" s="363"/>
    </row>
    <row r="239" spans="1:10">
      <c r="H239" s="363"/>
      <c r="I239" s="363"/>
      <c r="J239" s="363"/>
    </row>
    <row r="240" spans="1:10">
      <c r="H240" s="363"/>
      <c r="I240" s="363"/>
      <c r="J240" s="363"/>
    </row>
    <row r="241" spans="1:15">
      <c r="B241" s="201" t="s">
        <v>195</v>
      </c>
      <c r="H241" s="363"/>
      <c r="I241" s="363"/>
      <c r="J241" s="363"/>
    </row>
    <row r="242" spans="1:15">
      <c r="B242" s="195"/>
      <c r="H242" s="363"/>
      <c r="I242" s="363"/>
      <c r="J242" s="363"/>
    </row>
    <row r="243" spans="1:15">
      <c r="B243" s="195" t="s">
        <v>196</v>
      </c>
      <c r="H243" s="363"/>
      <c r="I243" s="363"/>
      <c r="J243" s="363"/>
    </row>
    <row r="244" spans="1:15">
      <c r="B244" s="195" t="s">
        <v>197</v>
      </c>
      <c r="H244" s="363"/>
      <c r="I244" s="363"/>
      <c r="J244" s="363"/>
    </row>
    <row r="245" spans="1:15">
      <c r="H245" s="363"/>
      <c r="I245" s="363"/>
      <c r="J245" s="363"/>
    </row>
    <row r="246" spans="1:15">
      <c r="H246" s="363"/>
      <c r="I246" s="363"/>
      <c r="J246" s="363"/>
    </row>
    <row r="247" spans="1:15">
      <c r="B247" s="218"/>
      <c r="C247" s="218"/>
      <c r="D247" s="218"/>
      <c r="E247" s="218"/>
      <c r="F247" s="218"/>
      <c r="G247" s="218"/>
      <c r="H247" s="364"/>
      <c r="I247" s="364"/>
      <c r="J247" s="364"/>
      <c r="K247" s="239"/>
      <c r="L247" s="240"/>
      <c r="M247" s="218"/>
      <c r="N247" s="218"/>
      <c r="O247" s="218"/>
    </row>
    <row r="248" spans="1:15">
      <c r="H248" s="363"/>
      <c r="I248" s="363"/>
      <c r="J248" s="363"/>
    </row>
    <row r="249" spans="1:15">
      <c r="H249" s="363"/>
      <c r="I249" s="363"/>
      <c r="J249" s="363"/>
    </row>
    <row r="250" spans="1:15">
      <c r="B250" s="201" t="s">
        <v>198</v>
      </c>
      <c r="H250" s="363"/>
      <c r="I250" s="363"/>
      <c r="J250" s="363"/>
    </row>
    <row r="251" spans="1:15">
      <c r="H251" s="363"/>
      <c r="I251" s="363"/>
      <c r="J251" s="363"/>
    </row>
    <row r="252" spans="1:15">
      <c r="A252" s="188" t="s">
        <v>77</v>
      </c>
      <c r="B252" s="189" t="s">
        <v>140</v>
      </c>
      <c r="C252" s="189" t="s">
        <v>141</v>
      </c>
      <c r="D252" s="201" t="s">
        <v>177</v>
      </c>
      <c r="H252" s="363"/>
      <c r="I252" s="363"/>
      <c r="J252" s="363"/>
    </row>
    <row r="253" spans="1:15">
      <c r="A253" s="188" t="s">
        <v>78</v>
      </c>
      <c r="B253" s="189" t="s">
        <v>142</v>
      </c>
      <c r="C253" s="189" t="s">
        <v>141</v>
      </c>
      <c r="D253" s="201" t="s">
        <v>32</v>
      </c>
      <c r="H253" s="363"/>
      <c r="I253" s="363"/>
      <c r="J253" s="363"/>
    </row>
    <row r="254" spans="1:15">
      <c r="H254" s="363"/>
      <c r="I254" s="363"/>
      <c r="J254" s="363"/>
    </row>
    <row r="255" spans="1:15">
      <c r="H255" s="363"/>
      <c r="I255" s="363"/>
      <c r="J255" s="363"/>
    </row>
    <row r="256" spans="1:15">
      <c r="B256" s="201" t="s">
        <v>201</v>
      </c>
      <c r="H256" s="363"/>
      <c r="I256" s="363"/>
      <c r="J256" s="363"/>
    </row>
    <row r="257" spans="2:15" ht="15.75" thickBot="1">
      <c r="H257" s="363"/>
      <c r="I257" s="363"/>
      <c r="J257" s="363"/>
    </row>
    <row r="258" spans="2:15" ht="15.75" thickBot="1">
      <c r="B258" s="215" t="s">
        <v>145</v>
      </c>
      <c r="C258" s="215" t="s">
        <v>146</v>
      </c>
      <c r="D258" s="215" t="s">
        <v>147</v>
      </c>
      <c r="E258" s="215" t="s">
        <v>148</v>
      </c>
      <c r="H258" s="363"/>
      <c r="I258" s="363"/>
      <c r="J258" s="363"/>
    </row>
    <row r="259" spans="2:15" ht="15.75" thickBot="1">
      <c r="B259" s="216" t="s">
        <v>177</v>
      </c>
      <c r="C259" s="216" t="s">
        <v>163</v>
      </c>
      <c r="D259" s="216" t="s">
        <v>149</v>
      </c>
      <c r="E259" s="216" t="s">
        <v>164</v>
      </c>
      <c r="H259" s="363"/>
      <c r="I259" s="363"/>
      <c r="J259" s="363"/>
    </row>
    <row r="260" spans="2:15" ht="15.75" thickBot="1">
      <c r="B260" s="217" t="s">
        <v>202</v>
      </c>
      <c r="C260" s="217" t="s">
        <v>151</v>
      </c>
      <c r="D260" s="217" t="s">
        <v>154</v>
      </c>
      <c r="E260" s="217" t="s">
        <v>149</v>
      </c>
      <c r="H260" s="363"/>
      <c r="I260" s="363"/>
      <c r="J260" s="363"/>
    </row>
    <row r="261" spans="2:15" ht="15.75" thickBot="1">
      <c r="B261" s="216" t="s">
        <v>181</v>
      </c>
      <c r="C261" s="216" t="s">
        <v>150</v>
      </c>
      <c r="D261" s="216" t="s">
        <v>180</v>
      </c>
      <c r="E261" s="216" t="s">
        <v>156</v>
      </c>
      <c r="H261" s="363"/>
      <c r="I261" s="363"/>
      <c r="J261" s="363"/>
    </row>
    <row r="262" spans="2:15" ht="15.75" thickBot="1">
      <c r="B262" s="217" t="s">
        <v>32</v>
      </c>
      <c r="C262" s="217" t="s">
        <v>164</v>
      </c>
      <c r="D262" s="217" t="s">
        <v>156</v>
      </c>
      <c r="E262" s="217" t="s">
        <v>164</v>
      </c>
      <c r="H262" s="363"/>
      <c r="I262" s="363"/>
      <c r="J262" s="363"/>
    </row>
    <row r="263" spans="2:15">
      <c r="H263" s="363"/>
      <c r="I263" s="363"/>
      <c r="J263" s="363"/>
    </row>
    <row r="264" spans="2:15">
      <c r="H264" s="363"/>
      <c r="I264" s="363"/>
      <c r="J264" s="363"/>
    </row>
    <row r="265" spans="2:15">
      <c r="B265" s="201" t="s">
        <v>203</v>
      </c>
      <c r="H265" s="363"/>
      <c r="I265" s="363"/>
      <c r="J265" s="363"/>
    </row>
    <row r="266" spans="2:15">
      <c r="B266" s="195"/>
      <c r="H266" s="363"/>
      <c r="I266" s="363"/>
      <c r="J266" s="363"/>
    </row>
    <row r="267" spans="2:15">
      <c r="B267" s="195" t="s">
        <v>204</v>
      </c>
      <c r="H267" s="363"/>
      <c r="I267" s="363"/>
      <c r="J267" s="363"/>
    </row>
    <row r="268" spans="2:15">
      <c r="B268" s="195" t="s">
        <v>205</v>
      </c>
      <c r="H268" s="363"/>
      <c r="I268" s="363"/>
      <c r="J268" s="363"/>
    </row>
    <row r="269" spans="2:15">
      <c r="H269" s="363"/>
      <c r="I269" s="363"/>
      <c r="J269" s="363"/>
    </row>
    <row r="270" spans="2:15">
      <c r="B270" s="218"/>
      <c r="C270" s="218"/>
      <c r="D270" s="218"/>
      <c r="E270" s="218"/>
      <c r="F270" s="218"/>
      <c r="G270" s="218"/>
      <c r="H270" s="363"/>
      <c r="I270" s="363"/>
      <c r="J270" s="363"/>
      <c r="K270" s="239"/>
      <c r="L270" s="240"/>
      <c r="M270" s="218"/>
      <c r="N270" s="218"/>
      <c r="O270" s="218"/>
    </row>
    <row r="271" spans="2:15">
      <c r="H271" s="364"/>
      <c r="I271" s="364"/>
      <c r="J271" s="364"/>
    </row>
    <row r="272" spans="2:15">
      <c r="H272" s="363"/>
      <c r="I272" s="363"/>
      <c r="J272" s="363"/>
    </row>
    <row r="273" spans="1:10">
      <c r="H273" s="363"/>
      <c r="I273" s="363"/>
      <c r="J273" s="363"/>
    </row>
    <row r="274" spans="1:10">
      <c r="B274" s="201" t="s">
        <v>206</v>
      </c>
      <c r="H274" s="363"/>
      <c r="I274" s="363"/>
      <c r="J274" s="363"/>
    </row>
    <row r="275" spans="1:10">
      <c r="H275" s="363"/>
      <c r="I275" s="363"/>
      <c r="J275" s="363"/>
    </row>
    <row r="276" spans="1:10">
      <c r="A276" s="188" t="s">
        <v>79</v>
      </c>
      <c r="B276" s="189" t="s">
        <v>140</v>
      </c>
      <c r="C276" s="189" t="s">
        <v>141</v>
      </c>
      <c r="D276" s="201" t="s">
        <v>396</v>
      </c>
      <c r="H276" s="363"/>
      <c r="I276" s="363"/>
      <c r="J276" s="363"/>
    </row>
    <row r="277" spans="1:10">
      <c r="A277" s="188" t="s">
        <v>80</v>
      </c>
      <c r="B277" s="189" t="s">
        <v>142</v>
      </c>
      <c r="C277" s="189" t="s">
        <v>141</v>
      </c>
      <c r="D277" s="201" t="s">
        <v>104</v>
      </c>
      <c r="H277" s="363"/>
      <c r="I277" s="363"/>
      <c r="J277" s="363"/>
    </row>
    <row r="278" spans="1:10">
      <c r="H278" s="363"/>
      <c r="I278" s="363"/>
      <c r="J278" s="363"/>
    </row>
    <row r="279" spans="1:10">
      <c r="H279" s="363"/>
      <c r="I279" s="363"/>
      <c r="J279" s="363"/>
    </row>
    <row r="280" spans="1:10">
      <c r="B280" s="201" t="s">
        <v>208</v>
      </c>
      <c r="H280" s="363"/>
      <c r="I280" s="363"/>
      <c r="J280" s="363"/>
    </row>
    <row r="281" spans="1:10" ht="15.75" thickBot="1">
      <c r="H281" s="363"/>
      <c r="I281" s="363"/>
      <c r="J281" s="363"/>
    </row>
    <row r="282" spans="1:10" ht="15.75" thickBot="1">
      <c r="B282" s="215" t="s">
        <v>145</v>
      </c>
      <c r="C282" s="215" t="s">
        <v>146</v>
      </c>
      <c r="D282" s="215" t="s">
        <v>147</v>
      </c>
      <c r="E282" s="215" t="s">
        <v>148</v>
      </c>
      <c r="H282" s="363"/>
      <c r="I282" s="363"/>
      <c r="J282" s="363"/>
    </row>
    <row r="283" spans="1:10" ht="15.75" thickBot="1">
      <c r="B283" s="216" t="s">
        <v>395</v>
      </c>
      <c r="C283" s="216" t="s">
        <v>156</v>
      </c>
      <c r="D283" s="216" t="s">
        <v>171</v>
      </c>
      <c r="E283" s="216" t="s">
        <v>150</v>
      </c>
      <c r="H283" s="363"/>
      <c r="I283" s="363"/>
      <c r="J283" s="363"/>
    </row>
    <row r="284" spans="1:10" ht="15.75" thickBot="1">
      <c r="B284" s="217" t="s">
        <v>110</v>
      </c>
      <c r="C284" s="217" t="s">
        <v>153</v>
      </c>
      <c r="D284" s="217" t="s">
        <v>154</v>
      </c>
      <c r="E284" s="217" t="s">
        <v>156</v>
      </c>
      <c r="H284" s="363"/>
      <c r="I284" s="363"/>
      <c r="J284" s="363"/>
    </row>
    <row r="285" spans="1:10" ht="15.75" thickBot="1">
      <c r="B285" s="216" t="s">
        <v>396</v>
      </c>
      <c r="C285" s="216" t="s">
        <v>163</v>
      </c>
      <c r="D285" s="216" t="s">
        <v>149</v>
      </c>
      <c r="E285" s="216" t="s">
        <v>155</v>
      </c>
      <c r="H285" s="363"/>
      <c r="I285" s="363"/>
      <c r="J285" s="363"/>
    </row>
    <row r="286" spans="1:10" ht="15.75" thickBot="1">
      <c r="B286" s="217" t="s">
        <v>104</v>
      </c>
      <c r="C286" s="217" t="s">
        <v>149</v>
      </c>
      <c r="D286" s="217" t="s">
        <v>150</v>
      </c>
      <c r="E286" s="217" t="s">
        <v>156</v>
      </c>
      <c r="H286" s="363"/>
      <c r="I286" s="363"/>
      <c r="J286" s="363"/>
    </row>
    <row r="287" spans="1:10">
      <c r="H287" s="363"/>
      <c r="I287" s="363"/>
      <c r="J287" s="363"/>
    </row>
    <row r="288" spans="1:10">
      <c r="H288" s="363"/>
      <c r="I288" s="363"/>
      <c r="J288" s="363"/>
    </row>
    <row r="289" spans="2:15">
      <c r="B289" s="201" t="s">
        <v>211</v>
      </c>
      <c r="H289" s="363"/>
      <c r="I289" s="363"/>
      <c r="J289" s="363"/>
    </row>
    <row r="290" spans="2:15">
      <c r="B290" s="195"/>
      <c r="H290" s="363"/>
      <c r="I290" s="363"/>
      <c r="J290" s="363"/>
    </row>
    <row r="291" spans="2:15">
      <c r="B291" s="195" t="s">
        <v>212</v>
      </c>
      <c r="H291" s="363"/>
      <c r="I291" s="363"/>
      <c r="J291" s="363"/>
    </row>
    <row r="292" spans="2:15">
      <c r="B292" s="195" t="s">
        <v>213</v>
      </c>
      <c r="H292" s="363"/>
      <c r="I292" s="363"/>
      <c r="J292" s="363"/>
    </row>
    <row r="293" spans="2:15">
      <c r="H293" s="363"/>
      <c r="I293" s="363"/>
      <c r="J293" s="363"/>
    </row>
    <row r="294" spans="2:15">
      <c r="H294" s="363"/>
      <c r="I294" s="363"/>
      <c r="J294" s="363"/>
    </row>
    <row r="295" spans="2:15">
      <c r="B295" s="218"/>
      <c r="C295" s="218"/>
      <c r="D295" s="218"/>
      <c r="E295" s="218"/>
      <c r="F295" s="218"/>
      <c r="G295" s="218"/>
      <c r="H295" s="364"/>
      <c r="I295" s="364"/>
      <c r="J295" s="364"/>
      <c r="K295" s="239"/>
      <c r="L295" s="240"/>
      <c r="M295" s="218"/>
      <c r="N295" s="218"/>
      <c r="O295" s="218"/>
    </row>
    <row r="300" spans="2:15">
      <c r="B300" s="189" t="s">
        <v>214</v>
      </c>
      <c r="H300" s="189"/>
      <c r="I300" s="189"/>
      <c r="J300" s="189"/>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paperSize="9" firstPageNumber="0"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sheetPr codeName="Blad26">
    <tabColor rgb="FFFFC000"/>
  </sheetPr>
  <dimension ref="A1:U324"/>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489</v>
      </c>
      <c r="L1" s="194"/>
      <c r="P1" s="193">
        <f>SUM(P14:P101)+E11+H11+L7+L11+Q11</f>
        <v>375</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Chili</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Colombia</v>
      </c>
      <c r="C4" s="222">
        <f t="shared" si="1"/>
        <v>10</v>
      </c>
      <c r="D4" s="224" t="str">
        <f t="shared" si="2"/>
        <v>Uruguay</v>
      </c>
      <c r="E4" s="222">
        <f t="shared" si="3"/>
        <v>10</v>
      </c>
      <c r="F4" s="339" t="s">
        <v>450</v>
      </c>
      <c r="G4" s="195" t="str">
        <f>G88</f>
        <v>Uruguay</v>
      </c>
      <c r="H4" s="222">
        <f t="shared" si="4"/>
        <v>0</v>
      </c>
      <c r="I4" s="339" t="s">
        <v>458</v>
      </c>
      <c r="J4" s="195" t="str">
        <f>G94</f>
        <v>Portugal</v>
      </c>
      <c r="L4" s="222">
        <f>IF(ISNA(MATCH(J4,teams_halve,0)),0,20)</f>
        <v>0</v>
      </c>
      <c r="Q4" s="224"/>
    </row>
    <row r="5" spans="1:21" s="195" customFormat="1" ht="15" customHeight="1">
      <c r="B5" s="224" t="str">
        <f t="shared" si="0"/>
        <v>Spanje</v>
      </c>
      <c r="C5" s="222">
        <f t="shared" si="1"/>
        <v>0</v>
      </c>
      <c r="D5" s="224" t="str">
        <f t="shared" si="2"/>
        <v>Kroatië</v>
      </c>
      <c r="E5" s="222">
        <f t="shared" si="3"/>
        <v>0</v>
      </c>
      <c r="F5" s="339" t="s">
        <v>451</v>
      </c>
      <c r="G5" s="195" t="str">
        <f>E90</f>
        <v>Spanje</v>
      </c>
      <c r="H5" s="222">
        <f t="shared" si="4"/>
        <v>0</v>
      </c>
      <c r="I5" s="339" t="s">
        <v>459</v>
      </c>
      <c r="J5" s="195" t="str">
        <f>E95</f>
        <v>Spanje</v>
      </c>
      <c r="L5" s="222">
        <f>IF(ISNA(MATCH(J5,teams_halve,0)),0,20)</f>
        <v>0</v>
      </c>
    </row>
    <row r="6" spans="1:21" s="195" customFormat="1" ht="15" customHeight="1">
      <c r="B6" s="224" t="str">
        <f t="shared" si="0"/>
        <v>Italië</v>
      </c>
      <c r="C6" s="222">
        <f t="shared" si="1"/>
        <v>0</v>
      </c>
      <c r="D6" s="224" t="str">
        <f t="shared" si="2"/>
        <v>Japan</v>
      </c>
      <c r="E6" s="222">
        <f t="shared" si="3"/>
        <v>0</v>
      </c>
      <c r="F6" s="339" t="s">
        <v>452</v>
      </c>
      <c r="G6" s="195" t="str">
        <f>G90</f>
        <v>Italië</v>
      </c>
      <c r="H6" s="222">
        <f t="shared" si="4"/>
        <v>0</v>
      </c>
      <c r="I6" s="339" t="s">
        <v>460</v>
      </c>
      <c r="J6" s="195" t="str">
        <f>G95</f>
        <v>Argentinië</v>
      </c>
      <c r="L6" s="222">
        <f>IF(ISNA(MATCH(J6,teams_halve,0)),0,20)</f>
        <v>20</v>
      </c>
    </row>
    <row r="7" spans="1:21" s="195" customFormat="1" ht="15" customHeight="1">
      <c r="B7" s="224" t="str">
        <f t="shared" si="0"/>
        <v>Zwitserland</v>
      </c>
      <c r="C7" s="222">
        <f t="shared" si="1"/>
        <v>10</v>
      </c>
      <c r="D7" s="224" t="str">
        <f t="shared" si="2"/>
        <v>Bosnië en Herzegovina</v>
      </c>
      <c r="E7" s="222">
        <f t="shared" si="3"/>
        <v>0</v>
      </c>
      <c r="F7" s="339" t="s">
        <v>453</v>
      </c>
      <c r="G7" s="195" t="str">
        <f>E89</f>
        <v>Bosnië en Herzegovina</v>
      </c>
      <c r="H7" s="222">
        <f t="shared" si="4"/>
        <v>0</v>
      </c>
      <c r="I7" s="339"/>
      <c r="J7" s="198" t="s">
        <v>83</v>
      </c>
      <c r="K7" s="199"/>
      <c r="L7" s="225">
        <f>SUM(L3:L6)</f>
        <v>40</v>
      </c>
    </row>
    <row r="8" spans="1:21" s="195" customFormat="1" ht="15" customHeight="1">
      <c r="B8" s="224" t="str">
        <f t="shared" si="0"/>
        <v>Portugal</v>
      </c>
      <c r="C8" s="222">
        <f t="shared" si="1"/>
        <v>0</v>
      </c>
      <c r="D8" s="224" t="str">
        <f t="shared" si="2"/>
        <v>Rusland</v>
      </c>
      <c r="E8" s="222">
        <f t="shared" si="3"/>
        <v>0</v>
      </c>
      <c r="F8" s="339" t="s">
        <v>454</v>
      </c>
      <c r="G8" s="195" t="str">
        <f>G89</f>
        <v>Portugal</v>
      </c>
      <c r="H8" s="222">
        <f t="shared" si="4"/>
        <v>0</v>
      </c>
      <c r="I8" s="339"/>
      <c r="J8" s="196" t="s">
        <v>48</v>
      </c>
      <c r="L8" s="197"/>
      <c r="P8" s="196" t="s">
        <v>579</v>
      </c>
    </row>
    <row r="9" spans="1:21" s="195" customFormat="1" ht="15" customHeight="1">
      <c r="B9" s="224" t="str">
        <f t="shared" si="0"/>
        <v>Argentinië</v>
      </c>
      <c r="C9" s="222">
        <f t="shared" si="1"/>
        <v>10</v>
      </c>
      <c r="D9" s="224" t="str">
        <f t="shared" si="2"/>
        <v>Ecuador</v>
      </c>
      <c r="E9" s="222">
        <f t="shared" si="3"/>
        <v>0</v>
      </c>
      <c r="F9" s="339" t="s">
        <v>455</v>
      </c>
      <c r="G9" s="195" t="str">
        <f>E91</f>
        <v>Argentinië</v>
      </c>
      <c r="H9" s="222">
        <f t="shared" si="4"/>
        <v>15</v>
      </c>
      <c r="I9" s="339" t="s">
        <v>461</v>
      </c>
      <c r="J9" s="195" t="str">
        <f>E101</f>
        <v>Brazilië</v>
      </c>
      <c r="L9" s="222">
        <f>IF(ISNA(MATCH(J9,teams_fin,0)),0,30)</f>
        <v>0</v>
      </c>
      <c r="P9" s="444" t="str">
        <f>E98</f>
        <v>Portugal</v>
      </c>
      <c r="Q9" s="222">
        <f>IF(ISNA(MATCH(P9,teams_troost,0)),0,25)</f>
        <v>0</v>
      </c>
    </row>
    <row r="10" spans="1:21" s="195" customFormat="1" ht="15" customHeight="1">
      <c r="B10" s="224" t="str">
        <f t="shared" si="0"/>
        <v>België</v>
      </c>
      <c r="C10" s="222">
        <f t="shared" si="1"/>
        <v>10</v>
      </c>
      <c r="D10" s="224" t="str">
        <f t="shared" si="2"/>
        <v>Duitsland</v>
      </c>
      <c r="E10" s="222">
        <f t="shared" si="3"/>
        <v>10</v>
      </c>
      <c r="F10" s="339" t="s">
        <v>456</v>
      </c>
      <c r="G10" s="195" t="str">
        <f>G91</f>
        <v>Duitsland</v>
      </c>
      <c r="H10" s="222">
        <f t="shared" si="4"/>
        <v>15</v>
      </c>
      <c r="I10" s="339" t="s">
        <v>462</v>
      </c>
      <c r="J10" s="195" t="str">
        <f>G101</f>
        <v>Argentinië</v>
      </c>
      <c r="L10" s="222">
        <f>IF(ISNA(MATCH(J10,teams_fin,0)),0,30)</f>
        <v>30</v>
      </c>
      <c r="P10" s="444" t="str">
        <f>G98</f>
        <v>Spanje</v>
      </c>
      <c r="Q10" s="222">
        <f>IF(ISNA(MATCH(P10,teams_troost,0)),0,25)</f>
        <v>0</v>
      </c>
    </row>
    <row r="11" spans="1:21" s="195" customFormat="1" ht="15" customHeight="1">
      <c r="D11" s="198" t="s">
        <v>89</v>
      </c>
      <c r="E11" s="225">
        <f>SUM(C3:E10)</f>
        <v>80</v>
      </c>
      <c r="G11" s="198" t="s">
        <v>82</v>
      </c>
      <c r="H11" s="225">
        <f>SUM(H3:H10)</f>
        <v>45</v>
      </c>
      <c r="J11" s="198" t="s">
        <v>90</v>
      </c>
      <c r="K11" s="199"/>
      <c r="L11" s="225">
        <f>SUM(L9:L10)</f>
        <v>30</v>
      </c>
      <c r="P11" s="199"/>
      <c r="Q11" s="225">
        <f>SUM(Q9:Q10)</f>
        <v>0</v>
      </c>
    </row>
    <row r="12" spans="1:21">
      <c r="B12" s="201" t="s">
        <v>19</v>
      </c>
      <c r="C12" s="201"/>
      <c r="D12" s="339" t="s">
        <v>463</v>
      </c>
      <c r="E12" s="202" t="s">
        <v>102</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2</v>
      </c>
      <c r="I14" s="366" t="s">
        <v>29</v>
      </c>
      <c r="J14" s="366">
        <v>1</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1</v>
      </c>
      <c r="I15" s="366" t="s">
        <v>29</v>
      </c>
      <c r="J15" s="366">
        <v>0</v>
      </c>
      <c r="K15" s="212" t="str">
        <f t="shared" si="5"/>
        <v>1</v>
      </c>
      <c r="L15" s="210" t="str">
        <f>VLOOKUP($B15,Invulblad!$A$11:$S$103,13,0)</f>
        <v>1</v>
      </c>
      <c r="M15" s="211">
        <f>IF(L15&lt;&gt;"",VLOOKUP($B15,Invulblad!$A$11:$S$103,7,0),"")</f>
        <v>1</v>
      </c>
      <c r="N15" s="209" t="s">
        <v>29</v>
      </c>
      <c r="O15" s="211">
        <f>IF(L15&lt;&gt;"",VLOOKUP($B15,Invulblad!$A$11:$S$103,9,0),"")</f>
        <v>0</v>
      </c>
      <c r="P15" s="212">
        <f t="shared" si="6"/>
        <v>10</v>
      </c>
    </row>
    <row r="16" spans="1:21">
      <c r="A16" s="188">
        <v>3</v>
      </c>
      <c r="B16" s="195">
        <v>17</v>
      </c>
      <c r="C16" s="332">
        <v>41807</v>
      </c>
      <c r="D16" s="333">
        <v>0.875</v>
      </c>
      <c r="E16" s="189" t="s">
        <v>557</v>
      </c>
      <c r="F16" s="189" t="s">
        <v>29</v>
      </c>
      <c r="G16" s="189" t="s">
        <v>96</v>
      </c>
      <c r="H16" s="366">
        <v>3</v>
      </c>
      <c r="I16" s="366" t="s">
        <v>29</v>
      </c>
      <c r="J16" s="366">
        <v>1</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0</v>
      </c>
      <c r="I17" s="366" t="s">
        <v>29</v>
      </c>
      <c r="J17" s="366">
        <v>2</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0</v>
      </c>
      <c r="I18" s="366" t="s">
        <v>29</v>
      </c>
      <c r="J18" s="366">
        <v>3</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2</v>
      </c>
      <c r="I19" s="366" t="s">
        <v>29</v>
      </c>
      <c r="J19" s="366">
        <v>2</v>
      </c>
      <c r="K19" s="212">
        <f t="shared" si="5"/>
        <v>3</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201"/>
      <c r="I20" s="201"/>
      <c r="J20" s="201"/>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2</v>
      </c>
      <c r="I22" s="366" t="s">
        <v>29</v>
      </c>
      <c r="J22" s="366">
        <v>1</v>
      </c>
      <c r="K22" s="212" t="str">
        <f t="shared" si="5"/>
        <v>1</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2</v>
      </c>
      <c r="I23" s="366" t="s">
        <v>29</v>
      </c>
      <c r="J23" s="366">
        <v>1</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1</v>
      </c>
      <c r="I24" s="366" t="s">
        <v>29</v>
      </c>
      <c r="J24" s="366">
        <v>1</v>
      </c>
      <c r="K24" s="212">
        <f t="shared" si="5"/>
        <v>3</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0</v>
      </c>
      <c r="I25" s="366" t="s">
        <v>29</v>
      </c>
      <c r="J25" s="366">
        <v>2</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0</v>
      </c>
      <c r="I26" s="366" t="s">
        <v>29</v>
      </c>
      <c r="J26" s="366">
        <v>2</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1</v>
      </c>
      <c r="I27" s="366" t="s">
        <v>29</v>
      </c>
      <c r="J27" s="366">
        <v>1</v>
      </c>
      <c r="K27" s="212">
        <f t="shared" si="5"/>
        <v>3</v>
      </c>
      <c r="L27" s="210" t="str">
        <f>VLOOKUP($B27,Invulblad!$A$11:$S$103,13,0)</f>
        <v>1</v>
      </c>
      <c r="M27" s="211">
        <f>IF(L27&lt;&gt;"",VLOOKUP($B27,Invulblad!$A$11:$S$103,7,0),"")</f>
        <v>2</v>
      </c>
      <c r="N27" s="209" t="s">
        <v>29</v>
      </c>
      <c r="O27" s="211">
        <f>IF(L27&lt;&gt;"",VLOOKUP($B27,Invulblad!$A$11:$S$103,9,0),"")</f>
        <v>0</v>
      </c>
      <c r="P27" s="212">
        <f t="shared" si="7"/>
        <v>0</v>
      </c>
    </row>
    <row r="28" spans="1:16">
      <c r="A28" s="188">
        <v>15</v>
      </c>
      <c r="B28" s="201" t="s">
        <v>31</v>
      </c>
      <c r="H28" s="201"/>
      <c r="I28" s="201"/>
      <c r="J28" s="201"/>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2</v>
      </c>
      <c r="I30" s="366" t="s">
        <v>29</v>
      </c>
      <c r="J30" s="366">
        <v>1</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1</v>
      </c>
      <c r="I31" s="366" t="s">
        <v>29</v>
      </c>
      <c r="J31" s="366">
        <v>1</v>
      </c>
      <c r="K31" s="212">
        <f t="shared" si="5"/>
        <v>3</v>
      </c>
      <c r="L31" s="210" t="str">
        <f>VLOOKUP($B31,Invulblad!$A$11:$S$103,13,0)</f>
        <v>1</v>
      </c>
      <c r="M31" s="211">
        <f>IF(L31&lt;&gt;"",VLOOKUP($B31,Invulblad!$A$11:$S$103,7,0),"")</f>
        <v>2</v>
      </c>
      <c r="N31" s="209" t="s">
        <v>29</v>
      </c>
      <c r="O31" s="211">
        <f>IF(L31&lt;&gt;"",VLOOKUP($B31,Invulblad!$A$11:$S$103,9,0),"")</f>
        <v>1</v>
      </c>
      <c r="P31" s="212">
        <f t="shared" si="8"/>
        <v>0</v>
      </c>
    </row>
    <row r="32" spans="1:16">
      <c r="A32" s="188">
        <v>19</v>
      </c>
      <c r="B32" s="195">
        <v>21</v>
      </c>
      <c r="C32" s="332">
        <v>41809</v>
      </c>
      <c r="D32" s="333">
        <v>0.75</v>
      </c>
      <c r="E32" s="189" t="s">
        <v>428</v>
      </c>
      <c r="F32" s="189" t="s">
        <v>29</v>
      </c>
      <c r="G32" s="189" t="s">
        <v>125</v>
      </c>
      <c r="H32" s="366">
        <v>2</v>
      </c>
      <c r="I32" s="366" t="s">
        <v>29</v>
      </c>
      <c r="J32" s="366">
        <v>1</v>
      </c>
      <c r="K32" s="212" t="str">
        <f t="shared" si="5"/>
        <v>1</v>
      </c>
      <c r="L32" s="210" t="str">
        <f>VLOOKUP($B32,Invulblad!$A$11:$S$103,13,0)</f>
        <v>1</v>
      </c>
      <c r="M32" s="211">
        <f>IF(L32&lt;&gt;"",VLOOKUP($B32,Invulblad!$A$11:$S$103,7,0),"")</f>
        <v>2</v>
      </c>
      <c r="N32" s="209" t="s">
        <v>29</v>
      </c>
      <c r="O32" s="211">
        <f>IF(L32&lt;&gt;"",VLOOKUP($B32,Invulblad!$A$11:$S$103,9,0),"")</f>
        <v>1</v>
      </c>
      <c r="P32" s="212">
        <f t="shared" si="8"/>
        <v>10</v>
      </c>
    </row>
    <row r="33" spans="1:16">
      <c r="A33" s="188">
        <v>20</v>
      </c>
      <c r="B33" s="195">
        <v>22</v>
      </c>
      <c r="C33" s="332">
        <v>41810</v>
      </c>
      <c r="D33" s="333">
        <v>0</v>
      </c>
      <c r="E33" s="189" t="s">
        <v>118</v>
      </c>
      <c r="F33" s="189" t="s">
        <v>29</v>
      </c>
      <c r="G33" s="189" t="s">
        <v>105</v>
      </c>
      <c r="H33" s="366">
        <v>2</v>
      </c>
      <c r="I33" s="366" t="s">
        <v>29</v>
      </c>
      <c r="J33" s="366">
        <v>1</v>
      </c>
      <c r="K33" s="212" t="str">
        <f t="shared" si="5"/>
        <v>1</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0</v>
      </c>
      <c r="I34" s="366" t="s">
        <v>29</v>
      </c>
      <c r="J34" s="366">
        <v>1</v>
      </c>
      <c r="K34" s="212">
        <f t="shared" si="5"/>
        <v>2</v>
      </c>
      <c r="L34" s="210">
        <f>VLOOKUP($B34,Invulblad!$A$11:$S$103,13,0)</f>
        <v>2</v>
      </c>
      <c r="M34" s="211">
        <f>IF(L34&lt;&gt;"",VLOOKUP($B34,Invulblad!$A$11:$S$103,7,0),"")</f>
        <v>1</v>
      </c>
      <c r="N34" s="209" t="s">
        <v>29</v>
      </c>
      <c r="O34" s="211">
        <f>IF(L34&lt;&gt;"",VLOOKUP($B34,Invulblad!$A$11:$S$103,9,0),"")</f>
        <v>4</v>
      </c>
      <c r="P34" s="212">
        <f t="shared" si="8"/>
        <v>5</v>
      </c>
    </row>
    <row r="35" spans="1:16">
      <c r="A35" s="188">
        <v>22</v>
      </c>
      <c r="B35" s="195">
        <v>38</v>
      </c>
      <c r="C35" s="332">
        <v>41814</v>
      </c>
      <c r="D35" s="333">
        <v>0.91666666666666663</v>
      </c>
      <c r="E35" s="189" t="s">
        <v>233</v>
      </c>
      <c r="F35" s="189" t="s">
        <v>29</v>
      </c>
      <c r="G35" s="189" t="s">
        <v>125</v>
      </c>
      <c r="H35" s="366">
        <v>2</v>
      </c>
      <c r="I35" s="366" t="s">
        <v>29</v>
      </c>
      <c r="J35" s="366">
        <v>2</v>
      </c>
      <c r="K35" s="212">
        <f t="shared" si="5"/>
        <v>3</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201"/>
      <c r="I36" s="201"/>
      <c r="J36" s="201"/>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3</v>
      </c>
      <c r="I38" s="366" t="s">
        <v>29</v>
      </c>
      <c r="J38" s="366">
        <v>1</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2</v>
      </c>
      <c r="K39" s="212">
        <f t="shared" si="5"/>
        <v>2</v>
      </c>
      <c r="L39" s="210">
        <f>VLOOKUP($B39,Invulblad!$A$11:$S$103,13,0)</f>
        <v>2</v>
      </c>
      <c r="M39" s="211">
        <f>IF(L39&lt;&gt;"",VLOOKUP($B39,Invulblad!$A$11:$S$103,7,0),"")</f>
        <v>1</v>
      </c>
      <c r="N39" s="209" t="s">
        <v>29</v>
      </c>
      <c r="O39" s="211">
        <f>IF(L39&lt;&gt;"",VLOOKUP($B39,Invulblad!$A$11:$S$103,9,0),"")</f>
        <v>2</v>
      </c>
      <c r="P39" s="212">
        <f t="shared" si="9"/>
        <v>10</v>
      </c>
    </row>
    <row r="40" spans="1:16">
      <c r="A40" s="188">
        <v>27</v>
      </c>
      <c r="B40" s="195">
        <v>23</v>
      </c>
      <c r="C40" s="332">
        <v>41809</v>
      </c>
      <c r="D40" s="333">
        <v>0.875</v>
      </c>
      <c r="E40" s="189" t="s">
        <v>231</v>
      </c>
      <c r="F40" s="189" t="s">
        <v>29</v>
      </c>
      <c r="G40" s="189" t="s">
        <v>112</v>
      </c>
      <c r="H40" s="366">
        <v>1</v>
      </c>
      <c r="I40" s="366" t="s">
        <v>29</v>
      </c>
      <c r="J40" s="366">
        <v>1</v>
      </c>
      <c r="K40" s="212">
        <f t="shared" si="5"/>
        <v>3</v>
      </c>
      <c r="L40" s="210" t="str">
        <f>VLOOKUP($B40,Invulblad!$A$11:$S$103,13,0)</f>
        <v>1</v>
      </c>
      <c r="M40" s="211">
        <f>IF(L40&lt;&gt;"",VLOOKUP($B40,Invulblad!$A$11:$S$103,7,0),"")</f>
        <v>2</v>
      </c>
      <c r="N40" s="209" t="s">
        <v>29</v>
      </c>
      <c r="O40" s="211">
        <f>IF(L40&lt;&gt;"",VLOOKUP($B40,Invulblad!$A$11:$S$103,9,0),"")</f>
        <v>1</v>
      </c>
      <c r="P40" s="212">
        <f t="shared" si="9"/>
        <v>0</v>
      </c>
    </row>
    <row r="41" spans="1:16">
      <c r="A41" s="188">
        <v>28</v>
      </c>
      <c r="B41" s="195">
        <v>24</v>
      </c>
      <c r="C41" s="332">
        <v>41810</v>
      </c>
      <c r="D41" s="333">
        <v>0.75</v>
      </c>
      <c r="E41" s="189" t="s">
        <v>564</v>
      </c>
      <c r="F41" s="189" t="s">
        <v>29</v>
      </c>
      <c r="G41" s="189" t="s">
        <v>430</v>
      </c>
      <c r="H41" s="366">
        <v>3</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2</v>
      </c>
      <c r="I42" s="366" t="s">
        <v>29</v>
      </c>
      <c r="J42" s="366">
        <v>1</v>
      </c>
      <c r="K42" s="212" t="str">
        <f t="shared" si="5"/>
        <v>1</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2</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201"/>
      <c r="I44" s="201"/>
      <c r="J44" s="201"/>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2</v>
      </c>
      <c r="I46" s="366" t="s">
        <v>29</v>
      </c>
      <c r="J46" s="366">
        <v>2</v>
      </c>
      <c r="K46" s="212">
        <f t="shared" si="5"/>
        <v>3</v>
      </c>
      <c r="L46" s="210" t="str">
        <f>VLOOKUP($B46,Invulblad!$A$11:$S$103,13,0)</f>
        <v>1</v>
      </c>
      <c r="M46" s="211">
        <f>IF(L46&lt;&gt;"",VLOOKUP($B46,Invulblad!$A$11:$S$103,7,0),"")</f>
        <v>2</v>
      </c>
      <c r="N46" s="209" t="s">
        <v>29</v>
      </c>
      <c r="O46" s="211">
        <f>IF(L46&lt;&gt;"",VLOOKUP($B46,Invulblad!$A$11:$S$103,9,0),"")</f>
        <v>1</v>
      </c>
      <c r="P46" s="212">
        <f t="shared" ref="P46:P51" si="10">IF(L46&lt;&gt;"",IF(AND(M46=H46,O46=J46),10,IF(K46=L46,5,0)),"")</f>
        <v>0</v>
      </c>
    </row>
    <row r="47" spans="1:16">
      <c r="A47" s="188">
        <v>34</v>
      </c>
      <c r="B47" s="195">
        <v>10</v>
      </c>
      <c r="C47" s="332">
        <v>41805</v>
      </c>
      <c r="D47" s="333">
        <v>0.875</v>
      </c>
      <c r="E47" s="189" t="s">
        <v>100</v>
      </c>
      <c r="F47" s="189" t="s">
        <v>29</v>
      </c>
      <c r="G47" s="189" t="s">
        <v>132</v>
      </c>
      <c r="H47" s="366">
        <v>3</v>
      </c>
      <c r="I47" s="366" t="s">
        <v>29</v>
      </c>
      <c r="J47" s="366">
        <v>1</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2</v>
      </c>
      <c r="I48" s="366" t="s">
        <v>29</v>
      </c>
      <c r="J48" s="366">
        <v>1</v>
      </c>
      <c r="K48" s="212" t="str">
        <f t="shared" si="5"/>
        <v>1</v>
      </c>
      <c r="L48" s="210">
        <f>VLOOKUP($B48,Invulblad!$A$11:$S$103,13,0)</f>
        <v>2</v>
      </c>
      <c r="M48" s="211">
        <f>IF(L48&lt;&gt;"",VLOOKUP($B48,Invulblad!$A$11:$S$103,7,0),"")</f>
        <v>2</v>
      </c>
      <c r="N48" s="209" t="s">
        <v>29</v>
      </c>
      <c r="O48" s="211">
        <f>IF(L48&lt;&gt;"",VLOOKUP($B48,Invulblad!$A$11:$S$103,9,0),"")</f>
        <v>5</v>
      </c>
      <c r="P48" s="212">
        <f t="shared" si="10"/>
        <v>0</v>
      </c>
    </row>
    <row r="49" spans="1:16">
      <c r="A49" s="188">
        <v>36</v>
      </c>
      <c r="B49" s="195">
        <v>26</v>
      </c>
      <c r="C49" s="332">
        <v>41811</v>
      </c>
      <c r="D49" s="333">
        <v>0</v>
      </c>
      <c r="E49" s="189" t="s">
        <v>127</v>
      </c>
      <c r="F49" s="189" t="s">
        <v>29</v>
      </c>
      <c r="G49" s="189" t="s">
        <v>434</v>
      </c>
      <c r="H49" s="366">
        <v>0</v>
      </c>
      <c r="I49" s="366" t="s">
        <v>29</v>
      </c>
      <c r="J49" s="366">
        <v>2</v>
      </c>
      <c r="K49" s="212">
        <f t="shared" si="5"/>
        <v>2</v>
      </c>
      <c r="L49" s="210">
        <f>VLOOKUP($B49,Invulblad!$A$11:$S$103,13,0)</f>
        <v>2</v>
      </c>
      <c r="M49" s="211">
        <f>IF(L49&lt;&gt;"",VLOOKUP($B49,Invulblad!$A$11:$S$103,7,0),"")</f>
        <v>1</v>
      </c>
      <c r="N49" s="209" t="s">
        <v>29</v>
      </c>
      <c r="O49" s="211">
        <f>IF(L49&lt;&gt;"",VLOOKUP($B49,Invulblad!$A$11:$S$103,9,0),"")</f>
        <v>2</v>
      </c>
      <c r="P49" s="212">
        <f t="shared" si="10"/>
        <v>5</v>
      </c>
    </row>
    <row r="50" spans="1:16">
      <c r="A50" s="188">
        <v>37</v>
      </c>
      <c r="B50" s="195">
        <v>41</v>
      </c>
      <c r="C50" s="332">
        <v>41815</v>
      </c>
      <c r="D50" s="333">
        <v>0.91666666666666663</v>
      </c>
      <c r="E50" s="189" t="s">
        <v>127</v>
      </c>
      <c r="F50" s="189" t="s">
        <v>29</v>
      </c>
      <c r="G50" s="189" t="s">
        <v>130</v>
      </c>
      <c r="H50" s="366">
        <v>0</v>
      </c>
      <c r="I50" s="366" t="s">
        <v>29</v>
      </c>
      <c r="J50" s="366">
        <v>1</v>
      </c>
      <c r="K50" s="212">
        <f t="shared" ref="K50:K85" si="11">IF(AND(H50="",J50=""),"",IF(OR(H50="",J50=""),"FOUT",IF(H50&gt;J50,"1",IF(H50=J50,3,2))))</f>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1</v>
      </c>
      <c r="I51" s="366" t="s">
        <v>29</v>
      </c>
      <c r="J51" s="366">
        <v>1</v>
      </c>
      <c r="K51" s="212">
        <f t="shared" si="11"/>
        <v>3</v>
      </c>
      <c r="L51" s="210">
        <f>VLOOKUP($B51,Invulblad!$A$11:$S$103,13,0)</f>
        <v>3</v>
      </c>
      <c r="M51" s="211">
        <f>IF(L51&lt;&gt;"",VLOOKUP($B51,Invulblad!$A$11:$S$103,7,0),"")</f>
        <v>0</v>
      </c>
      <c r="N51" s="209" t="s">
        <v>29</v>
      </c>
      <c r="O51" s="211">
        <f>IF(L51&lt;&gt;"",VLOOKUP($B51,Invulblad!$A$11:$S$103,9,0),"")</f>
        <v>0</v>
      </c>
      <c r="P51" s="212">
        <f t="shared" si="10"/>
        <v>5</v>
      </c>
    </row>
    <row r="52" spans="1:16">
      <c r="A52" s="188">
        <v>39</v>
      </c>
      <c r="B52" s="201" t="s">
        <v>35</v>
      </c>
      <c r="H52" s="201"/>
      <c r="I52" s="201"/>
      <c r="J52" s="201"/>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3</v>
      </c>
      <c r="I54" s="366" t="s">
        <v>29</v>
      </c>
      <c r="J54" s="366">
        <v>2</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2">
        <v>41806</v>
      </c>
      <c r="D55" s="333">
        <v>0.875</v>
      </c>
      <c r="E55" s="189" t="s">
        <v>438</v>
      </c>
      <c r="F55" s="189" t="s">
        <v>29</v>
      </c>
      <c r="G55" s="189" t="s">
        <v>103</v>
      </c>
      <c r="H55" s="366">
        <v>0</v>
      </c>
      <c r="I55" s="366" t="s">
        <v>29</v>
      </c>
      <c r="J55" s="366">
        <v>2</v>
      </c>
      <c r="K55" s="212">
        <f t="shared" si="11"/>
        <v>2</v>
      </c>
      <c r="L55" s="210">
        <f>VLOOKUP($B55,Invulblad!$A$11:$S$103,13,0)</f>
        <v>3</v>
      </c>
      <c r="M55" s="211">
        <f>IF(L55&lt;&gt;"",VLOOKUP($B55,Invulblad!$A$11:$S$103,7,0),"")</f>
        <v>0</v>
      </c>
      <c r="N55" s="209" t="s">
        <v>29</v>
      </c>
      <c r="O55" s="211">
        <f>IF(L55&lt;&gt;"",VLOOKUP($B55,Invulblad!$A$11:$S$103,9,0),"")</f>
        <v>0</v>
      </c>
      <c r="P55" s="212">
        <f t="shared" si="12"/>
        <v>0</v>
      </c>
    </row>
    <row r="56" spans="1:16">
      <c r="A56" s="188">
        <v>43</v>
      </c>
      <c r="B56" s="195">
        <v>27</v>
      </c>
      <c r="C56" s="332">
        <v>41811</v>
      </c>
      <c r="D56" s="333">
        <v>0.75</v>
      </c>
      <c r="E56" s="189" t="s">
        <v>565</v>
      </c>
      <c r="F56" s="189" t="s">
        <v>29</v>
      </c>
      <c r="G56" s="189" t="s">
        <v>439</v>
      </c>
      <c r="H56" s="366">
        <v>4</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1</v>
      </c>
      <c r="I57" s="366" t="s">
        <v>29</v>
      </c>
      <c r="J57" s="366">
        <v>2</v>
      </c>
      <c r="K57" s="212">
        <f t="shared" si="11"/>
        <v>2</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1</v>
      </c>
      <c r="I58" s="366" t="s">
        <v>29</v>
      </c>
      <c r="J58" s="366">
        <v>2</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3</v>
      </c>
      <c r="I59" s="366" t="s">
        <v>29</v>
      </c>
      <c r="J59" s="366">
        <v>0</v>
      </c>
      <c r="K59" s="212" t="str">
        <f t="shared" si="11"/>
        <v>1</v>
      </c>
      <c r="L59" s="210" t="str">
        <f>VLOOKUP($B59,Invulblad!$A$11:$S$103,13,0)</f>
        <v>1</v>
      </c>
      <c r="M59" s="211">
        <f>IF(L59&lt;&gt;"",VLOOKUP($B59,Invulblad!$A$11:$S$103,7,0),"")</f>
        <v>3</v>
      </c>
      <c r="N59" s="209" t="s">
        <v>29</v>
      </c>
      <c r="O59" s="211">
        <f>IF(L59&lt;&gt;"",VLOOKUP($B59,Invulblad!$A$11:$S$103,9,0),"")</f>
        <v>1</v>
      </c>
      <c r="P59" s="212">
        <f t="shared" si="12"/>
        <v>5</v>
      </c>
    </row>
    <row r="60" spans="1:16">
      <c r="A60" s="188">
        <v>47</v>
      </c>
      <c r="B60" s="201" t="s">
        <v>36</v>
      </c>
      <c r="H60" s="201"/>
      <c r="I60" s="201"/>
      <c r="J60" s="201"/>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2</v>
      </c>
      <c r="I62" s="366" t="s">
        <v>29</v>
      </c>
      <c r="J62" s="366">
        <v>2</v>
      </c>
      <c r="K62" s="212">
        <f t="shared" si="11"/>
        <v>3</v>
      </c>
      <c r="L62" s="210" t="str">
        <f>VLOOKUP($B62,Invulblad!$A$11:$S$103,13,0)</f>
        <v>1</v>
      </c>
      <c r="M62" s="211">
        <f>IF(L62&lt;&gt;"",VLOOKUP($B62,Invulblad!$A$11:$S$103,7,0),"")</f>
        <v>4</v>
      </c>
      <c r="N62" s="209" t="s">
        <v>29</v>
      </c>
      <c r="O62" s="211">
        <f>IF(L62&lt;&gt;"",VLOOKUP($B62,Invulblad!$A$11:$S$103,9,0),"")</f>
        <v>0</v>
      </c>
      <c r="P62" s="212">
        <f t="shared" ref="P62:P67" si="13">IF(L62&lt;&gt;"",IF(AND(M62=H62,O62=J62),10,IF(K62=L62,5,0)),"")</f>
        <v>0</v>
      </c>
    </row>
    <row r="63" spans="1:16">
      <c r="A63" s="188">
        <v>50</v>
      </c>
      <c r="B63" s="195">
        <v>14</v>
      </c>
      <c r="C63" s="332">
        <v>41807</v>
      </c>
      <c r="D63" s="333">
        <v>0</v>
      </c>
      <c r="E63" s="189" t="s">
        <v>115</v>
      </c>
      <c r="F63" s="189" t="s">
        <v>29</v>
      </c>
      <c r="G63" s="189" t="s">
        <v>577</v>
      </c>
      <c r="H63" s="366">
        <v>2</v>
      </c>
      <c r="I63" s="366" t="s">
        <v>29</v>
      </c>
      <c r="J63" s="366">
        <v>2</v>
      </c>
      <c r="K63" s="212">
        <f t="shared" si="11"/>
        <v>3</v>
      </c>
      <c r="L63" s="210">
        <f>VLOOKUP($B63,Invulblad!$A$11:$S$103,13,0)</f>
        <v>2</v>
      </c>
      <c r="M63" s="211">
        <f>IF(L63&lt;&gt;"",VLOOKUP($B63,Invulblad!$A$11:$S$103,7,0),"")</f>
        <v>1</v>
      </c>
      <c r="N63" s="209" t="s">
        <v>29</v>
      </c>
      <c r="O63" s="211">
        <f>IF(L63&lt;&gt;"",VLOOKUP($B63,Invulblad!$A$11:$S$103,9,0),"")</f>
        <v>2</v>
      </c>
      <c r="P63" s="212">
        <f t="shared" si="13"/>
        <v>0</v>
      </c>
    </row>
    <row r="64" spans="1:16">
      <c r="A64" s="188">
        <v>51</v>
      </c>
      <c r="B64" s="195">
        <v>29</v>
      </c>
      <c r="C64" s="332">
        <v>41811</v>
      </c>
      <c r="D64" s="333">
        <v>0.875</v>
      </c>
      <c r="E64" s="189" t="s">
        <v>113</v>
      </c>
      <c r="F64" s="189" t="s">
        <v>29</v>
      </c>
      <c r="G64" s="189" t="s">
        <v>114</v>
      </c>
      <c r="H64" s="366">
        <v>2</v>
      </c>
      <c r="I64" s="366" t="s">
        <v>29</v>
      </c>
      <c r="J64" s="366">
        <v>0</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0</v>
      </c>
      <c r="I65" s="366" t="s">
        <v>29</v>
      </c>
      <c r="J65" s="366">
        <v>3</v>
      </c>
      <c r="K65" s="212">
        <f t="shared" si="11"/>
        <v>2</v>
      </c>
      <c r="L65" s="210">
        <f>VLOOKUP($B65,Invulblad!$A$11:$S$103,13,0)</f>
        <v>3</v>
      </c>
      <c r="M65" s="211">
        <f>IF(L65&lt;&gt;"",VLOOKUP($B65,Invulblad!$A$11:$S$103,7,0),"")</f>
        <v>2</v>
      </c>
      <c r="N65" s="209" t="s">
        <v>29</v>
      </c>
      <c r="O65" s="211">
        <f>IF(L65&lt;&gt;"",VLOOKUP($B65,Invulblad!$A$11:$S$103,9,0),"")</f>
        <v>2</v>
      </c>
      <c r="P65" s="212">
        <f t="shared" si="13"/>
        <v>0</v>
      </c>
    </row>
    <row r="66" spans="1:16">
      <c r="A66" s="188">
        <v>53</v>
      </c>
      <c r="B66" s="195">
        <v>45</v>
      </c>
      <c r="C66" s="332">
        <v>41816</v>
      </c>
      <c r="D66" s="333">
        <v>0.75</v>
      </c>
      <c r="E66" s="189" t="s">
        <v>578</v>
      </c>
      <c r="F66" s="189" t="s">
        <v>29</v>
      </c>
      <c r="G66" s="189" t="s">
        <v>116</v>
      </c>
      <c r="H66" s="366">
        <v>1</v>
      </c>
      <c r="I66" s="366" t="s">
        <v>29</v>
      </c>
      <c r="J66" s="366">
        <v>2</v>
      </c>
      <c r="K66" s="212">
        <f t="shared" si="11"/>
        <v>2</v>
      </c>
      <c r="L66" s="210">
        <f>VLOOKUP($B66,Invulblad!$A$11:$S$103,13,0)</f>
        <v>2</v>
      </c>
      <c r="M66" s="211">
        <f>IF(L66&lt;&gt;"",VLOOKUP($B66,Invulblad!$A$11:$S$103,7,0),"")</f>
        <v>0</v>
      </c>
      <c r="N66" s="209" t="s">
        <v>29</v>
      </c>
      <c r="O66" s="211">
        <f>IF(L66&lt;&gt;"",VLOOKUP($B66,Invulblad!$A$11:$S$103,9,0),"")</f>
        <v>1</v>
      </c>
      <c r="P66" s="212">
        <f t="shared" si="13"/>
        <v>5</v>
      </c>
    </row>
    <row r="67" spans="1:16">
      <c r="A67" s="188">
        <v>54</v>
      </c>
      <c r="B67" s="195">
        <v>46</v>
      </c>
      <c r="C67" s="332">
        <v>41816</v>
      </c>
      <c r="D67" s="333">
        <v>0.75</v>
      </c>
      <c r="E67" s="189" t="s">
        <v>126</v>
      </c>
      <c r="F67" s="189" t="s">
        <v>29</v>
      </c>
      <c r="G67" s="189" t="s">
        <v>114</v>
      </c>
      <c r="H67" s="366">
        <v>2</v>
      </c>
      <c r="I67" s="366" t="s">
        <v>29</v>
      </c>
      <c r="J67" s="366">
        <v>1</v>
      </c>
      <c r="K67" s="212" t="str">
        <f t="shared" si="11"/>
        <v>1</v>
      </c>
      <c r="L67" s="210" t="str">
        <f>VLOOKUP($B67,Invulblad!$A$11:$S$103,13,0)</f>
        <v>1</v>
      </c>
      <c r="M67" s="211">
        <f>IF(L67&lt;&gt;"",VLOOKUP($B67,Invulblad!$A$11:$S$103,7,0),"")</f>
        <v>2</v>
      </c>
      <c r="N67" s="209" t="s">
        <v>29</v>
      </c>
      <c r="O67" s="211">
        <f>IF(L67&lt;&gt;"",VLOOKUP($B67,Invulblad!$A$11:$S$103,9,0),"")</f>
        <v>1</v>
      </c>
      <c r="P67" s="212">
        <f t="shared" si="13"/>
        <v>10</v>
      </c>
    </row>
    <row r="68" spans="1:16">
      <c r="A68" s="188">
        <v>55</v>
      </c>
      <c r="B68" s="201" t="s">
        <v>37</v>
      </c>
      <c r="H68" s="201"/>
      <c r="I68" s="201"/>
      <c r="J68" s="201"/>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2</v>
      </c>
      <c r="I70" s="366" t="s">
        <v>29</v>
      </c>
      <c r="J70" s="366">
        <v>0</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c r="A71" s="188">
        <v>58</v>
      </c>
      <c r="B71" s="195">
        <v>16</v>
      </c>
      <c r="C71" s="332">
        <v>41808</v>
      </c>
      <c r="D71" s="333">
        <v>0</v>
      </c>
      <c r="E71" s="189" t="s">
        <v>445</v>
      </c>
      <c r="F71" s="189" t="s">
        <v>29</v>
      </c>
      <c r="G71" s="189" t="s">
        <v>107</v>
      </c>
      <c r="H71" s="366">
        <v>2</v>
      </c>
      <c r="I71" s="366" t="s">
        <v>29</v>
      </c>
      <c r="J71" s="366">
        <v>2</v>
      </c>
      <c r="K71" s="212">
        <f t="shared" si="11"/>
        <v>3</v>
      </c>
      <c r="L71" s="210">
        <f>VLOOKUP($B71,Invulblad!$A$11:$S$103,13,0)</f>
        <v>3</v>
      </c>
      <c r="M71" s="211">
        <f>IF(L71&lt;&gt;"",VLOOKUP($B71,Invulblad!$A$11:$S$103,7,0),"")</f>
        <v>1</v>
      </c>
      <c r="N71" s="209" t="s">
        <v>29</v>
      </c>
      <c r="O71" s="211">
        <f>IF(L71&lt;&gt;"",VLOOKUP($B71,Invulblad!$A$11:$S$103,9,0),"")</f>
        <v>1</v>
      </c>
      <c r="P71" s="212">
        <f t="shared" si="14"/>
        <v>5</v>
      </c>
    </row>
    <row r="72" spans="1:16">
      <c r="A72" s="188">
        <v>59</v>
      </c>
      <c r="B72" s="195">
        <v>31</v>
      </c>
      <c r="C72" s="332">
        <v>41812</v>
      </c>
      <c r="D72" s="333">
        <v>0.75</v>
      </c>
      <c r="E72" s="189" t="s">
        <v>569</v>
      </c>
      <c r="F72" s="189" t="s">
        <v>29</v>
      </c>
      <c r="G72" s="189" t="s">
        <v>446</v>
      </c>
      <c r="H72" s="366">
        <v>2</v>
      </c>
      <c r="I72" s="366" t="s">
        <v>29</v>
      </c>
      <c r="J72" s="366">
        <v>1</v>
      </c>
      <c r="K72" s="212" t="str">
        <f t="shared" si="11"/>
        <v>1</v>
      </c>
      <c r="L72" s="210" t="str">
        <f>VLOOKUP($B72,Invulblad!$A$11:$S$103,13,0)</f>
        <v>1</v>
      </c>
      <c r="M72" s="211">
        <f>IF(L72&lt;&gt;"",VLOOKUP($B72,Invulblad!$A$11:$S$103,7,0),"")</f>
        <v>1</v>
      </c>
      <c r="N72" s="209" t="s">
        <v>29</v>
      </c>
      <c r="O72" s="211">
        <f>IF(L72&lt;&gt;"",VLOOKUP($B72,Invulblad!$A$11:$S$103,9,0),"")</f>
        <v>0</v>
      </c>
      <c r="P72" s="212">
        <f t="shared" si="14"/>
        <v>5</v>
      </c>
    </row>
    <row r="73" spans="1:16">
      <c r="A73" s="188">
        <v>60</v>
      </c>
      <c r="B73" s="195">
        <v>32</v>
      </c>
      <c r="C73" s="332">
        <v>41812</v>
      </c>
      <c r="D73" s="333">
        <v>0.875</v>
      </c>
      <c r="E73" s="189" t="s">
        <v>232</v>
      </c>
      <c r="F73" s="189" t="s">
        <v>29</v>
      </c>
      <c r="G73" s="189" t="s">
        <v>111</v>
      </c>
      <c r="H73" s="366">
        <v>2</v>
      </c>
      <c r="I73" s="366" t="s">
        <v>29</v>
      </c>
      <c r="J73" s="366">
        <v>0</v>
      </c>
      <c r="K73" s="212" t="str">
        <f t="shared" si="11"/>
        <v>1</v>
      </c>
      <c r="L73" s="210">
        <f>VLOOKUP($B73,Invulblad!$A$11:$S$103,13,0)</f>
        <v>2</v>
      </c>
      <c r="M73" s="211">
        <f>IF(L73&lt;&gt;"",VLOOKUP($B73,Invulblad!$A$11:$S$103,7,0),"")</f>
        <v>2</v>
      </c>
      <c r="N73" s="209" t="s">
        <v>29</v>
      </c>
      <c r="O73" s="211">
        <f>IF(L73&lt;&gt;"",VLOOKUP($B73,Invulblad!$A$11:$S$103,9,0),"")</f>
        <v>4</v>
      </c>
      <c r="P73" s="212">
        <f t="shared" si="14"/>
        <v>0</v>
      </c>
    </row>
    <row r="74" spans="1:16">
      <c r="A74" s="188">
        <v>61</v>
      </c>
      <c r="B74" s="195">
        <v>47</v>
      </c>
      <c r="C74" s="332">
        <v>41816</v>
      </c>
      <c r="D74" s="333">
        <v>0.91666666666666663</v>
      </c>
      <c r="E74" s="189" t="s">
        <v>232</v>
      </c>
      <c r="F74" s="189" t="s">
        <v>29</v>
      </c>
      <c r="G74" s="189" t="s">
        <v>570</v>
      </c>
      <c r="H74" s="366">
        <v>1</v>
      </c>
      <c r="I74" s="366" t="s">
        <v>29</v>
      </c>
      <c r="J74" s="366">
        <v>2</v>
      </c>
      <c r="K74" s="212">
        <f t="shared" si="11"/>
        <v>2</v>
      </c>
      <c r="L74" s="210">
        <f>VLOOKUP($B74,Invulblad!$A$11:$S$103,13,0)</f>
        <v>2</v>
      </c>
      <c r="M74" s="211">
        <f>IF(L74&lt;&gt;"",VLOOKUP($B74,Invulblad!$A$11:$S$103,7,0),"")</f>
        <v>0</v>
      </c>
      <c r="N74" s="209" t="s">
        <v>29</v>
      </c>
      <c r="O74" s="211">
        <f>IF(L74&lt;&gt;"",VLOOKUP($B74,Invulblad!$A$11:$S$103,9,0),"")</f>
        <v>1</v>
      </c>
      <c r="P74" s="212">
        <f t="shared" si="14"/>
        <v>5</v>
      </c>
    </row>
    <row r="75" spans="1:16">
      <c r="A75" s="188">
        <v>62</v>
      </c>
      <c r="B75" s="195">
        <v>48</v>
      </c>
      <c r="C75" s="332">
        <v>41816</v>
      </c>
      <c r="D75" s="333">
        <v>0.91666666666666663</v>
      </c>
      <c r="E75" s="189" t="s">
        <v>236</v>
      </c>
      <c r="F75" s="189" t="s">
        <v>29</v>
      </c>
      <c r="G75" s="189" t="s">
        <v>446</v>
      </c>
      <c r="H75" s="366">
        <v>0</v>
      </c>
      <c r="I75" s="366" t="s">
        <v>29</v>
      </c>
      <c r="J75" s="366">
        <v>2</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201"/>
      <c r="I76" s="201"/>
      <c r="J76" s="201"/>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207</v>
      </c>
      <c r="H78" s="366">
        <v>2</v>
      </c>
      <c r="I78" s="366" t="s">
        <v>29</v>
      </c>
      <c r="J78" s="366">
        <v>0</v>
      </c>
      <c r="K78" s="212" t="str">
        <f t="shared" si="11"/>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390</v>
      </c>
      <c r="F79" s="189" t="s">
        <v>29</v>
      </c>
      <c r="G79" s="189" t="s">
        <v>97</v>
      </c>
      <c r="H79" s="366">
        <v>1</v>
      </c>
      <c r="I79" s="366" t="s">
        <v>29</v>
      </c>
      <c r="J79" s="366">
        <v>1</v>
      </c>
      <c r="K79" s="212">
        <f t="shared" si="11"/>
        <v>3</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138</v>
      </c>
      <c r="F80" s="189" t="s">
        <v>29</v>
      </c>
      <c r="G80" s="189" t="s">
        <v>389</v>
      </c>
      <c r="H80" s="366">
        <v>3</v>
      </c>
      <c r="I80" s="366" t="s">
        <v>29</v>
      </c>
      <c r="J80" s="366">
        <v>1</v>
      </c>
      <c r="K80" s="212" t="str">
        <f t="shared" si="11"/>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193</v>
      </c>
      <c r="F81" s="189" t="s">
        <v>29</v>
      </c>
      <c r="G81" s="189" t="s">
        <v>187</v>
      </c>
      <c r="H81" s="366">
        <v>2</v>
      </c>
      <c r="I81" s="366" t="s">
        <v>29</v>
      </c>
      <c r="J81" s="366">
        <v>0</v>
      </c>
      <c r="K81" s="212" t="str">
        <f t="shared" si="11"/>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209</v>
      </c>
      <c r="F82" s="189" t="s">
        <v>29</v>
      </c>
      <c r="G82" s="189" t="s">
        <v>572</v>
      </c>
      <c r="H82" s="366">
        <v>2</v>
      </c>
      <c r="I82" s="366" t="s">
        <v>29</v>
      </c>
      <c r="J82" s="366">
        <v>2</v>
      </c>
      <c r="K82" s="212">
        <f t="shared" si="11"/>
        <v>3</v>
      </c>
      <c r="L82" s="210" t="str">
        <f>VLOOKUP($B82,Invulblad!$A$11:$S$103,13,0)</f>
        <v>1</v>
      </c>
      <c r="M82" s="211">
        <f>IF(L82&lt;&gt;"",VLOOKUP($B82,Invulblad!$A$11:$S$103,7,0),"")</f>
        <v>2</v>
      </c>
      <c r="N82" s="209" t="s">
        <v>29</v>
      </c>
      <c r="O82" s="211">
        <f>IF(L82&lt;&gt;"",VLOOKUP($B82,Invulblad!$A$11:$S$103,9,0),"")</f>
        <v>0</v>
      </c>
      <c r="P82" s="212">
        <f t="shared" si="15"/>
        <v>0</v>
      </c>
    </row>
    <row r="83" spans="1:16">
      <c r="A83" s="188">
        <v>70</v>
      </c>
      <c r="B83" s="195">
        <v>54</v>
      </c>
      <c r="C83" s="332">
        <v>41820</v>
      </c>
      <c r="D83" s="333">
        <v>0.91666666666666663</v>
      </c>
      <c r="E83" s="189" t="s">
        <v>202</v>
      </c>
      <c r="F83" s="189" t="s">
        <v>29</v>
      </c>
      <c r="G83" s="189" t="s">
        <v>396</v>
      </c>
      <c r="H83" s="366">
        <v>2</v>
      </c>
      <c r="I83" s="366" t="s">
        <v>29</v>
      </c>
      <c r="J83" s="366">
        <v>1</v>
      </c>
      <c r="K83" s="212" t="str">
        <f t="shared" si="11"/>
        <v>1</v>
      </c>
      <c r="L83" s="210" t="str">
        <f>VLOOKUP($B83,Invulblad!$A$11:$S$103,13,0)</f>
        <v>1</v>
      </c>
      <c r="M83" s="211">
        <f>IF(L83&lt;&gt;"",VLOOKUP($B83,Invulblad!$A$11:$S$103,7,0),"")</f>
        <v>2</v>
      </c>
      <c r="N83" s="209" t="s">
        <v>29</v>
      </c>
      <c r="O83" s="211">
        <f>IF(L83&lt;&gt;"",VLOOKUP($B83,Invulblad!$A$11:$S$103,9,0),"")</f>
        <v>1</v>
      </c>
      <c r="P83" s="212">
        <f t="shared" si="15"/>
        <v>10</v>
      </c>
    </row>
    <row r="84" spans="1:16">
      <c r="A84" s="188">
        <v>71</v>
      </c>
      <c r="B84" s="195">
        <v>55</v>
      </c>
      <c r="C84" s="332">
        <v>41821</v>
      </c>
      <c r="D84" s="333">
        <v>0.75</v>
      </c>
      <c r="E84" s="189" t="s">
        <v>102</v>
      </c>
      <c r="F84" s="189" t="s">
        <v>29</v>
      </c>
      <c r="G84" s="189" t="s">
        <v>392</v>
      </c>
      <c r="H84" s="366">
        <v>3</v>
      </c>
      <c r="I84" s="366" t="s">
        <v>29</v>
      </c>
      <c r="J84" s="366">
        <v>1</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395</v>
      </c>
      <c r="F85" s="189" t="s">
        <v>29</v>
      </c>
      <c r="G85" s="189" t="s">
        <v>177</v>
      </c>
      <c r="H85" s="366">
        <v>2</v>
      </c>
      <c r="I85" s="366" t="s">
        <v>29</v>
      </c>
      <c r="J85" s="366">
        <v>3</v>
      </c>
      <c r="K85" s="212">
        <f t="shared" si="11"/>
        <v>2</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201"/>
      <c r="I86" s="201"/>
      <c r="J86" s="201"/>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97</v>
      </c>
      <c r="H88" s="366">
        <v>2</v>
      </c>
      <c r="I88" s="366" t="s">
        <v>29</v>
      </c>
      <c r="J88" s="366">
        <v>0</v>
      </c>
      <c r="K88" s="212" t="str">
        <f t="shared" si="16"/>
        <v>1</v>
      </c>
      <c r="L88" s="210" t="str">
        <f>VLOOKUP($B88,Invulblad!$A$11:$S$103,13,0)</f>
        <v>1</v>
      </c>
      <c r="M88" s="211">
        <f>IF(L88&lt;&gt;"",VLOOKUP($B88,Invulblad!$A$11:$S$103,7,0),"")</f>
        <v>2</v>
      </c>
      <c r="N88" s="209" t="s">
        <v>29</v>
      </c>
      <c r="O88" s="211">
        <f>IF(L88&lt;&gt;"",VLOOKUP($B88,Invulblad!$A$11:$S$103,9,0),"")</f>
        <v>1</v>
      </c>
      <c r="P88" s="212">
        <f>IF(L88&lt;&gt;"",IF(AND(M88=H88,O88=J88),10,IF(K88=L88,5,0)),"")</f>
        <v>5</v>
      </c>
    </row>
    <row r="89" spans="1:16">
      <c r="A89" s="188">
        <v>76</v>
      </c>
      <c r="B89" s="195">
        <v>58</v>
      </c>
      <c r="C89" s="332">
        <v>41824</v>
      </c>
      <c r="D89" s="333">
        <v>0.75</v>
      </c>
      <c r="E89" s="189" t="s">
        <v>572</v>
      </c>
      <c r="F89" s="189" t="s">
        <v>29</v>
      </c>
      <c r="G89" s="189" t="s">
        <v>202</v>
      </c>
      <c r="H89" s="366">
        <v>1</v>
      </c>
      <c r="I89" s="366" t="s">
        <v>29</v>
      </c>
      <c r="J89" s="366">
        <v>2</v>
      </c>
      <c r="K89" s="212">
        <f t="shared" si="16"/>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138</v>
      </c>
      <c r="F90" s="189" t="s">
        <v>29</v>
      </c>
      <c r="G90" s="189" t="s">
        <v>193</v>
      </c>
      <c r="H90" s="366">
        <v>2</v>
      </c>
      <c r="I90" s="366" t="s">
        <v>29</v>
      </c>
      <c r="J90" s="366">
        <v>2</v>
      </c>
      <c r="K90" s="212">
        <f t="shared" si="16"/>
        <v>3</v>
      </c>
      <c r="L90" s="210">
        <f>VLOOKUP($B90,Invulblad!$A$11:$S$103,13,0)</f>
        <v>3</v>
      </c>
      <c r="M90" s="211">
        <f>IF(L90&lt;&gt;"",VLOOKUP($B90,Invulblad!$A$11:$S$103,7,0),"")</f>
        <v>0</v>
      </c>
      <c r="N90" s="209" t="s">
        <v>29</v>
      </c>
      <c r="O90" s="211">
        <f>IF(L90&lt;&gt;"",VLOOKUP($B90,Invulblad!$A$11:$S$103,9,0),"")</f>
        <v>0</v>
      </c>
      <c r="P90" s="212">
        <f>IF(L90&lt;&gt;"",IF(AND(M90=H90,O90=J90),10,IF(K90=L90,5,0)),"")</f>
        <v>5</v>
      </c>
    </row>
    <row r="91" spans="1:16">
      <c r="A91" s="188">
        <v>78</v>
      </c>
      <c r="B91" s="195">
        <v>60</v>
      </c>
      <c r="C91" s="332">
        <v>41825</v>
      </c>
      <c r="D91" s="333">
        <v>0.75</v>
      </c>
      <c r="E91" s="189" t="s">
        <v>102</v>
      </c>
      <c r="F91" s="189" t="s">
        <v>29</v>
      </c>
      <c r="G91" s="189" t="s">
        <v>177</v>
      </c>
      <c r="H91" s="366">
        <v>1</v>
      </c>
      <c r="I91" s="366" t="s">
        <v>29</v>
      </c>
      <c r="J91" s="366">
        <v>1</v>
      </c>
      <c r="K91" s="212">
        <f t="shared" si="16"/>
        <v>3</v>
      </c>
      <c r="L91" s="210" t="str">
        <f>VLOOKUP($B91,Invulblad!$A$11:$S$103,13,0)</f>
        <v>1</v>
      </c>
      <c r="M91" s="211">
        <f>IF(L91&lt;&gt;"",VLOOKUP($B91,Invulblad!$A$11:$S$103,7,0),"")</f>
        <v>1</v>
      </c>
      <c r="N91" s="209" t="s">
        <v>29</v>
      </c>
      <c r="O91" s="211">
        <f>IF(L91&lt;&gt;"",VLOOKUP($B91,Invulblad!$A$11:$S$103,9,0),"")</f>
        <v>0</v>
      </c>
      <c r="P91" s="212">
        <f>IF(L91&lt;&gt;"",IF(AND(M91=H91,O91=J91),10,IF(K91=L91,5,0)),"")</f>
        <v>0</v>
      </c>
    </row>
    <row r="92" spans="1:16">
      <c r="A92" s="188">
        <v>79</v>
      </c>
      <c r="B92" s="201" t="s">
        <v>88</v>
      </c>
      <c r="H92" s="201"/>
      <c r="I92" s="201"/>
      <c r="J92" s="201"/>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202</v>
      </c>
      <c r="H94" s="366">
        <v>2</v>
      </c>
      <c r="I94" s="366" t="s">
        <v>29</v>
      </c>
      <c r="J94" s="366">
        <v>1</v>
      </c>
      <c r="K94" s="212" t="str">
        <f t="shared" si="16"/>
        <v>1</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138</v>
      </c>
      <c r="F95" s="189" t="s">
        <v>29</v>
      </c>
      <c r="G95" s="189" t="s">
        <v>102</v>
      </c>
      <c r="H95" s="366">
        <v>1</v>
      </c>
      <c r="I95" s="366" t="s">
        <v>29</v>
      </c>
      <c r="J95" s="366">
        <v>2</v>
      </c>
      <c r="K95" s="212">
        <f t="shared" si="16"/>
        <v>2</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201"/>
      <c r="I96" s="201"/>
      <c r="J96" s="201"/>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202</v>
      </c>
      <c r="F98" s="189" t="s">
        <v>29</v>
      </c>
      <c r="G98" s="189" t="s">
        <v>138</v>
      </c>
      <c r="H98" s="366">
        <v>1</v>
      </c>
      <c r="I98" s="366" t="s">
        <v>29</v>
      </c>
      <c r="J98" s="366">
        <v>1</v>
      </c>
      <c r="K98" s="212">
        <f t="shared" si="16"/>
        <v>3</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201"/>
      <c r="I99" s="201"/>
      <c r="J99" s="201"/>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199</v>
      </c>
      <c r="F101" s="189" t="s">
        <v>29</v>
      </c>
      <c r="G101" s="189" t="s">
        <v>102</v>
      </c>
      <c r="H101" s="366">
        <v>2</v>
      </c>
      <c r="I101" s="366" t="s">
        <v>29</v>
      </c>
      <c r="J101" s="366">
        <v>2</v>
      </c>
      <c r="K101" s="212">
        <f t="shared" si="16"/>
        <v>3</v>
      </c>
      <c r="L101" s="210" t="str">
        <f>VLOOKUP($B101,Invulblad!$A$11:$S$103,13,0)</f>
        <v>1</v>
      </c>
      <c r="M101" s="211">
        <f>IF(L101&lt;&gt;"",VLOOKUP($B101,Invulblad!$A$11:$S$103,7,0),"")</f>
        <v>1</v>
      </c>
      <c r="N101" s="209" t="s">
        <v>29</v>
      </c>
      <c r="O101" s="211">
        <f>IF(L101&lt;&gt;"",VLOOKUP($B101,Invulblad!$A$11:$S$103,9,0),"")</f>
        <v>0</v>
      </c>
      <c r="P101" s="212">
        <f>IF(L101&lt;&gt;"",IF(AND(M101=H101,O101=J101),10,IF(K101=L101,5,0)),"")</f>
        <v>0</v>
      </c>
    </row>
    <row r="102" spans="1:16">
      <c r="B102" s="208" t="s">
        <v>517</v>
      </c>
      <c r="C102" s="208"/>
      <c r="D102" s="208"/>
      <c r="E102" s="208"/>
      <c r="F102" s="208"/>
      <c r="G102" s="208"/>
      <c r="H102" s="208"/>
      <c r="I102" s="208"/>
      <c r="J102" s="208"/>
      <c r="K102" s="208"/>
      <c r="L102" s="214"/>
      <c r="M102" s="211"/>
      <c r="N102" s="209"/>
      <c r="O102" s="211"/>
    </row>
    <row r="103" spans="1:16">
      <c r="H103" s="363"/>
      <c r="I103" s="363"/>
      <c r="J103" s="363"/>
      <c r="M103" s="211"/>
      <c r="N103" s="209"/>
      <c r="O103" s="211"/>
    </row>
    <row r="104" spans="1:16">
      <c r="H104" s="363"/>
      <c r="I104" s="363"/>
      <c r="J104" s="363"/>
      <c r="M104" s="211"/>
      <c r="N104" s="209"/>
      <c r="O104" s="211"/>
    </row>
    <row r="105" spans="1:16">
      <c r="H105" s="363"/>
      <c r="I105" s="363"/>
      <c r="J105" s="363"/>
      <c r="M105" s="211"/>
      <c r="N105" s="209"/>
      <c r="O105" s="211"/>
    </row>
    <row r="106" spans="1:16">
      <c r="B106" s="201" t="s">
        <v>139</v>
      </c>
      <c r="H106" s="363"/>
      <c r="I106" s="363"/>
      <c r="J106" s="363"/>
      <c r="M106" s="211"/>
      <c r="N106" s="209"/>
      <c r="O106" s="211"/>
    </row>
    <row r="107" spans="1:16">
      <c r="B107" s="201"/>
      <c r="H107" s="363"/>
      <c r="I107" s="363"/>
      <c r="J107" s="363"/>
    </row>
    <row r="108" spans="1:16">
      <c r="A108" s="188" t="s">
        <v>65</v>
      </c>
      <c r="B108" s="189" t="s">
        <v>140</v>
      </c>
      <c r="C108" s="189" t="s">
        <v>141</v>
      </c>
      <c r="D108" s="201" t="s">
        <v>199</v>
      </c>
      <c r="H108" s="363"/>
      <c r="I108" s="363"/>
      <c r="J108" s="363"/>
      <c r="M108" s="211"/>
      <c r="N108" s="209"/>
      <c r="O108" s="211"/>
    </row>
    <row r="109" spans="1:16">
      <c r="A109" s="188" t="s">
        <v>66</v>
      </c>
      <c r="B109" s="189" t="s">
        <v>142</v>
      </c>
      <c r="C109" s="189" t="s">
        <v>141</v>
      </c>
      <c r="D109" s="201" t="s">
        <v>389</v>
      </c>
      <c r="H109" s="363"/>
      <c r="I109" s="363"/>
      <c r="J109" s="363"/>
    </row>
    <row r="110" spans="1:16">
      <c r="H110" s="363"/>
      <c r="I110" s="363"/>
      <c r="J110" s="363"/>
    </row>
    <row r="111" spans="1:16">
      <c r="H111" s="363"/>
      <c r="I111" s="363"/>
      <c r="J111" s="363"/>
    </row>
    <row r="112" spans="1:16">
      <c r="B112" s="201" t="s">
        <v>144</v>
      </c>
      <c r="H112" s="363"/>
      <c r="I112" s="363"/>
      <c r="J112" s="363"/>
    </row>
    <row r="113" spans="2:15" ht="15.75" thickBot="1">
      <c r="H113" s="363"/>
      <c r="I113" s="363"/>
      <c r="J113" s="363"/>
    </row>
    <row r="114" spans="2:15" ht="15.75" thickBot="1">
      <c r="B114" s="215" t="s">
        <v>145</v>
      </c>
      <c r="C114" s="215" t="s">
        <v>146</v>
      </c>
      <c r="D114" s="215" t="s">
        <v>147</v>
      </c>
      <c r="E114" s="215" t="s">
        <v>148</v>
      </c>
      <c r="H114" s="363"/>
      <c r="I114" s="363"/>
      <c r="J114" s="363"/>
    </row>
    <row r="115" spans="2:15" ht="15.75" thickBot="1">
      <c r="B115" s="216" t="s">
        <v>199</v>
      </c>
      <c r="C115" s="216" t="s">
        <v>163</v>
      </c>
      <c r="D115" s="216" t="s">
        <v>164</v>
      </c>
      <c r="E115" s="216" t="s">
        <v>243</v>
      </c>
      <c r="H115" s="363"/>
      <c r="I115" s="363"/>
      <c r="J115" s="363"/>
    </row>
    <row r="116" spans="2:15" ht="15.75" thickBot="1">
      <c r="B116" s="217" t="s">
        <v>389</v>
      </c>
      <c r="C116" s="217" t="s">
        <v>149</v>
      </c>
      <c r="D116" s="217" t="s">
        <v>156</v>
      </c>
      <c r="E116" s="217" t="s">
        <v>155</v>
      </c>
      <c r="H116" s="363"/>
      <c r="I116" s="363"/>
      <c r="J116" s="363"/>
    </row>
    <row r="117" spans="2:15" ht="15.75" thickBot="1">
      <c r="B117" s="216" t="s">
        <v>152</v>
      </c>
      <c r="C117" s="216" t="s">
        <v>149</v>
      </c>
      <c r="D117" s="216" t="s">
        <v>154</v>
      </c>
      <c r="E117" s="216" t="s">
        <v>149</v>
      </c>
      <c r="H117" s="363"/>
      <c r="I117" s="363"/>
      <c r="J117" s="363"/>
    </row>
    <row r="118" spans="2:15" ht="15.75" thickBot="1">
      <c r="B118" s="217" t="s">
        <v>185</v>
      </c>
      <c r="C118" s="217" t="s">
        <v>150</v>
      </c>
      <c r="D118" s="217" t="s">
        <v>241</v>
      </c>
      <c r="E118" s="217" t="s">
        <v>150</v>
      </c>
      <c r="H118" s="363"/>
      <c r="I118" s="363"/>
      <c r="J118" s="363"/>
    </row>
    <row r="119" spans="2:15">
      <c r="H119" s="363"/>
      <c r="I119" s="363"/>
      <c r="J119" s="363"/>
    </row>
    <row r="120" spans="2:15">
      <c r="H120" s="363"/>
      <c r="I120" s="363"/>
      <c r="J120" s="363"/>
    </row>
    <row r="121" spans="2:15">
      <c r="B121" s="201" t="s">
        <v>157</v>
      </c>
      <c r="H121" s="363"/>
      <c r="I121" s="363"/>
      <c r="J121" s="363"/>
    </row>
    <row r="122" spans="2:15">
      <c r="B122" s="195"/>
      <c r="H122" s="363"/>
      <c r="I122" s="363"/>
      <c r="J122" s="363"/>
    </row>
    <row r="123" spans="2:15">
      <c r="B123" s="195" t="s">
        <v>158</v>
      </c>
      <c r="H123" s="363"/>
      <c r="I123" s="363"/>
      <c r="J123" s="363"/>
    </row>
    <row r="124" spans="2:15">
      <c r="B124" s="195" t="s">
        <v>249</v>
      </c>
      <c r="H124" s="363"/>
      <c r="I124" s="363"/>
      <c r="J124" s="363"/>
    </row>
    <row r="125" spans="2:15">
      <c r="H125" s="363"/>
      <c r="I125" s="363"/>
      <c r="J125" s="363"/>
    </row>
    <row r="126" spans="2:15">
      <c r="H126" s="363"/>
      <c r="I126" s="363"/>
      <c r="J126" s="363"/>
    </row>
    <row r="127" spans="2:15">
      <c r="B127" s="218"/>
      <c r="C127" s="218"/>
      <c r="D127" s="218"/>
      <c r="E127" s="218"/>
      <c r="F127" s="218"/>
      <c r="G127" s="218"/>
      <c r="H127" s="364"/>
      <c r="I127" s="364"/>
      <c r="J127" s="364"/>
      <c r="K127" s="218"/>
      <c r="L127" s="219"/>
      <c r="M127" s="218"/>
      <c r="N127" s="218"/>
      <c r="O127" s="218"/>
    </row>
    <row r="128" spans="2:15">
      <c r="H128" s="363"/>
      <c r="I128" s="363"/>
      <c r="J128" s="363"/>
    </row>
    <row r="129" spans="1:10">
      <c r="H129" s="363"/>
      <c r="I129" s="363"/>
      <c r="J129" s="363"/>
    </row>
    <row r="130" spans="1:10">
      <c r="B130" s="201" t="s">
        <v>160</v>
      </c>
      <c r="H130" s="363"/>
      <c r="I130" s="363"/>
      <c r="J130" s="363"/>
    </row>
    <row r="131" spans="1:10">
      <c r="H131" s="363"/>
      <c r="I131" s="363"/>
      <c r="J131" s="363"/>
    </row>
    <row r="132" spans="1:10">
      <c r="A132" s="227" t="s">
        <v>67</v>
      </c>
      <c r="B132" s="189" t="s">
        <v>140</v>
      </c>
      <c r="C132" s="189" t="s">
        <v>141</v>
      </c>
      <c r="D132" s="201" t="s">
        <v>138</v>
      </c>
      <c r="H132" s="363"/>
      <c r="I132" s="363"/>
      <c r="J132" s="363"/>
    </row>
    <row r="133" spans="1:10">
      <c r="A133" s="188" t="s">
        <v>68</v>
      </c>
      <c r="B133" s="189" t="s">
        <v>142</v>
      </c>
      <c r="C133" s="189" t="s">
        <v>141</v>
      </c>
      <c r="D133" s="201" t="s">
        <v>207</v>
      </c>
      <c r="H133" s="363"/>
      <c r="I133" s="363"/>
      <c r="J133" s="363"/>
    </row>
    <row r="134" spans="1:10">
      <c r="H134" s="363"/>
      <c r="I134" s="363"/>
      <c r="J134" s="363"/>
    </row>
    <row r="135" spans="1:10">
      <c r="H135" s="363"/>
      <c r="I135" s="363"/>
      <c r="J135" s="363"/>
    </row>
    <row r="136" spans="1:10">
      <c r="B136" s="201" t="s">
        <v>161</v>
      </c>
      <c r="H136" s="363"/>
      <c r="I136" s="363"/>
      <c r="J136" s="363"/>
    </row>
    <row r="137" spans="1:10" ht="15.75" thickBot="1">
      <c r="H137" s="363"/>
      <c r="I137" s="363"/>
      <c r="J137" s="363"/>
    </row>
    <row r="138" spans="1:10" ht="15.75" thickBot="1">
      <c r="B138" s="215" t="s">
        <v>145</v>
      </c>
      <c r="C138" s="215" t="s">
        <v>146</v>
      </c>
      <c r="D138" s="215" t="s">
        <v>147</v>
      </c>
      <c r="E138" s="215" t="s">
        <v>148</v>
      </c>
      <c r="H138" s="363"/>
      <c r="I138" s="363"/>
      <c r="J138" s="363"/>
    </row>
    <row r="139" spans="1:10" ht="15.75" thickBot="1">
      <c r="B139" s="216" t="s">
        <v>138</v>
      </c>
      <c r="C139" s="216" t="s">
        <v>172</v>
      </c>
      <c r="D139" s="216" t="s">
        <v>151</v>
      </c>
      <c r="E139" s="216" t="s">
        <v>155</v>
      </c>
      <c r="H139" s="363"/>
      <c r="I139" s="363"/>
      <c r="J139" s="363"/>
    </row>
    <row r="140" spans="1:10" ht="15.75" thickBot="1">
      <c r="B140" s="217" t="s">
        <v>135</v>
      </c>
      <c r="C140" s="217" t="s">
        <v>149</v>
      </c>
      <c r="D140" s="217" t="s">
        <v>156</v>
      </c>
      <c r="E140" s="217" t="s">
        <v>149</v>
      </c>
      <c r="H140" s="363"/>
      <c r="I140" s="363"/>
      <c r="J140" s="363"/>
    </row>
    <row r="141" spans="1:10" ht="15.75" thickBot="1">
      <c r="B141" s="216" t="s">
        <v>207</v>
      </c>
      <c r="C141" s="216" t="s">
        <v>155</v>
      </c>
      <c r="D141" s="216" t="s">
        <v>156</v>
      </c>
      <c r="E141" s="216" t="s">
        <v>149</v>
      </c>
      <c r="H141" s="363"/>
      <c r="I141" s="363"/>
      <c r="J141" s="363"/>
    </row>
    <row r="142" spans="1:10" ht="15.75" thickBot="1">
      <c r="B142" s="217" t="s">
        <v>179</v>
      </c>
      <c r="C142" s="217" t="s">
        <v>150</v>
      </c>
      <c r="D142" s="217" t="s">
        <v>162</v>
      </c>
      <c r="E142" s="217" t="s">
        <v>156</v>
      </c>
      <c r="H142" s="363"/>
      <c r="I142" s="363"/>
      <c r="J142" s="363"/>
    </row>
    <row r="143" spans="1:10">
      <c r="H143" s="363"/>
      <c r="I143" s="363"/>
      <c r="J143" s="363"/>
    </row>
    <row r="144" spans="1:10">
      <c r="H144" s="363"/>
      <c r="I144" s="363"/>
      <c r="J144" s="363"/>
    </row>
    <row r="145" spans="1:15">
      <c r="B145" s="201" t="s">
        <v>166</v>
      </c>
      <c r="H145" s="363"/>
      <c r="I145" s="363"/>
      <c r="J145" s="363"/>
    </row>
    <row r="146" spans="1:15">
      <c r="B146" s="195"/>
      <c r="H146" s="363"/>
      <c r="I146" s="363"/>
      <c r="J146" s="363"/>
    </row>
    <row r="147" spans="1:15">
      <c r="B147" s="195" t="s">
        <v>167</v>
      </c>
      <c r="H147" s="363"/>
      <c r="I147" s="363"/>
      <c r="J147" s="363"/>
    </row>
    <row r="148" spans="1:15">
      <c r="B148" s="195" t="s">
        <v>168</v>
      </c>
      <c r="H148" s="363"/>
      <c r="I148" s="363"/>
      <c r="J148" s="363"/>
    </row>
    <row r="149" spans="1:15">
      <c r="H149" s="363"/>
      <c r="I149" s="363"/>
      <c r="J149" s="363"/>
    </row>
    <row r="150" spans="1:15">
      <c r="H150" s="363"/>
      <c r="I150" s="363"/>
      <c r="J150" s="363"/>
    </row>
    <row r="151" spans="1:15">
      <c r="B151" s="218"/>
      <c r="C151" s="218"/>
      <c r="D151" s="218"/>
      <c r="E151" s="218"/>
      <c r="F151" s="218"/>
      <c r="G151" s="218"/>
      <c r="H151" s="364"/>
      <c r="I151" s="364"/>
      <c r="J151" s="364"/>
      <c r="K151" s="218"/>
      <c r="L151" s="219"/>
      <c r="M151" s="218"/>
      <c r="N151" s="218"/>
      <c r="O151" s="218"/>
    </row>
    <row r="152" spans="1:15">
      <c r="H152" s="363"/>
      <c r="I152" s="363"/>
      <c r="J152" s="363"/>
    </row>
    <row r="153" spans="1:15">
      <c r="H153" s="363"/>
      <c r="I153" s="363"/>
      <c r="J153" s="363"/>
    </row>
    <row r="154" spans="1:15">
      <c r="B154" s="201" t="s">
        <v>169</v>
      </c>
      <c r="H154" s="363"/>
      <c r="I154" s="363"/>
      <c r="J154" s="363"/>
    </row>
    <row r="155" spans="1:15">
      <c r="H155" s="363"/>
      <c r="I155" s="363"/>
      <c r="J155" s="363"/>
    </row>
    <row r="156" spans="1:15">
      <c r="A156" s="188" t="s">
        <v>69</v>
      </c>
      <c r="B156" s="189" t="s">
        <v>140</v>
      </c>
      <c r="C156" s="189" t="s">
        <v>141</v>
      </c>
      <c r="D156" s="201" t="s">
        <v>390</v>
      </c>
      <c r="H156" s="363"/>
      <c r="I156" s="363"/>
      <c r="J156" s="363"/>
    </row>
    <row r="157" spans="1:15">
      <c r="A157" s="188" t="s">
        <v>70</v>
      </c>
      <c r="B157" s="189" t="s">
        <v>142</v>
      </c>
      <c r="C157" s="189" t="s">
        <v>141</v>
      </c>
      <c r="D157" s="201" t="s">
        <v>187</v>
      </c>
      <c r="H157" s="363"/>
      <c r="I157" s="363"/>
      <c r="J157" s="363"/>
    </row>
    <row r="158" spans="1:15">
      <c r="H158" s="363"/>
      <c r="I158" s="363"/>
      <c r="J158" s="363"/>
    </row>
    <row r="159" spans="1:15">
      <c r="H159" s="363"/>
      <c r="I159" s="363"/>
      <c r="J159" s="363"/>
    </row>
    <row r="160" spans="1:15">
      <c r="B160" s="201" t="s">
        <v>170</v>
      </c>
      <c r="H160" s="363"/>
      <c r="I160" s="363"/>
      <c r="J160" s="363"/>
    </row>
    <row r="161" spans="2:15" ht="15.75" thickBot="1">
      <c r="H161" s="363"/>
      <c r="I161" s="363"/>
      <c r="J161" s="363"/>
    </row>
    <row r="162" spans="2:15" ht="15.75" thickBot="1">
      <c r="B162" s="215" t="s">
        <v>145</v>
      </c>
      <c r="C162" s="215" t="s">
        <v>146</v>
      </c>
      <c r="D162" s="215" t="s">
        <v>147</v>
      </c>
      <c r="E162" s="215" t="s">
        <v>148</v>
      </c>
      <c r="H162" s="363"/>
      <c r="I162" s="363"/>
      <c r="J162" s="363"/>
    </row>
    <row r="163" spans="2:15" ht="15.75" thickBot="1">
      <c r="B163" s="216" t="s">
        <v>390</v>
      </c>
      <c r="C163" s="216" t="s">
        <v>163</v>
      </c>
      <c r="D163" s="216" t="s">
        <v>151</v>
      </c>
      <c r="E163" s="216" t="s">
        <v>155</v>
      </c>
      <c r="H163" s="363"/>
      <c r="I163" s="363"/>
      <c r="J163" s="363"/>
    </row>
    <row r="164" spans="2:15" ht="15.75" thickBot="1">
      <c r="B164" s="217" t="s">
        <v>106</v>
      </c>
      <c r="C164" s="217" t="s">
        <v>156</v>
      </c>
      <c r="D164" s="217" t="s">
        <v>165</v>
      </c>
      <c r="E164" s="217" t="s">
        <v>149</v>
      </c>
      <c r="H164" s="363"/>
      <c r="I164" s="363"/>
      <c r="J164" s="363"/>
    </row>
    <row r="165" spans="2:15" ht="15.75" thickBot="1">
      <c r="B165" s="216" t="s">
        <v>200</v>
      </c>
      <c r="C165" s="216" t="s">
        <v>153</v>
      </c>
      <c r="D165" s="216" t="s">
        <v>154</v>
      </c>
      <c r="E165" s="216" t="s">
        <v>149</v>
      </c>
      <c r="H165" s="363"/>
      <c r="I165" s="363"/>
      <c r="J165" s="363"/>
    </row>
    <row r="166" spans="2:15" ht="15.75" thickBot="1">
      <c r="B166" s="217" t="s">
        <v>187</v>
      </c>
      <c r="C166" s="217" t="s">
        <v>149</v>
      </c>
      <c r="D166" s="217" t="s">
        <v>150</v>
      </c>
      <c r="E166" s="217" t="s">
        <v>151</v>
      </c>
      <c r="H166" s="363"/>
      <c r="I166" s="363"/>
      <c r="J166" s="363"/>
    </row>
    <row r="167" spans="2:15">
      <c r="H167" s="363"/>
      <c r="I167" s="363"/>
      <c r="J167" s="363"/>
    </row>
    <row r="168" spans="2:15">
      <c r="H168" s="363"/>
      <c r="I168" s="363"/>
      <c r="J168" s="363"/>
    </row>
    <row r="169" spans="2:15">
      <c r="B169" s="201" t="s">
        <v>173</v>
      </c>
      <c r="H169" s="363"/>
      <c r="I169" s="363"/>
      <c r="J169" s="363"/>
    </row>
    <row r="170" spans="2:15">
      <c r="B170" s="195"/>
      <c r="H170" s="363"/>
      <c r="I170" s="363"/>
      <c r="J170" s="363"/>
    </row>
    <row r="171" spans="2:15">
      <c r="B171" s="195" t="s">
        <v>174</v>
      </c>
      <c r="H171" s="363"/>
      <c r="I171" s="363"/>
      <c r="J171" s="363"/>
    </row>
    <row r="172" spans="2:15">
      <c r="B172" s="195" t="s">
        <v>175</v>
      </c>
      <c r="H172" s="363"/>
      <c r="I172" s="363"/>
      <c r="J172" s="363"/>
    </row>
    <row r="173" spans="2:15">
      <c r="H173" s="363"/>
      <c r="I173" s="363"/>
      <c r="J173" s="363"/>
    </row>
    <row r="174" spans="2:15">
      <c r="H174" s="363"/>
      <c r="I174" s="363"/>
      <c r="J174" s="363"/>
    </row>
    <row r="175" spans="2:15">
      <c r="B175" s="218"/>
      <c r="C175" s="218"/>
      <c r="D175" s="218"/>
      <c r="E175" s="218"/>
      <c r="F175" s="218"/>
      <c r="G175" s="218"/>
      <c r="H175" s="364"/>
      <c r="I175" s="364"/>
      <c r="J175" s="364"/>
      <c r="K175" s="218"/>
      <c r="L175" s="219"/>
      <c r="M175" s="218"/>
      <c r="N175" s="218"/>
      <c r="O175" s="218"/>
    </row>
    <row r="176" spans="2:15">
      <c r="H176" s="363"/>
      <c r="I176" s="363"/>
      <c r="J176" s="363"/>
    </row>
    <row r="177" spans="1:10">
      <c r="H177" s="363"/>
      <c r="I177" s="363"/>
      <c r="J177" s="363"/>
    </row>
    <row r="178" spans="1:10">
      <c r="B178" s="201" t="s">
        <v>176</v>
      </c>
      <c r="H178" s="363"/>
      <c r="I178" s="363"/>
      <c r="J178" s="363"/>
    </row>
    <row r="179" spans="1:10">
      <c r="H179" s="363"/>
      <c r="I179" s="363"/>
      <c r="J179" s="363"/>
    </row>
    <row r="180" spans="1:10">
      <c r="A180" s="188" t="s">
        <v>71</v>
      </c>
      <c r="B180" s="189" t="s">
        <v>140</v>
      </c>
      <c r="C180" s="189" t="s">
        <v>141</v>
      </c>
      <c r="D180" s="201" t="s">
        <v>193</v>
      </c>
      <c r="H180" s="363"/>
      <c r="I180" s="363"/>
      <c r="J180" s="363"/>
    </row>
    <row r="181" spans="1:10">
      <c r="A181" s="188" t="s">
        <v>72</v>
      </c>
      <c r="B181" s="189" t="s">
        <v>142</v>
      </c>
      <c r="C181" s="189" t="s">
        <v>141</v>
      </c>
      <c r="D181" s="201" t="s">
        <v>97</v>
      </c>
      <c r="H181" s="363"/>
      <c r="I181" s="363"/>
      <c r="J181" s="363"/>
    </row>
    <row r="182" spans="1:10">
      <c r="H182" s="363"/>
      <c r="I182" s="363"/>
      <c r="J182" s="363"/>
    </row>
    <row r="183" spans="1:10">
      <c r="H183" s="363"/>
      <c r="I183" s="363"/>
      <c r="J183" s="363"/>
    </row>
    <row r="184" spans="1:10">
      <c r="B184" s="201" t="s">
        <v>178</v>
      </c>
      <c r="H184" s="363"/>
      <c r="I184" s="363"/>
      <c r="J184" s="363"/>
    </row>
    <row r="185" spans="1:10" ht="15.75" thickBot="1">
      <c r="H185" s="363"/>
      <c r="I185" s="363"/>
      <c r="J185" s="363"/>
    </row>
    <row r="186" spans="1:10" ht="15.75" thickBot="1">
      <c r="B186" s="215" t="s">
        <v>145</v>
      </c>
      <c r="C186" s="215" t="s">
        <v>146</v>
      </c>
      <c r="D186" s="215" t="s">
        <v>147</v>
      </c>
      <c r="E186" s="215" t="s">
        <v>148</v>
      </c>
      <c r="H186" s="363"/>
      <c r="I186" s="363"/>
      <c r="J186" s="363"/>
    </row>
    <row r="187" spans="1:10" ht="15.75" thickBot="1">
      <c r="B187" s="216" t="s">
        <v>97</v>
      </c>
      <c r="C187" s="216" t="s">
        <v>149</v>
      </c>
      <c r="D187" s="216" t="s">
        <v>156</v>
      </c>
      <c r="E187" s="216" t="s">
        <v>155</v>
      </c>
      <c r="H187" s="363"/>
      <c r="I187" s="363"/>
      <c r="J187" s="363"/>
    </row>
    <row r="188" spans="1:10" ht="15.75" thickBot="1">
      <c r="B188" s="217" t="s">
        <v>391</v>
      </c>
      <c r="C188" s="217" t="s">
        <v>150</v>
      </c>
      <c r="D188" s="217" t="s">
        <v>188</v>
      </c>
      <c r="E188" s="217" t="s">
        <v>156</v>
      </c>
      <c r="H188" s="363"/>
      <c r="I188" s="363"/>
      <c r="J188" s="363"/>
    </row>
    <row r="189" spans="1:10" ht="15.75" thickBot="1">
      <c r="B189" s="216" t="s">
        <v>109</v>
      </c>
      <c r="C189" s="216" t="s">
        <v>149</v>
      </c>
      <c r="D189" s="216" t="s">
        <v>156</v>
      </c>
      <c r="E189" s="216" t="s">
        <v>149</v>
      </c>
      <c r="H189" s="363"/>
      <c r="I189" s="363"/>
      <c r="J189" s="363"/>
    </row>
    <row r="190" spans="1:10" ht="15.75" thickBot="1">
      <c r="B190" s="217" t="s">
        <v>193</v>
      </c>
      <c r="C190" s="217" t="s">
        <v>163</v>
      </c>
      <c r="D190" s="217" t="s">
        <v>155</v>
      </c>
      <c r="E190" s="217" t="s">
        <v>172</v>
      </c>
      <c r="H190" s="363"/>
      <c r="I190" s="363"/>
      <c r="J190" s="363"/>
    </row>
    <row r="191" spans="1:10">
      <c r="H191" s="363"/>
      <c r="I191" s="363"/>
      <c r="J191" s="363"/>
    </row>
    <row r="192" spans="1:10">
      <c r="H192" s="363"/>
      <c r="I192" s="363"/>
      <c r="J192" s="363"/>
    </row>
    <row r="193" spans="1:15">
      <c r="B193" s="201" t="s">
        <v>182</v>
      </c>
      <c r="H193" s="363"/>
      <c r="I193" s="363"/>
      <c r="J193" s="363"/>
    </row>
    <row r="194" spans="1:15">
      <c r="B194" s="195"/>
      <c r="H194" s="363"/>
      <c r="I194" s="363"/>
      <c r="J194" s="363"/>
    </row>
    <row r="195" spans="1:15">
      <c r="B195" s="195" t="s">
        <v>239</v>
      </c>
      <c r="H195" s="363"/>
      <c r="I195" s="363"/>
      <c r="J195" s="363"/>
    </row>
    <row r="196" spans="1:15">
      <c r="B196" s="195" t="s">
        <v>518</v>
      </c>
      <c r="H196" s="363"/>
      <c r="I196" s="363"/>
      <c r="J196" s="363"/>
    </row>
    <row r="197" spans="1:15">
      <c r="H197" s="363"/>
      <c r="I197" s="363"/>
      <c r="J197" s="363"/>
    </row>
    <row r="198" spans="1:15">
      <c r="H198" s="363"/>
      <c r="I198" s="363"/>
      <c r="J198" s="363"/>
    </row>
    <row r="199" spans="1:15">
      <c r="B199" s="218"/>
      <c r="C199" s="218"/>
      <c r="D199" s="218"/>
      <c r="E199" s="218"/>
      <c r="F199" s="218"/>
      <c r="G199" s="218"/>
      <c r="H199" s="364"/>
      <c r="I199" s="364"/>
      <c r="J199" s="364"/>
      <c r="K199" s="218"/>
      <c r="L199" s="219"/>
      <c r="M199" s="218"/>
      <c r="N199" s="218"/>
      <c r="O199" s="218"/>
    </row>
    <row r="200" spans="1:15">
      <c r="H200" s="363"/>
      <c r="I200" s="363"/>
      <c r="J200" s="363"/>
    </row>
    <row r="201" spans="1:15">
      <c r="H201" s="363"/>
      <c r="I201" s="363"/>
      <c r="J201" s="363"/>
    </row>
    <row r="202" spans="1:15">
      <c r="B202" s="201" t="s">
        <v>184</v>
      </c>
      <c r="H202" s="363"/>
      <c r="I202" s="363"/>
      <c r="J202" s="363"/>
    </row>
    <row r="203" spans="1:15">
      <c r="H203" s="363"/>
      <c r="I203" s="363"/>
      <c r="J203" s="363"/>
    </row>
    <row r="204" spans="1:15">
      <c r="A204" s="188" t="s">
        <v>73</v>
      </c>
      <c r="B204" s="189" t="s">
        <v>140</v>
      </c>
      <c r="C204" s="189" t="s">
        <v>141</v>
      </c>
      <c r="D204" s="201" t="s">
        <v>209</v>
      </c>
      <c r="H204" s="363"/>
      <c r="I204" s="363"/>
      <c r="J204" s="363"/>
    </row>
    <row r="205" spans="1:15">
      <c r="A205" s="188" t="s">
        <v>74</v>
      </c>
      <c r="B205" s="189" t="s">
        <v>142</v>
      </c>
      <c r="C205" s="189" t="s">
        <v>141</v>
      </c>
      <c r="D205" s="201" t="s">
        <v>392</v>
      </c>
      <c r="H205" s="363"/>
      <c r="I205" s="363"/>
      <c r="J205" s="363"/>
    </row>
    <row r="206" spans="1:15">
      <c r="H206" s="363"/>
      <c r="I206" s="363"/>
      <c r="J206" s="363"/>
    </row>
    <row r="207" spans="1:15">
      <c r="H207" s="363"/>
      <c r="I207" s="363"/>
      <c r="J207" s="363"/>
    </row>
    <row r="208" spans="1:15">
      <c r="B208" s="201" t="s">
        <v>186</v>
      </c>
      <c r="H208" s="363"/>
      <c r="I208" s="363"/>
      <c r="J208" s="363"/>
    </row>
    <row r="209" spans="2:15" ht="15.75" thickBot="1">
      <c r="H209" s="363"/>
      <c r="I209" s="363"/>
      <c r="J209" s="363"/>
    </row>
    <row r="210" spans="2:15" ht="15.75" thickBot="1">
      <c r="B210" s="215" t="s">
        <v>145</v>
      </c>
      <c r="C210" s="215" t="s">
        <v>146</v>
      </c>
      <c r="D210" s="215" t="s">
        <v>147</v>
      </c>
      <c r="E210" s="215" t="s">
        <v>148</v>
      </c>
      <c r="H210" s="363"/>
      <c r="I210" s="363"/>
      <c r="J210" s="363"/>
    </row>
    <row r="211" spans="2:15" ht="15.75" thickBot="1">
      <c r="B211" s="216" t="s">
        <v>209</v>
      </c>
      <c r="C211" s="216" t="s">
        <v>172</v>
      </c>
      <c r="D211" s="216" t="s">
        <v>153</v>
      </c>
      <c r="E211" s="216" t="s">
        <v>155</v>
      </c>
      <c r="H211" s="363"/>
      <c r="I211" s="363"/>
      <c r="J211" s="363"/>
    </row>
    <row r="212" spans="2:15" ht="15.75" thickBot="1">
      <c r="B212" s="217" t="s">
        <v>392</v>
      </c>
      <c r="C212" s="217" t="s">
        <v>155</v>
      </c>
      <c r="D212" s="217" t="s">
        <v>153</v>
      </c>
      <c r="E212" s="217" t="s">
        <v>155</v>
      </c>
      <c r="H212" s="363"/>
      <c r="I212" s="363"/>
      <c r="J212" s="363"/>
    </row>
    <row r="213" spans="2:15" ht="15.75" thickBot="1">
      <c r="B213" s="216" t="s">
        <v>143</v>
      </c>
      <c r="C213" s="216" t="s">
        <v>149</v>
      </c>
      <c r="D213" s="216" t="s">
        <v>156</v>
      </c>
      <c r="E213" s="216" t="s">
        <v>155</v>
      </c>
      <c r="H213" s="363"/>
      <c r="I213" s="363"/>
      <c r="J213" s="363"/>
    </row>
    <row r="214" spans="2:15" ht="15.75" thickBot="1">
      <c r="B214" s="217" t="s">
        <v>210</v>
      </c>
      <c r="C214" s="217" t="s">
        <v>150</v>
      </c>
      <c r="D214" s="217" t="s">
        <v>162</v>
      </c>
      <c r="E214" s="217" t="s">
        <v>156</v>
      </c>
      <c r="H214" s="363"/>
      <c r="I214" s="363"/>
      <c r="J214" s="363"/>
    </row>
    <row r="215" spans="2:15">
      <c r="H215" s="363"/>
      <c r="I215" s="363"/>
      <c r="J215" s="363"/>
    </row>
    <row r="216" spans="2:15">
      <c r="H216" s="363"/>
      <c r="I216" s="363"/>
      <c r="J216" s="363"/>
    </row>
    <row r="217" spans="2:15">
      <c r="B217" s="201" t="s">
        <v>189</v>
      </c>
      <c r="H217" s="363"/>
      <c r="I217" s="363"/>
      <c r="J217" s="363"/>
    </row>
    <row r="218" spans="2:15">
      <c r="B218" s="195"/>
      <c r="H218" s="363"/>
      <c r="I218" s="363"/>
      <c r="J218" s="363"/>
    </row>
    <row r="219" spans="2:15">
      <c r="B219" s="195" t="s">
        <v>190</v>
      </c>
      <c r="H219" s="363"/>
      <c r="I219" s="363"/>
      <c r="J219" s="363"/>
    </row>
    <row r="220" spans="2:15">
      <c r="B220" s="195" t="s">
        <v>191</v>
      </c>
      <c r="H220" s="363"/>
      <c r="I220" s="363"/>
      <c r="J220" s="363"/>
    </row>
    <row r="221" spans="2:15">
      <c r="H221" s="363"/>
      <c r="I221" s="363"/>
      <c r="J221" s="363"/>
    </row>
    <row r="222" spans="2:15">
      <c r="H222" s="363"/>
      <c r="I222" s="363"/>
      <c r="J222" s="363"/>
    </row>
    <row r="223" spans="2:15">
      <c r="B223" s="218"/>
      <c r="C223" s="218"/>
      <c r="D223" s="218"/>
      <c r="E223" s="218"/>
      <c r="F223" s="218"/>
      <c r="G223" s="218"/>
      <c r="H223" s="364"/>
      <c r="I223" s="364"/>
      <c r="J223" s="364"/>
      <c r="K223" s="218"/>
      <c r="L223" s="219"/>
      <c r="M223" s="218"/>
      <c r="N223" s="218"/>
      <c r="O223" s="218"/>
    </row>
    <row r="224" spans="2:15">
      <c r="H224" s="363"/>
      <c r="I224" s="363"/>
      <c r="J224" s="363"/>
    </row>
    <row r="225" spans="1:10">
      <c r="H225" s="363"/>
      <c r="I225" s="363"/>
      <c r="J225" s="363"/>
    </row>
    <row r="226" spans="1:10">
      <c r="B226" s="201" t="s">
        <v>192</v>
      </c>
      <c r="H226" s="363"/>
      <c r="I226" s="363"/>
      <c r="J226" s="363"/>
    </row>
    <row r="227" spans="1:10">
      <c r="H227" s="363"/>
      <c r="I227" s="363"/>
      <c r="J227" s="363"/>
    </row>
    <row r="228" spans="1:10">
      <c r="A228" s="188" t="s">
        <v>75</v>
      </c>
      <c r="B228" s="189" t="s">
        <v>140</v>
      </c>
      <c r="C228" s="189" t="s">
        <v>141</v>
      </c>
      <c r="D228" s="201" t="s">
        <v>102</v>
      </c>
      <c r="H228" s="363"/>
      <c r="I228" s="363"/>
      <c r="J228" s="363"/>
    </row>
    <row r="229" spans="1:10">
      <c r="A229" s="188" t="s">
        <v>76</v>
      </c>
      <c r="B229" s="189" t="s">
        <v>142</v>
      </c>
      <c r="C229" s="189" t="s">
        <v>141</v>
      </c>
      <c r="D229" s="201" t="s">
        <v>572</v>
      </c>
      <c r="H229" s="363"/>
      <c r="I229" s="363"/>
      <c r="J229" s="363"/>
    </row>
    <row r="230" spans="1:10">
      <c r="H230" s="363"/>
      <c r="I230" s="363"/>
      <c r="J230" s="363"/>
    </row>
    <row r="231" spans="1:10">
      <c r="H231" s="363"/>
      <c r="I231" s="363"/>
      <c r="J231" s="363"/>
    </row>
    <row r="232" spans="1:10">
      <c r="B232" s="201" t="s">
        <v>194</v>
      </c>
      <c r="H232" s="363"/>
      <c r="I232" s="363"/>
      <c r="J232" s="363"/>
    </row>
    <row r="233" spans="1:10" ht="15.75" thickBot="1">
      <c r="H233" s="363"/>
      <c r="I233" s="363"/>
      <c r="J233" s="363"/>
    </row>
    <row r="234" spans="1:10" ht="15.75" thickBot="1">
      <c r="B234" s="215" t="s">
        <v>145</v>
      </c>
      <c r="C234" s="215" t="s">
        <v>146</v>
      </c>
      <c r="D234" s="215" t="s">
        <v>147</v>
      </c>
      <c r="E234" s="215" t="s">
        <v>148</v>
      </c>
      <c r="H234" s="363"/>
      <c r="I234" s="363"/>
      <c r="J234" s="363"/>
    </row>
    <row r="235" spans="1:10" ht="15.75" thickBot="1">
      <c r="B235" s="216" t="s">
        <v>102</v>
      </c>
      <c r="C235" s="216" t="s">
        <v>163</v>
      </c>
      <c r="D235" s="216" t="s">
        <v>164</v>
      </c>
      <c r="E235" s="216" t="s">
        <v>163</v>
      </c>
      <c r="H235" s="363"/>
      <c r="I235" s="363"/>
      <c r="J235" s="363"/>
    </row>
    <row r="236" spans="1:10" ht="15.75" thickBot="1">
      <c r="B236" s="217" t="s">
        <v>572</v>
      </c>
      <c r="C236" s="217" t="s">
        <v>164</v>
      </c>
      <c r="D236" s="217" t="s">
        <v>151</v>
      </c>
      <c r="E236" s="217" t="s">
        <v>172</v>
      </c>
      <c r="H236" s="363"/>
      <c r="I236" s="363"/>
      <c r="J236" s="363"/>
    </row>
    <row r="237" spans="1:10" ht="15.75" thickBot="1">
      <c r="B237" s="216" t="s">
        <v>394</v>
      </c>
      <c r="C237" s="216" t="s">
        <v>150</v>
      </c>
      <c r="D237" s="216" t="s">
        <v>252</v>
      </c>
      <c r="E237" s="216" t="s">
        <v>150</v>
      </c>
      <c r="H237" s="363"/>
      <c r="I237" s="363"/>
      <c r="J237" s="363"/>
    </row>
    <row r="238" spans="1:10" ht="15.75" thickBot="1">
      <c r="B238" s="217" t="s">
        <v>108</v>
      </c>
      <c r="C238" s="217" t="s">
        <v>151</v>
      </c>
      <c r="D238" s="217" t="s">
        <v>150</v>
      </c>
      <c r="E238" s="217" t="s">
        <v>149</v>
      </c>
      <c r="H238" s="363"/>
      <c r="I238" s="363"/>
      <c r="J238" s="363"/>
    </row>
    <row r="239" spans="1:10">
      <c r="H239" s="363"/>
      <c r="I239" s="363"/>
      <c r="J239" s="363"/>
    </row>
    <row r="240" spans="1:10">
      <c r="H240" s="363"/>
      <c r="I240" s="363"/>
      <c r="J240" s="363"/>
    </row>
    <row r="241" spans="1:15">
      <c r="B241" s="201" t="s">
        <v>195</v>
      </c>
      <c r="H241" s="363"/>
      <c r="I241" s="363"/>
      <c r="J241" s="363"/>
    </row>
    <row r="242" spans="1:15">
      <c r="B242" s="195"/>
      <c r="H242" s="363"/>
      <c r="I242" s="363"/>
      <c r="J242" s="363"/>
    </row>
    <row r="243" spans="1:15">
      <c r="B243" s="195" t="s">
        <v>196</v>
      </c>
      <c r="H243" s="363"/>
      <c r="I243" s="363"/>
      <c r="J243" s="363"/>
    </row>
    <row r="244" spans="1:15">
      <c r="B244" s="195" t="s">
        <v>197</v>
      </c>
      <c r="H244" s="363"/>
      <c r="I244" s="363"/>
      <c r="J244" s="363"/>
    </row>
    <row r="245" spans="1:15">
      <c r="H245" s="363"/>
      <c r="I245" s="363"/>
      <c r="J245" s="363"/>
    </row>
    <row r="246" spans="1:15">
      <c r="H246" s="363"/>
      <c r="I246" s="363"/>
      <c r="J246" s="363"/>
    </row>
    <row r="247" spans="1:15">
      <c r="B247" s="218"/>
      <c r="C247" s="218"/>
      <c r="D247" s="218"/>
      <c r="E247" s="218"/>
      <c r="F247" s="218"/>
      <c r="G247" s="218"/>
      <c r="H247" s="364"/>
      <c r="I247" s="364"/>
      <c r="J247" s="364"/>
      <c r="K247" s="218"/>
      <c r="L247" s="219"/>
      <c r="M247" s="218"/>
      <c r="N247" s="218"/>
      <c r="O247" s="218"/>
    </row>
    <row r="248" spans="1:15">
      <c r="H248" s="363"/>
      <c r="I248" s="363"/>
      <c r="J248" s="363"/>
    </row>
    <row r="249" spans="1:15">
      <c r="H249" s="363"/>
      <c r="I249" s="363"/>
      <c r="J249" s="363"/>
    </row>
    <row r="250" spans="1:15">
      <c r="B250" s="201" t="s">
        <v>198</v>
      </c>
      <c r="H250" s="363"/>
      <c r="I250" s="363"/>
      <c r="J250" s="363"/>
    </row>
    <row r="251" spans="1:15">
      <c r="H251" s="363"/>
      <c r="I251" s="363"/>
      <c r="J251" s="363"/>
    </row>
    <row r="252" spans="1:15">
      <c r="A252" s="188" t="s">
        <v>77</v>
      </c>
      <c r="B252" s="189" t="s">
        <v>140</v>
      </c>
      <c r="C252" s="189" t="s">
        <v>141</v>
      </c>
      <c r="D252" s="201" t="s">
        <v>202</v>
      </c>
      <c r="H252" s="363"/>
      <c r="I252" s="363"/>
      <c r="J252" s="363"/>
    </row>
    <row r="253" spans="1:15">
      <c r="A253" s="188" t="s">
        <v>78</v>
      </c>
      <c r="B253" s="189" t="s">
        <v>142</v>
      </c>
      <c r="C253" s="189" t="s">
        <v>141</v>
      </c>
      <c r="D253" s="201" t="s">
        <v>177</v>
      </c>
      <c r="H253" s="363"/>
      <c r="I253" s="363"/>
      <c r="J253" s="363"/>
    </row>
    <row r="254" spans="1:15">
      <c r="H254" s="363"/>
      <c r="I254" s="363"/>
      <c r="J254" s="363"/>
    </row>
    <row r="255" spans="1:15">
      <c r="H255" s="363"/>
      <c r="I255" s="363"/>
      <c r="J255" s="363"/>
    </row>
    <row r="256" spans="1:15">
      <c r="B256" s="201" t="s">
        <v>201</v>
      </c>
      <c r="H256" s="363"/>
      <c r="I256" s="363"/>
      <c r="J256" s="363"/>
    </row>
    <row r="257" spans="2:15" ht="15.75" thickBot="1">
      <c r="H257" s="363"/>
      <c r="I257" s="363"/>
      <c r="J257" s="363"/>
    </row>
    <row r="258" spans="2:15" ht="15.75" thickBot="1">
      <c r="B258" s="215" t="s">
        <v>145</v>
      </c>
      <c r="C258" s="215" t="s">
        <v>146</v>
      </c>
      <c r="D258" s="215" t="s">
        <v>147</v>
      </c>
      <c r="E258" s="215" t="s">
        <v>148</v>
      </c>
      <c r="H258" s="363"/>
      <c r="I258" s="363"/>
      <c r="J258" s="363"/>
    </row>
    <row r="259" spans="2:15" ht="15.75" thickBot="1">
      <c r="B259" s="216" t="s">
        <v>177</v>
      </c>
      <c r="C259" s="216" t="s">
        <v>172</v>
      </c>
      <c r="D259" s="216" t="s">
        <v>151</v>
      </c>
      <c r="E259" s="216" t="s">
        <v>164</v>
      </c>
      <c r="H259" s="363"/>
      <c r="I259" s="363"/>
      <c r="J259" s="363"/>
    </row>
    <row r="260" spans="2:15" ht="15.75" thickBot="1">
      <c r="B260" s="217" t="s">
        <v>202</v>
      </c>
      <c r="C260" s="217" t="s">
        <v>172</v>
      </c>
      <c r="D260" s="217" t="s">
        <v>149</v>
      </c>
      <c r="E260" s="217" t="s">
        <v>172</v>
      </c>
      <c r="H260" s="363"/>
      <c r="I260" s="363"/>
      <c r="J260" s="363"/>
    </row>
    <row r="261" spans="2:15" ht="15.75" thickBot="1">
      <c r="B261" s="216" t="s">
        <v>181</v>
      </c>
      <c r="C261" s="216" t="s">
        <v>156</v>
      </c>
      <c r="D261" s="216" t="s">
        <v>171</v>
      </c>
      <c r="E261" s="216" t="s">
        <v>151</v>
      </c>
      <c r="H261" s="363"/>
      <c r="I261" s="363"/>
      <c r="J261" s="363"/>
    </row>
    <row r="262" spans="2:15" ht="15.75" thickBot="1">
      <c r="B262" s="217" t="s">
        <v>32</v>
      </c>
      <c r="C262" s="217" t="s">
        <v>156</v>
      </c>
      <c r="D262" s="217" t="s">
        <v>180</v>
      </c>
      <c r="E262" s="217" t="s">
        <v>151</v>
      </c>
      <c r="H262" s="363"/>
      <c r="I262" s="363"/>
      <c r="J262" s="363"/>
    </row>
    <row r="263" spans="2:15">
      <c r="H263" s="363"/>
      <c r="I263" s="363"/>
      <c r="J263" s="363"/>
    </row>
    <row r="264" spans="2:15">
      <c r="H264" s="363"/>
      <c r="I264" s="363"/>
      <c r="J264" s="363"/>
    </row>
    <row r="265" spans="2:15">
      <c r="B265" s="201" t="s">
        <v>203</v>
      </c>
      <c r="H265" s="363"/>
      <c r="I265" s="363"/>
      <c r="J265" s="363"/>
    </row>
    <row r="266" spans="2:15">
      <c r="B266" s="195"/>
      <c r="H266" s="363"/>
      <c r="I266" s="363"/>
      <c r="J266" s="363"/>
    </row>
    <row r="267" spans="2:15">
      <c r="B267" s="195" t="s">
        <v>247</v>
      </c>
      <c r="H267" s="363"/>
      <c r="I267" s="363"/>
      <c r="J267" s="363"/>
    </row>
    <row r="268" spans="2:15">
      <c r="B268" s="195"/>
      <c r="H268" s="363"/>
      <c r="I268" s="363"/>
      <c r="J268" s="363"/>
    </row>
    <row r="269" spans="2:15">
      <c r="H269" s="363"/>
      <c r="I269" s="363"/>
      <c r="J269" s="363"/>
    </row>
    <row r="270" spans="2:15">
      <c r="B270" s="218"/>
      <c r="C270" s="218"/>
      <c r="D270" s="218"/>
      <c r="E270" s="218"/>
      <c r="F270" s="218"/>
      <c r="G270" s="218"/>
      <c r="H270" s="363"/>
      <c r="I270" s="363"/>
      <c r="J270" s="363"/>
      <c r="K270" s="218"/>
      <c r="L270" s="219"/>
      <c r="M270" s="218"/>
      <c r="N270" s="218"/>
      <c r="O270" s="218"/>
    </row>
    <row r="271" spans="2:15">
      <c r="H271" s="364"/>
      <c r="I271" s="364"/>
      <c r="J271" s="364"/>
    </row>
    <row r="272" spans="2:15">
      <c r="H272" s="363"/>
      <c r="I272" s="363"/>
      <c r="J272" s="363"/>
    </row>
    <row r="273" spans="1:10">
      <c r="H273" s="363"/>
      <c r="I273" s="363"/>
      <c r="J273" s="363"/>
    </row>
    <row r="274" spans="1:10">
      <c r="B274" s="201" t="s">
        <v>206</v>
      </c>
      <c r="H274" s="363"/>
      <c r="I274" s="363"/>
      <c r="J274" s="363"/>
    </row>
    <row r="275" spans="1:10">
      <c r="H275" s="363"/>
      <c r="I275" s="363"/>
      <c r="J275" s="363"/>
    </row>
    <row r="276" spans="1:10">
      <c r="A276" s="188" t="s">
        <v>79</v>
      </c>
      <c r="B276" s="189" t="s">
        <v>140</v>
      </c>
      <c r="C276" s="189" t="s">
        <v>141</v>
      </c>
      <c r="D276" s="201" t="s">
        <v>395</v>
      </c>
      <c r="H276" s="363"/>
      <c r="I276" s="363"/>
      <c r="J276" s="363"/>
    </row>
    <row r="277" spans="1:10">
      <c r="A277" s="188" t="s">
        <v>80</v>
      </c>
      <c r="B277" s="189" t="s">
        <v>142</v>
      </c>
      <c r="C277" s="189" t="s">
        <v>141</v>
      </c>
      <c r="D277" s="201" t="s">
        <v>396</v>
      </c>
      <c r="H277" s="363"/>
      <c r="I277" s="363"/>
      <c r="J277" s="363"/>
    </row>
    <row r="278" spans="1:10">
      <c r="H278" s="363"/>
      <c r="I278" s="363"/>
      <c r="J278" s="363"/>
    </row>
    <row r="279" spans="1:10">
      <c r="H279" s="363"/>
      <c r="I279" s="363"/>
      <c r="J279" s="363"/>
    </row>
    <row r="280" spans="1:10">
      <c r="B280" s="201" t="s">
        <v>208</v>
      </c>
      <c r="H280" s="363"/>
      <c r="I280" s="363"/>
      <c r="J280" s="363"/>
    </row>
    <row r="281" spans="1:10" ht="15.75" thickBot="1">
      <c r="H281" s="363"/>
      <c r="I281" s="363"/>
      <c r="J281" s="363"/>
    </row>
    <row r="282" spans="1:10" ht="15.75" thickBot="1">
      <c r="B282" s="215" t="s">
        <v>145</v>
      </c>
      <c r="C282" s="215" t="s">
        <v>146</v>
      </c>
      <c r="D282" s="215" t="s">
        <v>147</v>
      </c>
      <c r="E282" s="215" t="s">
        <v>148</v>
      </c>
      <c r="H282" s="363"/>
      <c r="I282" s="363"/>
      <c r="J282" s="363"/>
    </row>
    <row r="283" spans="1:10" ht="15.75" thickBot="1">
      <c r="B283" s="216" t="s">
        <v>395</v>
      </c>
      <c r="C283" s="216" t="s">
        <v>163</v>
      </c>
      <c r="D283" s="216" t="s">
        <v>149</v>
      </c>
      <c r="E283" s="216" t="s">
        <v>164</v>
      </c>
      <c r="H283" s="363"/>
      <c r="I283" s="363"/>
      <c r="J283" s="363"/>
    </row>
    <row r="284" spans="1:10" ht="15.75" thickBot="1">
      <c r="B284" s="217" t="s">
        <v>110</v>
      </c>
      <c r="C284" s="217" t="s">
        <v>150</v>
      </c>
      <c r="D284" s="217" t="s">
        <v>241</v>
      </c>
      <c r="E284" s="217" t="s">
        <v>150</v>
      </c>
      <c r="H284" s="363"/>
      <c r="I284" s="363"/>
      <c r="J284" s="363"/>
    </row>
    <row r="285" spans="1:10" ht="15.75" thickBot="1">
      <c r="B285" s="216" t="s">
        <v>396</v>
      </c>
      <c r="C285" s="216" t="s">
        <v>149</v>
      </c>
      <c r="D285" s="216" t="s">
        <v>156</v>
      </c>
      <c r="E285" s="216" t="s">
        <v>155</v>
      </c>
      <c r="H285" s="363"/>
      <c r="I285" s="363"/>
      <c r="J285" s="363"/>
    </row>
    <row r="286" spans="1:10" ht="15.75" thickBot="1">
      <c r="B286" s="217" t="s">
        <v>104</v>
      </c>
      <c r="C286" s="217" t="s">
        <v>149</v>
      </c>
      <c r="D286" s="217" t="s">
        <v>156</v>
      </c>
      <c r="E286" s="217" t="s">
        <v>155</v>
      </c>
      <c r="H286" s="363"/>
      <c r="I286" s="363"/>
      <c r="J286" s="363"/>
    </row>
    <row r="287" spans="1:10">
      <c r="H287" s="363"/>
      <c r="I287" s="363"/>
      <c r="J287" s="363"/>
    </row>
    <row r="288" spans="1:10">
      <c r="H288" s="363"/>
      <c r="I288" s="363"/>
      <c r="J288" s="363"/>
    </row>
    <row r="289" spans="2:15">
      <c r="B289" s="201" t="s">
        <v>211</v>
      </c>
      <c r="H289" s="363"/>
      <c r="I289" s="363"/>
      <c r="J289" s="363"/>
    </row>
    <row r="290" spans="2:15">
      <c r="B290" s="195"/>
      <c r="H290" s="363"/>
      <c r="I290" s="363"/>
      <c r="J290" s="363"/>
    </row>
    <row r="291" spans="2:15">
      <c r="B291" s="195" t="s">
        <v>212</v>
      </c>
      <c r="H291" s="363"/>
      <c r="I291" s="363"/>
      <c r="J291" s="363"/>
    </row>
    <row r="292" spans="2:15">
      <c r="B292" s="189" t="s">
        <v>265</v>
      </c>
      <c r="H292" s="363"/>
      <c r="I292" s="363"/>
      <c r="J292" s="363"/>
    </row>
    <row r="293" spans="2:15">
      <c r="H293" s="363"/>
      <c r="I293" s="363"/>
      <c r="J293" s="363"/>
    </row>
    <row r="294" spans="2:15">
      <c r="B294" s="218"/>
      <c r="C294" s="218"/>
      <c r="D294" s="218"/>
      <c r="E294" s="218"/>
      <c r="F294" s="218"/>
      <c r="G294" s="218"/>
      <c r="H294" s="363"/>
      <c r="I294" s="363"/>
      <c r="J294" s="363"/>
    </row>
    <row r="295" spans="2:15">
      <c r="H295" s="364"/>
      <c r="I295" s="364"/>
      <c r="J295" s="364"/>
      <c r="K295" s="218"/>
      <c r="L295" s="219"/>
      <c r="M295" s="218"/>
      <c r="N295" s="218"/>
      <c r="O295" s="218"/>
    </row>
    <row r="299" spans="2:15">
      <c r="B299" s="189" t="s">
        <v>214</v>
      </c>
    </row>
    <row r="300" spans="2:15">
      <c r="H300" s="189"/>
      <c r="I300" s="189"/>
      <c r="J300" s="189"/>
    </row>
    <row r="301" spans="2:15">
      <c r="B301" s="220" t="s">
        <v>573</v>
      </c>
    </row>
    <row r="302" spans="2:15">
      <c r="B302" s="220"/>
    </row>
    <row r="304" spans="2:15">
      <c r="B304" s="220" t="s">
        <v>574</v>
      </c>
    </row>
    <row r="305" spans="2:2">
      <c r="B305" s="220"/>
    </row>
    <row r="307" spans="2:2">
      <c r="B307" s="195"/>
    </row>
    <row r="308" spans="2:2">
      <c r="B308" s="204" t="s">
        <v>215</v>
      </c>
    </row>
    <row r="309" spans="2:2">
      <c r="B309" s="221" t="s">
        <v>216</v>
      </c>
    </row>
    <row r="310" spans="2:2">
      <c r="B310" s="221" t="s">
        <v>217</v>
      </c>
    </row>
    <row r="311" spans="2:2">
      <c r="B311" s="221" t="s">
        <v>218</v>
      </c>
    </row>
    <row r="312" spans="2:2">
      <c r="B312" s="221" t="s">
        <v>219</v>
      </c>
    </row>
    <row r="313" spans="2:2">
      <c r="B313" s="204" t="s">
        <v>220</v>
      </c>
    </row>
    <row r="314" spans="2:2">
      <c r="B314" s="221" t="s">
        <v>221</v>
      </c>
    </row>
    <row r="315" spans="2:2">
      <c r="B315" s="221" t="s">
        <v>222</v>
      </c>
    </row>
    <row r="316" spans="2:2">
      <c r="B316" s="221" t="s">
        <v>223</v>
      </c>
    </row>
    <row r="317" spans="2:2">
      <c r="B317" s="204" t="s">
        <v>224</v>
      </c>
    </row>
    <row r="318" spans="2:2">
      <c r="B318" s="221" t="s">
        <v>225</v>
      </c>
    </row>
    <row r="319" spans="2:2">
      <c r="B319" s="221" t="s">
        <v>226</v>
      </c>
    </row>
    <row r="320" spans="2:2">
      <c r="B320" s="221" t="s">
        <v>227</v>
      </c>
    </row>
    <row r="321" spans="2:2">
      <c r="B321" s="204" t="s">
        <v>228</v>
      </c>
    </row>
    <row r="322" spans="2:2">
      <c r="B322" s="221" t="s">
        <v>229</v>
      </c>
    </row>
    <row r="324" spans="2:2">
      <c r="B324"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3.xml><?xml version="1.0" encoding="utf-8"?>
<worksheet xmlns="http://schemas.openxmlformats.org/spreadsheetml/2006/main" xmlns:r="http://schemas.openxmlformats.org/officeDocument/2006/relationships">
  <sheetPr>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490</v>
      </c>
      <c r="L1" s="194"/>
      <c r="P1" s="193">
        <f>SUM(P14:P101)+E11+H11+L7+L11+Q11</f>
        <v>425</v>
      </c>
    </row>
    <row r="2" spans="1:21" s="195" customFormat="1" ht="15" customHeight="1">
      <c r="B2" s="196" t="s">
        <v>86</v>
      </c>
      <c r="G2" s="196" t="s">
        <v>87</v>
      </c>
      <c r="J2" s="196" t="s">
        <v>88</v>
      </c>
      <c r="L2" s="197"/>
      <c r="U2" s="195" t="s">
        <v>464</v>
      </c>
    </row>
    <row r="3" spans="1:21" s="195" customFormat="1" ht="15" customHeight="1">
      <c r="B3" s="224" t="str">
        <f t="shared" ref="B3:B10" si="0">E78</f>
        <v>Kroatië</v>
      </c>
      <c r="C3" s="222">
        <f t="shared" ref="C3:C10" si="1">IF(ISNA(MATCH(B3,teams_achtste,0)),0,10)</f>
        <v>0</v>
      </c>
      <c r="D3" s="224" t="str">
        <f t="shared" ref="D3:D10" si="2">G78</f>
        <v>Spanje</v>
      </c>
      <c r="E3" s="222">
        <f t="shared" ref="E3:E10" si="3">IF(ISNA(MATCH(D3,teams_achtste,0)),0,10)</f>
        <v>0</v>
      </c>
      <c r="F3" s="339" t="s">
        <v>449</v>
      </c>
      <c r="G3" s="195" t="str">
        <f>E88</f>
        <v>Spanje</v>
      </c>
      <c r="H3" s="222">
        <f t="shared" ref="H3:H10" si="4">IF(ISNA(MATCH(G3,teams_kwart,0)),0,15)</f>
        <v>0</v>
      </c>
      <c r="I3" s="339" t="s">
        <v>457</v>
      </c>
      <c r="J3" s="195" t="str">
        <f>E94</f>
        <v>Spanje</v>
      </c>
      <c r="L3" s="222">
        <f>IF(ISNA(MATCH(J3,teams_halve,0)),0,20)</f>
        <v>0</v>
      </c>
      <c r="Q3" s="223"/>
    </row>
    <row r="4" spans="1:21" s="195" customFormat="1" ht="15" customHeight="1">
      <c r="B4" s="224" t="str">
        <f t="shared" si="0"/>
        <v>Ivoorkust</v>
      </c>
      <c r="C4" s="222">
        <f t="shared" si="1"/>
        <v>0</v>
      </c>
      <c r="D4" s="224" t="str">
        <f t="shared" si="2"/>
        <v>Engeland</v>
      </c>
      <c r="E4" s="222">
        <f t="shared" si="3"/>
        <v>0</v>
      </c>
      <c r="F4" s="339" t="s">
        <v>450</v>
      </c>
      <c r="G4" s="195" t="str">
        <f>G88</f>
        <v>Engeland</v>
      </c>
      <c r="H4" s="222">
        <f t="shared" si="4"/>
        <v>0</v>
      </c>
      <c r="I4" s="339" t="s">
        <v>458</v>
      </c>
      <c r="J4" s="195" t="str">
        <f>G94</f>
        <v>Duitsland</v>
      </c>
      <c r="L4" s="222">
        <f>IF(ISNA(MATCH(J4,teams_halve,0)),0,20)</f>
        <v>20</v>
      </c>
      <c r="Q4" s="224"/>
    </row>
    <row r="5" spans="1:21" s="195" customFormat="1" ht="15" customHeight="1">
      <c r="B5" s="224" t="str">
        <f t="shared" si="0"/>
        <v>Nederland</v>
      </c>
      <c r="C5" s="222">
        <f t="shared" si="1"/>
        <v>10</v>
      </c>
      <c r="D5" s="224" t="str">
        <f t="shared" si="2"/>
        <v>Brazilië</v>
      </c>
      <c r="E5" s="222">
        <f t="shared" si="3"/>
        <v>10</v>
      </c>
      <c r="F5" s="339" t="s">
        <v>451</v>
      </c>
      <c r="G5" s="195" t="str">
        <f>E90</f>
        <v>Brazilië</v>
      </c>
      <c r="H5" s="222">
        <f t="shared" si="4"/>
        <v>15</v>
      </c>
      <c r="I5" s="339" t="s">
        <v>459</v>
      </c>
      <c r="J5" s="195" t="str">
        <f>E95</f>
        <v>Brazilië</v>
      </c>
      <c r="L5" s="222">
        <f>IF(ISNA(MATCH(J5,teams_halve,0)),0,20)</f>
        <v>20</v>
      </c>
    </row>
    <row r="6" spans="1:21" s="195" customFormat="1" ht="15" customHeight="1">
      <c r="B6" s="224" t="str">
        <f t="shared" si="0"/>
        <v>Italië</v>
      </c>
      <c r="C6" s="222">
        <f t="shared" si="1"/>
        <v>0</v>
      </c>
      <c r="D6" s="224" t="str">
        <f t="shared" si="2"/>
        <v>Colombia</v>
      </c>
      <c r="E6" s="222">
        <f t="shared" si="3"/>
        <v>10</v>
      </c>
      <c r="F6" s="339" t="s">
        <v>452</v>
      </c>
      <c r="G6" s="195" t="str">
        <f>G90</f>
        <v>Colombia</v>
      </c>
      <c r="H6" s="222">
        <f t="shared" si="4"/>
        <v>15</v>
      </c>
      <c r="I6" s="339" t="s">
        <v>460</v>
      </c>
      <c r="J6" s="195" t="str">
        <f>G95</f>
        <v>Argentinië</v>
      </c>
      <c r="L6" s="222">
        <f>IF(ISNA(MATCH(J6,teams_halve,0)),0,20)</f>
        <v>20</v>
      </c>
    </row>
    <row r="7" spans="1:21" s="195" customFormat="1" ht="15" customHeight="1">
      <c r="B7" s="224" t="str">
        <f t="shared" si="0"/>
        <v>Zwitserland</v>
      </c>
      <c r="C7" s="222">
        <f t="shared" si="1"/>
        <v>10</v>
      </c>
      <c r="D7" s="224" t="str">
        <f t="shared" si="2"/>
        <v>Bosnië en Herzegovina</v>
      </c>
      <c r="E7" s="222">
        <f t="shared" si="3"/>
        <v>0</v>
      </c>
      <c r="F7" s="339" t="s">
        <v>453</v>
      </c>
      <c r="G7" s="195" t="str">
        <f>E89</f>
        <v>Zwitserland</v>
      </c>
      <c r="H7" s="222">
        <f t="shared" si="4"/>
        <v>0</v>
      </c>
      <c r="I7" s="339"/>
      <c r="J7" s="198" t="s">
        <v>83</v>
      </c>
      <c r="K7" s="199"/>
      <c r="L7" s="225">
        <f>SUM(L3:L6)</f>
        <v>60</v>
      </c>
    </row>
    <row r="8" spans="1:21" s="195" customFormat="1" ht="15" customHeight="1">
      <c r="B8" s="224" t="str">
        <f t="shared" si="0"/>
        <v>Duitsland</v>
      </c>
      <c r="C8" s="222">
        <f t="shared" si="1"/>
        <v>10</v>
      </c>
      <c r="D8" s="224" t="str">
        <f t="shared" si="2"/>
        <v>Zuid-Korea</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Frankrijk</v>
      </c>
      <c r="E9" s="222">
        <f t="shared" si="3"/>
        <v>10</v>
      </c>
      <c r="F9" s="339" t="s">
        <v>455</v>
      </c>
      <c r="G9" s="195" t="str">
        <f>E91</f>
        <v>Argentinië</v>
      </c>
      <c r="H9" s="222">
        <f t="shared" si="4"/>
        <v>15</v>
      </c>
      <c r="I9" s="339" t="s">
        <v>461</v>
      </c>
      <c r="J9" s="195" t="str">
        <f>E101</f>
        <v>Duitsland</v>
      </c>
      <c r="L9" s="222">
        <f>IF(ISNA(MATCH(J9,teams_fin,0)),0,30)</f>
        <v>30</v>
      </c>
      <c r="P9" s="444" t="str">
        <f>E98</f>
        <v>Spanje</v>
      </c>
      <c r="Q9" s="222">
        <f>IF(ISNA(MATCH(P9,teams_troost,0)),0,25)</f>
        <v>0</v>
      </c>
    </row>
    <row r="10" spans="1:21" s="195" customFormat="1" ht="15" customHeight="1">
      <c r="B10" s="224" t="str">
        <f t="shared" si="0"/>
        <v>België</v>
      </c>
      <c r="C10" s="222">
        <f t="shared" si="1"/>
        <v>10</v>
      </c>
      <c r="D10" s="224" t="str">
        <f t="shared" si="2"/>
        <v>Portugal</v>
      </c>
      <c r="E10" s="222">
        <f t="shared" si="3"/>
        <v>0</v>
      </c>
      <c r="F10" s="339" t="s">
        <v>456</v>
      </c>
      <c r="G10" s="195" t="str">
        <f>G91</f>
        <v>België</v>
      </c>
      <c r="H10" s="222">
        <f t="shared" si="4"/>
        <v>15</v>
      </c>
      <c r="I10" s="339" t="s">
        <v>462</v>
      </c>
      <c r="J10" s="195" t="str">
        <f>G101</f>
        <v>Brazilië</v>
      </c>
      <c r="L10" s="222">
        <f>IF(ISNA(MATCH(J10,teams_fin,0)),0,30)</f>
        <v>0</v>
      </c>
      <c r="P10" s="444" t="str">
        <f>G98</f>
        <v>Argentinië</v>
      </c>
      <c r="Q10" s="222">
        <f>IF(ISNA(MATCH(P10,teams_troost,0)),0,25)</f>
        <v>0</v>
      </c>
    </row>
    <row r="11" spans="1:21" s="195" customFormat="1" ht="15" customHeight="1">
      <c r="D11" s="198" t="s">
        <v>89</v>
      </c>
      <c r="E11" s="225">
        <f>SUM(C3:E10)</f>
        <v>80</v>
      </c>
      <c r="G11" s="198" t="s">
        <v>82</v>
      </c>
      <c r="H11" s="225">
        <f>SUM(H3:H10)</f>
        <v>75</v>
      </c>
      <c r="J11" s="198" t="s">
        <v>90</v>
      </c>
      <c r="K11" s="199"/>
      <c r="L11" s="225">
        <f>SUM(L9:L10)</f>
        <v>30</v>
      </c>
      <c r="P11" s="199"/>
      <c r="Q11" s="225">
        <f>SUM(Q9:Q10)</f>
        <v>0</v>
      </c>
    </row>
    <row r="12" spans="1:21">
      <c r="B12" s="201" t="s">
        <v>19</v>
      </c>
      <c r="C12" s="201"/>
      <c r="D12" s="339" t="s">
        <v>463</v>
      </c>
      <c r="E12" s="202" t="s">
        <v>177</v>
      </c>
      <c r="F12" s="226">
        <f>IF(ISNA(MATCH(E12,Invulblad!F104,0)),0,50)</f>
        <v>50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1</v>
      </c>
      <c r="I14" s="366" t="s">
        <v>29</v>
      </c>
      <c r="J14" s="366">
        <v>1</v>
      </c>
      <c r="K14" s="212">
        <f t="shared" ref="K14:K76" si="5">IF(AND(H14="",J14=""),"",IF(OR(H14="",J14=""),"FOUT",IF(H14&gt;J14,"1",IF(H14=J14,3,2))))</f>
        <v>3</v>
      </c>
      <c r="L14" s="210" t="str">
        <f>VLOOKUP($B14,Invulblad!$A$11:$S$103,13,0)</f>
        <v>1</v>
      </c>
      <c r="M14" s="211">
        <f>IF(L14&lt;&gt;"",VLOOKUP($B14,Invulblad!$A$11:$S$103,7,0),"")</f>
        <v>3</v>
      </c>
      <c r="N14" s="209" t="s">
        <v>29</v>
      </c>
      <c r="O14" s="211">
        <f>IF(L14&lt;&gt;"",VLOOKUP($B14,Invulblad!$A$11:$S$103,9,0),"")</f>
        <v>1</v>
      </c>
      <c r="P14" s="212">
        <f t="shared" ref="P14:P19" si="6">IF(L14&lt;&gt;"",IF(AND(M14=H14,O14=J14),10,IF(K14=L14,5,0)),"")</f>
        <v>0</v>
      </c>
    </row>
    <row r="15" spans="1:21">
      <c r="A15" s="188">
        <v>2</v>
      </c>
      <c r="B15" s="195">
        <v>2</v>
      </c>
      <c r="C15" s="332">
        <v>41803</v>
      </c>
      <c r="D15" s="333">
        <v>0.75</v>
      </c>
      <c r="E15" s="189" t="s">
        <v>101</v>
      </c>
      <c r="F15" s="189" t="s">
        <v>29</v>
      </c>
      <c r="G15" s="189" t="s">
        <v>119</v>
      </c>
      <c r="H15" s="366">
        <v>0</v>
      </c>
      <c r="I15" s="366" t="s">
        <v>29</v>
      </c>
      <c r="J15" s="366">
        <v>0</v>
      </c>
      <c r="K15" s="212">
        <f t="shared" si="5"/>
        <v>3</v>
      </c>
      <c r="L15" s="210" t="str">
        <f>VLOOKUP($B15,Invulblad!$A$11:$S$103,13,0)</f>
        <v>1</v>
      </c>
      <c r="M15" s="211">
        <f>IF(L15&lt;&gt;"",VLOOKUP($B15,Invulblad!$A$11:$S$103,7,0),"")</f>
        <v>1</v>
      </c>
      <c r="N15" s="209" t="s">
        <v>29</v>
      </c>
      <c r="O15" s="211">
        <f>IF(L15&lt;&gt;"",VLOOKUP($B15,Invulblad!$A$11:$S$103,9,0),"")</f>
        <v>0</v>
      </c>
      <c r="P15" s="212">
        <f t="shared" si="6"/>
        <v>0</v>
      </c>
    </row>
    <row r="16" spans="1:21">
      <c r="A16" s="188">
        <v>3</v>
      </c>
      <c r="B16" s="195">
        <v>17</v>
      </c>
      <c r="C16" s="332">
        <v>41807</v>
      </c>
      <c r="D16" s="333">
        <v>0.875</v>
      </c>
      <c r="E16" s="189" t="s">
        <v>557</v>
      </c>
      <c r="F16" s="189" t="s">
        <v>29</v>
      </c>
      <c r="G16" s="189" t="s">
        <v>96</v>
      </c>
      <c r="H16" s="366">
        <v>1</v>
      </c>
      <c r="I16" s="366" t="s">
        <v>29</v>
      </c>
      <c r="J16" s="366">
        <v>1</v>
      </c>
      <c r="K16" s="212">
        <f t="shared" si="5"/>
        <v>3</v>
      </c>
      <c r="L16" s="210">
        <f>VLOOKUP($B16,Invulblad!$A$11:$S$103,13,0)</f>
        <v>3</v>
      </c>
      <c r="M16" s="211">
        <f>IF(L16&lt;&gt;"",VLOOKUP($B16,Invulblad!$A$11:$S$103,7,0),"")</f>
        <v>0</v>
      </c>
      <c r="N16" s="209" t="s">
        <v>29</v>
      </c>
      <c r="O16" s="211">
        <f>IF(L16&lt;&gt;"",VLOOKUP($B16,Invulblad!$A$11:$S$103,9,0),"")</f>
        <v>0</v>
      </c>
      <c r="P16" s="212">
        <f t="shared" si="6"/>
        <v>5</v>
      </c>
    </row>
    <row r="17" spans="1:16">
      <c r="A17" s="188">
        <v>4</v>
      </c>
      <c r="B17" s="195">
        <v>18</v>
      </c>
      <c r="C17" s="332">
        <v>41809</v>
      </c>
      <c r="D17" s="333">
        <v>0</v>
      </c>
      <c r="E17" s="189" t="s">
        <v>121</v>
      </c>
      <c r="F17" s="189" t="s">
        <v>29</v>
      </c>
      <c r="G17" s="189" t="s">
        <v>558</v>
      </c>
      <c r="H17" s="366">
        <v>2</v>
      </c>
      <c r="I17" s="366" t="s">
        <v>29</v>
      </c>
      <c r="J17" s="366">
        <v>4</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1</v>
      </c>
      <c r="I18" s="366" t="s">
        <v>29</v>
      </c>
      <c r="J18" s="366">
        <v>2</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4</v>
      </c>
      <c r="I19" s="366" t="s">
        <v>29</v>
      </c>
      <c r="J19" s="366">
        <v>1</v>
      </c>
      <c r="K19" s="212" t="str">
        <f t="shared" si="5"/>
        <v>1</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201"/>
      <c r="I20" s="201"/>
      <c r="J20" s="201"/>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1</v>
      </c>
      <c r="I22" s="366" t="s">
        <v>29</v>
      </c>
      <c r="J22" s="366">
        <v>2</v>
      </c>
      <c r="K22" s="212">
        <f t="shared" si="5"/>
        <v>2</v>
      </c>
      <c r="L22" s="210">
        <f>VLOOKUP($B22,Invulblad!$A$11:$S$103,13,0)</f>
        <v>2</v>
      </c>
      <c r="M22" s="211">
        <f>IF(L22&lt;&gt;"",VLOOKUP($B22,Invulblad!$A$11:$S$103,7,0),"")</f>
        <v>1</v>
      </c>
      <c r="N22" s="209" t="s">
        <v>29</v>
      </c>
      <c r="O22" s="211">
        <f>IF(L22&lt;&gt;"",VLOOKUP($B22,Invulblad!$A$11:$S$103,9,0),"")</f>
        <v>5</v>
      </c>
      <c r="P22" s="212">
        <f t="shared" ref="P22:P27" si="7">IF(L22&lt;&gt;"",IF(AND(M22=H22,O22=J22),10,IF(K22=L22,5,0)),"")</f>
        <v>5</v>
      </c>
    </row>
    <row r="23" spans="1:16">
      <c r="A23" s="188">
        <v>10</v>
      </c>
      <c r="B23" s="195">
        <v>4</v>
      </c>
      <c r="C23" s="332">
        <v>41804</v>
      </c>
      <c r="D23" s="333">
        <v>0</v>
      </c>
      <c r="E23" s="189" t="s">
        <v>131</v>
      </c>
      <c r="F23" s="189" t="s">
        <v>29</v>
      </c>
      <c r="G23" s="189" t="s">
        <v>561</v>
      </c>
      <c r="H23" s="366">
        <v>1</v>
      </c>
      <c r="I23" s="366" t="s">
        <v>29</v>
      </c>
      <c r="J23" s="366">
        <v>1</v>
      </c>
      <c r="K23" s="212">
        <f t="shared" si="5"/>
        <v>3</v>
      </c>
      <c r="L23" s="210" t="str">
        <f>VLOOKUP($B23,Invulblad!$A$11:$S$103,13,0)</f>
        <v>1</v>
      </c>
      <c r="M23" s="211">
        <f>IF(L23&lt;&gt;"",VLOOKUP($B23,Invulblad!$A$11:$S$103,7,0),"")</f>
        <v>3</v>
      </c>
      <c r="N23" s="209" t="s">
        <v>29</v>
      </c>
      <c r="O23" s="211">
        <f>IF(L23&lt;&gt;"",VLOOKUP($B23,Invulblad!$A$11:$S$103,9,0),"")</f>
        <v>1</v>
      </c>
      <c r="P23" s="212">
        <f t="shared" si="7"/>
        <v>0</v>
      </c>
    </row>
    <row r="24" spans="1:16">
      <c r="A24" s="188">
        <v>11</v>
      </c>
      <c r="B24" s="195">
        <v>19</v>
      </c>
      <c r="C24" s="332">
        <v>41808</v>
      </c>
      <c r="D24" s="333">
        <v>0.875</v>
      </c>
      <c r="E24" s="189" t="s">
        <v>129</v>
      </c>
      <c r="F24" s="189" t="s">
        <v>29</v>
      </c>
      <c r="G24" s="189" t="s">
        <v>128</v>
      </c>
      <c r="H24" s="366">
        <v>5</v>
      </c>
      <c r="I24" s="366" t="s">
        <v>29</v>
      </c>
      <c r="J24" s="366">
        <v>2</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1</v>
      </c>
      <c r="I25" s="366" t="s">
        <v>29</v>
      </c>
      <c r="J25" s="366">
        <v>3</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0</v>
      </c>
      <c r="I26" s="366" t="s">
        <v>29</v>
      </c>
      <c r="J26" s="366">
        <v>1</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2</v>
      </c>
      <c r="I27" s="366" t="s">
        <v>29</v>
      </c>
      <c r="J27" s="366">
        <v>2</v>
      </c>
      <c r="K27" s="212">
        <f t="shared" si="5"/>
        <v>3</v>
      </c>
      <c r="L27" s="210" t="str">
        <f>VLOOKUP($B27,Invulblad!$A$11:$S$103,13,0)</f>
        <v>1</v>
      </c>
      <c r="M27" s="211">
        <f>IF(L27&lt;&gt;"",VLOOKUP($B27,Invulblad!$A$11:$S$103,7,0),"")</f>
        <v>2</v>
      </c>
      <c r="N27" s="209" t="s">
        <v>29</v>
      </c>
      <c r="O27" s="211">
        <f>IF(L27&lt;&gt;"",VLOOKUP($B27,Invulblad!$A$11:$S$103,9,0),"")</f>
        <v>0</v>
      </c>
      <c r="P27" s="212">
        <f t="shared" si="7"/>
        <v>0</v>
      </c>
    </row>
    <row r="28" spans="1:16">
      <c r="A28" s="188">
        <v>15</v>
      </c>
      <c r="B28" s="201" t="s">
        <v>31</v>
      </c>
      <c r="H28" s="201"/>
      <c r="I28" s="201"/>
      <c r="J28" s="201"/>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3</v>
      </c>
      <c r="I30" s="366" t="s">
        <v>29</v>
      </c>
      <c r="J30" s="366">
        <v>2</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1</v>
      </c>
      <c r="I31" s="366" t="s">
        <v>29</v>
      </c>
      <c r="J31" s="366">
        <v>0</v>
      </c>
      <c r="K31" s="212" t="str">
        <f t="shared" si="5"/>
        <v>1</v>
      </c>
      <c r="L31" s="210" t="str">
        <f>VLOOKUP($B31,Invulblad!$A$11:$S$103,13,0)</f>
        <v>1</v>
      </c>
      <c r="M31" s="211">
        <f>IF(L31&lt;&gt;"",VLOOKUP($B31,Invulblad!$A$11:$S$103,7,0),"")</f>
        <v>2</v>
      </c>
      <c r="N31" s="209" t="s">
        <v>29</v>
      </c>
      <c r="O31" s="211">
        <f>IF(L31&lt;&gt;"",VLOOKUP($B31,Invulblad!$A$11:$S$103,9,0),"")</f>
        <v>1</v>
      </c>
      <c r="P31" s="212">
        <f t="shared" si="8"/>
        <v>5</v>
      </c>
    </row>
    <row r="32" spans="1:16">
      <c r="A32" s="188">
        <v>19</v>
      </c>
      <c r="B32" s="195">
        <v>21</v>
      </c>
      <c r="C32" s="332">
        <v>41809</v>
      </c>
      <c r="D32" s="333">
        <v>0.75</v>
      </c>
      <c r="E32" s="189" t="s">
        <v>428</v>
      </c>
      <c r="F32" s="189" t="s">
        <v>29</v>
      </c>
      <c r="G32" s="189" t="s">
        <v>125</v>
      </c>
      <c r="H32" s="366">
        <v>1</v>
      </c>
      <c r="I32" s="366" t="s">
        <v>29</v>
      </c>
      <c r="J32" s="366">
        <v>2</v>
      </c>
      <c r="K32" s="212">
        <f t="shared" si="5"/>
        <v>2</v>
      </c>
      <c r="L32" s="210" t="str">
        <f>VLOOKUP($B32,Invulblad!$A$11:$S$103,13,0)</f>
        <v>1</v>
      </c>
      <c r="M32" s="211">
        <f>IF(L32&lt;&gt;"",VLOOKUP($B32,Invulblad!$A$11:$S$103,7,0),"")</f>
        <v>2</v>
      </c>
      <c r="N32" s="209" t="s">
        <v>29</v>
      </c>
      <c r="O32" s="211">
        <f>IF(L32&lt;&gt;"",VLOOKUP($B32,Invulblad!$A$11:$S$103,9,0),"")</f>
        <v>1</v>
      </c>
      <c r="P32" s="212">
        <f t="shared" si="8"/>
        <v>0</v>
      </c>
    </row>
    <row r="33" spans="1:16">
      <c r="A33" s="188">
        <v>20</v>
      </c>
      <c r="B33" s="195">
        <v>22</v>
      </c>
      <c r="C33" s="332">
        <v>41810</v>
      </c>
      <c r="D33" s="333">
        <v>0</v>
      </c>
      <c r="E33" s="189" t="s">
        <v>118</v>
      </c>
      <c r="F33" s="189" t="s">
        <v>29</v>
      </c>
      <c r="G33" s="189" t="s">
        <v>105</v>
      </c>
      <c r="H33" s="366">
        <v>0</v>
      </c>
      <c r="I33" s="366" t="s">
        <v>29</v>
      </c>
      <c r="J33" s="366">
        <v>1</v>
      </c>
      <c r="K33" s="212">
        <f t="shared" si="5"/>
        <v>2</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0</v>
      </c>
      <c r="I34" s="366" t="s">
        <v>29</v>
      </c>
      <c r="J34" s="366">
        <v>2</v>
      </c>
      <c r="K34" s="212">
        <f t="shared" si="5"/>
        <v>2</v>
      </c>
      <c r="L34" s="210">
        <f>VLOOKUP($B34,Invulblad!$A$11:$S$103,13,0)</f>
        <v>2</v>
      </c>
      <c r="M34" s="211">
        <f>IF(L34&lt;&gt;"",VLOOKUP($B34,Invulblad!$A$11:$S$103,7,0),"")</f>
        <v>1</v>
      </c>
      <c r="N34" s="209" t="s">
        <v>29</v>
      </c>
      <c r="O34" s="211">
        <f>IF(L34&lt;&gt;"",VLOOKUP($B34,Invulblad!$A$11:$S$103,9,0),"")</f>
        <v>4</v>
      </c>
      <c r="P34" s="212">
        <f t="shared" si="8"/>
        <v>5</v>
      </c>
    </row>
    <row r="35" spans="1:16">
      <c r="A35" s="188">
        <v>22</v>
      </c>
      <c r="B35" s="195">
        <v>38</v>
      </c>
      <c r="C35" s="332">
        <v>41814</v>
      </c>
      <c r="D35" s="333">
        <v>0.91666666666666663</v>
      </c>
      <c r="E35" s="189" t="s">
        <v>233</v>
      </c>
      <c r="F35" s="189" t="s">
        <v>29</v>
      </c>
      <c r="G35" s="189" t="s">
        <v>125</v>
      </c>
      <c r="H35" s="366">
        <v>1</v>
      </c>
      <c r="I35" s="366" t="s">
        <v>29</v>
      </c>
      <c r="J35" s="366">
        <v>3</v>
      </c>
      <c r="K35" s="212">
        <f t="shared" si="5"/>
        <v>2</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201"/>
      <c r="I36" s="201"/>
      <c r="J36" s="201"/>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1</v>
      </c>
      <c r="I38" s="366" t="s">
        <v>29</v>
      </c>
      <c r="J38" s="366">
        <v>1</v>
      </c>
      <c r="K38" s="212">
        <f t="shared" si="5"/>
        <v>3</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5</v>
      </c>
      <c r="K39" s="212">
        <f t="shared" si="5"/>
        <v>2</v>
      </c>
      <c r="L39" s="210">
        <f>VLOOKUP($B39,Invulblad!$A$11:$S$103,13,0)</f>
        <v>2</v>
      </c>
      <c r="M39" s="211">
        <f>IF(L39&lt;&gt;"",VLOOKUP($B39,Invulblad!$A$11:$S$103,7,0),"")</f>
        <v>1</v>
      </c>
      <c r="N39" s="209" t="s">
        <v>29</v>
      </c>
      <c r="O39" s="211">
        <f>IF(L39&lt;&gt;"",VLOOKUP($B39,Invulblad!$A$11:$S$103,9,0),"")</f>
        <v>2</v>
      </c>
      <c r="P39" s="212">
        <f t="shared" si="9"/>
        <v>5</v>
      </c>
    </row>
    <row r="40" spans="1:16">
      <c r="A40" s="188">
        <v>27</v>
      </c>
      <c r="B40" s="195">
        <v>23</v>
      </c>
      <c r="C40" s="332">
        <v>41809</v>
      </c>
      <c r="D40" s="333">
        <v>0.875</v>
      </c>
      <c r="E40" s="189" t="s">
        <v>231</v>
      </c>
      <c r="F40" s="189" t="s">
        <v>29</v>
      </c>
      <c r="G40" s="189" t="s">
        <v>112</v>
      </c>
      <c r="H40" s="366">
        <v>0</v>
      </c>
      <c r="I40" s="366" t="s">
        <v>29</v>
      </c>
      <c r="J40" s="366">
        <v>1</v>
      </c>
      <c r="K40" s="212">
        <f t="shared" si="5"/>
        <v>2</v>
      </c>
      <c r="L40" s="210" t="str">
        <f>VLOOKUP($B40,Invulblad!$A$11:$S$103,13,0)</f>
        <v>1</v>
      </c>
      <c r="M40" s="211">
        <f>IF(L40&lt;&gt;"",VLOOKUP($B40,Invulblad!$A$11:$S$103,7,0),"")</f>
        <v>2</v>
      </c>
      <c r="N40" s="209" t="s">
        <v>29</v>
      </c>
      <c r="O40" s="211">
        <f>IF(L40&lt;&gt;"",VLOOKUP($B40,Invulblad!$A$11:$S$103,9,0),"")</f>
        <v>1</v>
      </c>
      <c r="P40" s="212">
        <f t="shared" si="9"/>
        <v>0</v>
      </c>
    </row>
    <row r="41" spans="1:16">
      <c r="A41" s="188">
        <v>28</v>
      </c>
      <c r="B41" s="195">
        <v>24</v>
      </c>
      <c r="C41" s="332">
        <v>41810</v>
      </c>
      <c r="D41" s="333">
        <v>0.75</v>
      </c>
      <c r="E41" s="189" t="s">
        <v>564</v>
      </c>
      <c r="F41" s="189" t="s">
        <v>29</v>
      </c>
      <c r="G41" s="189" t="s">
        <v>430</v>
      </c>
      <c r="H41" s="366">
        <v>2</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3</v>
      </c>
      <c r="I42" s="366" t="s">
        <v>29</v>
      </c>
      <c r="J42" s="366">
        <v>1</v>
      </c>
      <c r="K42" s="212" t="str">
        <f t="shared" si="5"/>
        <v>1</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4</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201"/>
      <c r="I44" s="201"/>
      <c r="J44" s="201"/>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2</v>
      </c>
      <c r="I46" s="366" t="s">
        <v>29</v>
      </c>
      <c r="J46" s="366">
        <v>0</v>
      </c>
      <c r="K46" s="212" t="str">
        <f t="shared" si="5"/>
        <v>1</v>
      </c>
      <c r="L46" s="210" t="str">
        <f>VLOOKUP($B46,Invulblad!$A$11:$S$103,13,0)</f>
        <v>1</v>
      </c>
      <c r="M46" s="211">
        <f>IF(L46&lt;&gt;"",VLOOKUP($B46,Invulblad!$A$11:$S$103,7,0),"")</f>
        <v>2</v>
      </c>
      <c r="N46" s="209" t="s">
        <v>29</v>
      </c>
      <c r="O46" s="211">
        <f>IF(L46&lt;&gt;"",VLOOKUP($B46,Invulblad!$A$11:$S$103,9,0),"")</f>
        <v>1</v>
      </c>
      <c r="P46" s="212">
        <f t="shared" ref="P46:P51" si="10">IF(L46&lt;&gt;"",IF(AND(M46=H46,O46=J46),10,IF(K46=L46,5,0)),"")</f>
        <v>5</v>
      </c>
    </row>
    <row r="47" spans="1:16">
      <c r="A47" s="188">
        <v>34</v>
      </c>
      <c r="B47" s="195">
        <v>10</v>
      </c>
      <c r="C47" s="332">
        <v>41805</v>
      </c>
      <c r="D47" s="333">
        <v>0.875</v>
      </c>
      <c r="E47" s="189" t="s">
        <v>100</v>
      </c>
      <c r="F47" s="189" t="s">
        <v>29</v>
      </c>
      <c r="G47" s="189" t="s">
        <v>132</v>
      </c>
      <c r="H47" s="366">
        <v>2</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2</v>
      </c>
      <c r="I48" s="366" t="s">
        <v>29</v>
      </c>
      <c r="J48" s="366">
        <v>2</v>
      </c>
      <c r="K48" s="212">
        <f t="shared" si="5"/>
        <v>3</v>
      </c>
      <c r="L48" s="210">
        <f>VLOOKUP($B48,Invulblad!$A$11:$S$103,13,0)</f>
        <v>2</v>
      </c>
      <c r="M48" s="211">
        <f>IF(L48&lt;&gt;"",VLOOKUP($B48,Invulblad!$A$11:$S$103,7,0),"")</f>
        <v>2</v>
      </c>
      <c r="N48" s="209" t="s">
        <v>29</v>
      </c>
      <c r="O48" s="211">
        <f>IF(L48&lt;&gt;"",VLOOKUP($B48,Invulblad!$A$11:$S$103,9,0),"")</f>
        <v>5</v>
      </c>
      <c r="P48" s="212">
        <f t="shared" si="10"/>
        <v>0</v>
      </c>
    </row>
    <row r="49" spans="1:16">
      <c r="A49" s="188">
        <v>36</v>
      </c>
      <c r="B49" s="195">
        <v>26</v>
      </c>
      <c r="C49" s="332">
        <v>41811</v>
      </c>
      <c r="D49" s="333">
        <v>0</v>
      </c>
      <c r="E49" s="189" t="s">
        <v>127</v>
      </c>
      <c r="F49" s="189" t="s">
        <v>29</v>
      </c>
      <c r="G49" s="189" t="s">
        <v>434</v>
      </c>
      <c r="H49" s="366">
        <v>0</v>
      </c>
      <c r="I49" s="366" t="s">
        <v>29</v>
      </c>
      <c r="J49" s="366">
        <v>2</v>
      </c>
      <c r="K49" s="212">
        <f t="shared" si="5"/>
        <v>2</v>
      </c>
      <c r="L49" s="210">
        <f>VLOOKUP($B49,Invulblad!$A$11:$S$103,13,0)</f>
        <v>2</v>
      </c>
      <c r="M49" s="211">
        <f>IF(L49&lt;&gt;"",VLOOKUP($B49,Invulblad!$A$11:$S$103,7,0),"")</f>
        <v>1</v>
      </c>
      <c r="N49" s="209" t="s">
        <v>29</v>
      </c>
      <c r="O49" s="211">
        <f>IF(L49&lt;&gt;"",VLOOKUP($B49,Invulblad!$A$11:$S$103,9,0),"")</f>
        <v>2</v>
      </c>
      <c r="P49" s="212">
        <f t="shared" si="10"/>
        <v>5</v>
      </c>
    </row>
    <row r="50" spans="1:16">
      <c r="A50" s="188">
        <v>37</v>
      </c>
      <c r="B50" s="195">
        <v>41</v>
      </c>
      <c r="C50" s="332">
        <v>41815</v>
      </c>
      <c r="D50" s="333">
        <v>0.91666666666666663</v>
      </c>
      <c r="E50" s="189" t="s">
        <v>127</v>
      </c>
      <c r="F50" s="189" t="s">
        <v>29</v>
      </c>
      <c r="G50" s="189" t="s">
        <v>130</v>
      </c>
      <c r="H50" s="366">
        <v>1</v>
      </c>
      <c r="I50" s="366" t="s">
        <v>29</v>
      </c>
      <c r="J50" s="366">
        <v>2</v>
      </c>
      <c r="K50" s="212">
        <f t="shared" si="5"/>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2</v>
      </c>
      <c r="I51" s="366" t="s">
        <v>29</v>
      </c>
      <c r="J51" s="366">
        <v>2</v>
      </c>
      <c r="K51" s="212">
        <f t="shared" si="5"/>
        <v>3</v>
      </c>
      <c r="L51" s="210">
        <f>VLOOKUP($B51,Invulblad!$A$11:$S$103,13,0)</f>
        <v>3</v>
      </c>
      <c r="M51" s="211">
        <f>IF(L51&lt;&gt;"",VLOOKUP($B51,Invulblad!$A$11:$S$103,7,0),"")</f>
        <v>0</v>
      </c>
      <c r="N51" s="209" t="s">
        <v>29</v>
      </c>
      <c r="O51" s="211">
        <f>IF(L51&lt;&gt;"",VLOOKUP($B51,Invulblad!$A$11:$S$103,9,0),"")</f>
        <v>0</v>
      </c>
      <c r="P51" s="212">
        <f t="shared" si="10"/>
        <v>5</v>
      </c>
    </row>
    <row r="52" spans="1:16">
      <c r="A52" s="188">
        <v>39</v>
      </c>
      <c r="B52" s="201" t="s">
        <v>35</v>
      </c>
      <c r="H52" s="201"/>
      <c r="I52" s="201"/>
      <c r="J52" s="201"/>
      <c r="K52" s="213" t="str">
        <f t="shared" si="5"/>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2</v>
      </c>
      <c r="I54" s="366" t="s">
        <v>29</v>
      </c>
      <c r="J54" s="366">
        <v>1</v>
      </c>
      <c r="K54" s="212" t="str">
        <f t="shared" si="5"/>
        <v>1</v>
      </c>
      <c r="L54" s="210" t="str">
        <f>VLOOKUP($B54,Invulblad!$A$11:$S$103,13,0)</f>
        <v>1</v>
      </c>
      <c r="M54" s="211">
        <f>IF(L54&lt;&gt;"",VLOOKUP($B54,Invulblad!$A$11:$S$103,7,0),"")</f>
        <v>2</v>
      </c>
      <c r="N54" s="209" t="s">
        <v>29</v>
      </c>
      <c r="O54" s="211">
        <f>IF(L54&lt;&gt;"",VLOOKUP($B54,Invulblad!$A$11:$S$103,9,0),"")</f>
        <v>1</v>
      </c>
      <c r="P54" s="212">
        <f t="shared" ref="P54:P59" si="11">IF(L54&lt;&gt;"",IF(AND(M54=H54,O54=J54),10,IF(K54=L54,5,0)),"")</f>
        <v>10</v>
      </c>
    </row>
    <row r="55" spans="1:16">
      <c r="A55" s="188">
        <v>42</v>
      </c>
      <c r="B55" s="195">
        <v>12</v>
      </c>
      <c r="C55" s="332">
        <v>41806</v>
      </c>
      <c r="D55" s="333">
        <v>0.875</v>
      </c>
      <c r="E55" s="189" t="s">
        <v>438</v>
      </c>
      <c r="F55" s="189" t="s">
        <v>29</v>
      </c>
      <c r="G55" s="189" t="s">
        <v>103</v>
      </c>
      <c r="H55" s="366">
        <v>0</v>
      </c>
      <c r="I55" s="366" t="s">
        <v>29</v>
      </c>
      <c r="J55" s="366">
        <v>2</v>
      </c>
      <c r="K55" s="212">
        <f t="shared" si="5"/>
        <v>2</v>
      </c>
      <c r="L55" s="210">
        <f>VLOOKUP($B55,Invulblad!$A$11:$S$103,13,0)</f>
        <v>3</v>
      </c>
      <c r="M55" s="211">
        <f>IF(L55&lt;&gt;"",VLOOKUP($B55,Invulblad!$A$11:$S$103,7,0),"")</f>
        <v>0</v>
      </c>
      <c r="N55" s="209" t="s">
        <v>29</v>
      </c>
      <c r="O55" s="211">
        <f>IF(L55&lt;&gt;"",VLOOKUP($B55,Invulblad!$A$11:$S$103,9,0),"")</f>
        <v>0</v>
      </c>
      <c r="P55" s="212">
        <f t="shared" si="11"/>
        <v>0</v>
      </c>
    </row>
    <row r="56" spans="1:16">
      <c r="A56" s="188">
        <v>43</v>
      </c>
      <c r="B56" s="195">
        <v>27</v>
      </c>
      <c r="C56" s="332">
        <v>41811</v>
      </c>
      <c r="D56" s="333">
        <v>0.75</v>
      </c>
      <c r="E56" s="189" t="s">
        <v>565</v>
      </c>
      <c r="F56" s="189" t="s">
        <v>29</v>
      </c>
      <c r="G56" s="189" t="s">
        <v>439</v>
      </c>
      <c r="H56" s="366">
        <v>0</v>
      </c>
      <c r="I56" s="366" t="s">
        <v>29</v>
      </c>
      <c r="J56" s="366">
        <v>0</v>
      </c>
      <c r="K56" s="212">
        <f t="shared" si="5"/>
        <v>3</v>
      </c>
      <c r="L56" s="210" t="str">
        <f>VLOOKUP($B56,Invulblad!$A$11:$S$103,13,0)</f>
        <v>1</v>
      </c>
      <c r="M56" s="211">
        <f>IF(L56&lt;&gt;"",VLOOKUP($B56,Invulblad!$A$11:$S$103,7,0),"")</f>
        <v>1</v>
      </c>
      <c r="N56" s="209" t="s">
        <v>29</v>
      </c>
      <c r="O56" s="211">
        <f>IF(L56&lt;&gt;"",VLOOKUP($B56,Invulblad!$A$11:$S$103,9,0),"")</f>
        <v>0</v>
      </c>
      <c r="P56" s="212">
        <f t="shared" si="11"/>
        <v>0</v>
      </c>
    </row>
    <row r="57" spans="1:16">
      <c r="A57" s="188">
        <v>44</v>
      </c>
      <c r="B57" s="195">
        <v>28</v>
      </c>
      <c r="C57" s="332">
        <v>41812</v>
      </c>
      <c r="D57" s="333">
        <v>0</v>
      </c>
      <c r="E57" s="189" t="s">
        <v>234</v>
      </c>
      <c r="F57" s="189" t="s">
        <v>29</v>
      </c>
      <c r="G57" s="189" t="s">
        <v>566</v>
      </c>
      <c r="H57" s="366">
        <v>0</v>
      </c>
      <c r="I57" s="366" t="s">
        <v>29</v>
      </c>
      <c r="J57" s="366">
        <v>1</v>
      </c>
      <c r="K57" s="212">
        <f t="shared" si="5"/>
        <v>2</v>
      </c>
      <c r="L57" s="210" t="str">
        <f>VLOOKUP($B57,Invulblad!$A$11:$S$103,13,0)</f>
        <v>1</v>
      </c>
      <c r="M57" s="211">
        <f>IF(L57&lt;&gt;"",VLOOKUP($B57,Invulblad!$A$11:$S$103,7,0),"")</f>
        <v>1</v>
      </c>
      <c r="N57" s="209" t="s">
        <v>29</v>
      </c>
      <c r="O57" s="211">
        <f>IF(L57&lt;&gt;"",VLOOKUP($B57,Invulblad!$A$11:$S$103,9,0),"")</f>
        <v>0</v>
      </c>
      <c r="P57" s="212">
        <f t="shared" si="11"/>
        <v>0</v>
      </c>
    </row>
    <row r="58" spans="1:16">
      <c r="A58" s="188">
        <v>45</v>
      </c>
      <c r="B58" s="195">
        <v>43</v>
      </c>
      <c r="C58" s="332">
        <v>41815</v>
      </c>
      <c r="D58" s="333">
        <v>0.75</v>
      </c>
      <c r="E58" s="189" t="s">
        <v>234</v>
      </c>
      <c r="F58" s="189" t="s">
        <v>29</v>
      </c>
      <c r="G58" s="189" t="s">
        <v>567</v>
      </c>
      <c r="H58" s="366">
        <v>2</v>
      </c>
      <c r="I58" s="366" t="s">
        <v>29</v>
      </c>
      <c r="J58" s="366">
        <v>3</v>
      </c>
      <c r="K58" s="212">
        <f t="shared" si="5"/>
        <v>2</v>
      </c>
      <c r="L58" s="210">
        <f>VLOOKUP($B58,Invulblad!$A$11:$S$103,13,0)</f>
        <v>2</v>
      </c>
      <c r="M58" s="211">
        <f>IF(L58&lt;&gt;"",VLOOKUP($B58,Invulblad!$A$11:$S$103,7,0),"")</f>
        <v>2</v>
      </c>
      <c r="N58" s="209" t="s">
        <v>29</v>
      </c>
      <c r="O58" s="211">
        <f>IF(L58&lt;&gt;"",VLOOKUP($B58,Invulblad!$A$11:$S$103,9,0),"")</f>
        <v>3</v>
      </c>
      <c r="P58" s="212">
        <f t="shared" si="11"/>
        <v>10</v>
      </c>
    </row>
    <row r="59" spans="1:16">
      <c r="A59" s="188">
        <v>46</v>
      </c>
      <c r="B59" s="195">
        <v>44</v>
      </c>
      <c r="C59" s="332">
        <v>41815</v>
      </c>
      <c r="D59" s="333">
        <v>0.75</v>
      </c>
      <c r="E59" s="189" t="s">
        <v>568</v>
      </c>
      <c r="F59" s="189" t="s">
        <v>29</v>
      </c>
      <c r="G59" s="189" t="s">
        <v>439</v>
      </c>
      <c r="H59" s="366">
        <v>1</v>
      </c>
      <c r="I59" s="366" t="s">
        <v>29</v>
      </c>
      <c r="J59" s="366">
        <v>1</v>
      </c>
      <c r="K59" s="212">
        <f t="shared" si="5"/>
        <v>3</v>
      </c>
      <c r="L59" s="210" t="str">
        <f>VLOOKUP($B59,Invulblad!$A$11:$S$103,13,0)</f>
        <v>1</v>
      </c>
      <c r="M59" s="211">
        <f>IF(L59&lt;&gt;"",VLOOKUP($B59,Invulblad!$A$11:$S$103,7,0),"")</f>
        <v>3</v>
      </c>
      <c r="N59" s="209" t="s">
        <v>29</v>
      </c>
      <c r="O59" s="211">
        <f>IF(L59&lt;&gt;"",VLOOKUP($B59,Invulblad!$A$11:$S$103,9,0),"")</f>
        <v>1</v>
      </c>
      <c r="P59" s="212">
        <f t="shared" si="11"/>
        <v>0</v>
      </c>
    </row>
    <row r="60" spans="1:16">
      <c r="A60" s="188">
        <v>47</v>
      </c>
      <c r="B60" s="201" t="s">
        <v>36</v>
      </c>
      <c r="H60" s="201"/>
      <c r="I60" s="201"/>
      <c r="J60" s="201"/>
      <c r="K60" s="213" t="str">
        <f t="shared" si="5"/>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0</v>
      </c>
      <c r="I62" s="366" t="s">
        <v>29</v>
      </c>
      <c r="J62" s="366">
        <v>2</v>
      </c>
      <c r="K62" s="212">
        <f t="shared" si="5"/>
        <v>2</v>
      </c>
      <c r="L62" s="210" t="str">
        <f>VLOOKUP($B62,Invulblad!$A$11:$S$103,13,0)</f>
        <v>1</v>
      </c>
      <c r="M62" s="211">
        <f>IF(L62&lt;&gt;"",VLOOKUP($B62,Invulblad!$A$11:$S$103,7,0),"")</f>
        <v>4</v>
      </c>
      <c r="N62" s="209" t="s">
        <v>29</v>
      </c>
      <c r="O62" s="211">
        <f>IF(L62&lt;&gt;"",VLOOKUP($B62,Invulblad!$A$11:$S$103,9,0),"")</f>
        <v>0</v>
      </c>
      <c r="P62" s="212">
        <f t="shared" ref="P62:P67" si="12">IF(L62&lt;&gt;"",IF(AND(M62=H62,O62=J62),10,IF(K62=L62,5,0)),"")</f>
        <v>0</v>
      </c>
    </row>
    <row r="63" spans="1:16">
      <c r="A63" s="188">
        <v>50</v>
      </c>
      <c r="B63" s="195">
        <v>14</v>
      </c>
      <c r="C63" s="332">
        <v>41807</v>
      </c>
      <c r="D63" s="333">
        <v>0</v>
      </c>
      <c r="E63" s="189" t="s">
        <v>115</v>
      </c>
      <c r="F63" s="189" t="s">
        <v>29</v>
      </c>
      <c r="G63" s="189" t="s">
        <v>577</v>
      </c>
      <c r="H63" s="366">
        <v>0</v>
      </c>
      <c r="I63" s="366" t="s">
        <v>29</v>
      </c>
      <c r="J63" s="366">
        <v>0</v>
      </c>
      <c r="K63" s="212">
        <f t="shared" si="5"/>
        <v>3</v>
      </c>
      <c r="L63" s="210">
        <f>VLOOKUP($B63,Invulblad!$A$11:$S$103,13,0)</f>
        <v>2</v>
      </c>
      <c r="M63" s="211">
        <f>IF(L63&lt;&gt;"",VLOOKUP($B63,Invulblad!$A$11:$S$103,7,0),"")</f>
        <v>1</v>
      </c>
      <c r="N63" s="209" t="s">
        <v>29</v>
      </c>
      <c r="O63" s="211">
        <f>IF(L63&lt;&gt;"",VLOOKUP($B63,Invulblad!$A$11:$S$103,9,0),"")</f>
        <v>2</v>
      </c>
      <c r="P63" s="212">
        <f t="shared" si="12"/>
        <v>0</v>
      </c>
    </row>
    <row r="64" spans="1:16">
      <c r="A64" s="188">
        <v>51</v>
      </c>
      <c r="B64" s="195">
        <v>29</v>
      </c>
      <c r="C64" s="332">
        <v>41811</v>
      </c>
      <c r="D64" s="333">
        <v>0.875</v>
      </c>
      <c r="E64" s="189" t="s">
        <v>113</v>
      </c>
      <c r="F64" s="189" t="s">
        <v>29</v>
      </c>
      <c r="G64" s="189" t="s">
        <v>114</v>
      </c>
      <c r="H64" s="366">
        <v>3</v>
      </c>
      <c r="I64" s="366" t="s">
        <v>29</v>
      </c>
      <c r="J64" s="366">
        <v>0</v>
      </c>
      <c r="K64" s="212" t="str">
        <f t="shared" si="5"/>
        <v>1</v>
      </c>
      <c r="L64" s="210">
        <f>VLOOKUP($B64,Invulblad!$A$11:$S$103,13,0)</f>
        <v>3</v>
      </c>
      <c r="M64" s="211">
        <f>IF(L64&lt;&gt;"",VLOOKUP($B64,Invulblad!$A$11:$S$103,7,0),"")</f>
        <v>2</v>
      </c>
      <c r="N64" s="209" t="s">
        <v>29</v>
      </c>
      <c r="O64" s="211">
        <f>IF(L64&lt;&gt;"",VLOOKUP($B64,Invulblad!$A$11:$S$103,9,0),"")</f>
        <v>2</v>
      </c>
      <c r="P64" s="212">
        <f t="shared" si="12"/>
        <v>0</v>
      </c>
    </row>
    <row r="65" spans="1:16">
      <c r="A65" s="188">
        <v>52</v>
      </c>
      <c r="B65" s="195">
        <v>30</v>
      </c>
      <c r="C65" s="332">
        <v>41813</v>
      </c>
      <c r="D65" s="333">
        <v>0</v>
      </c>
      <c r="E65" s="189" t="s">
        <v>578</v>
      </c>
      <c r="F65" s="189" t="s">
        <v>29</v>
      </c>
      <c r="G65" s="189" t="s">
        <v>124</v>
      </c>
      <c r="H65" s="366">
        <v>3</v>
      </c>
      <c r="I65" s="366" t="s">
        <v>29</v>
      </c>
      <c r="J65" s="366">
        <v>1</v>
      </c>
      <c r="K65" s="212" t="str">
        <f t="shared" si="5"/>
        <v>1</v>
      </c>
      <c r="L65" s="210">
        <f>VLOOKUP($B65,Invulblad!$A$11:$S$103,13,0)</f>
        <v>3</v>
      </c>
      <c r="M65" s="211">
        <f>IF(L65&lt;&gt;"",VLOOKUP($B65,Invulblad!$A$11:$S$103,7,0),"")</f>
        <v>2</v>
      </c>
      <c r="N65" s="209" t="s">
        <v>29</v>
      </c>
      <c r="O65" s="211">
        <f>IF(L65&lt;&gt;"",VLOOKUP($B65,Invulblad!$A$11:$S$103,9,0),"")</f>
        <v>2</v>
      </c>
      <c r="P65" s="212">
        <f t="shared" si="12"/>
        <v>0</v>
      </c>
    </row>
    <row r="66" spans="1:16">
      <c r="A66" s="188">
        <v>53</v>
      </c>
      <c r="B66" s="195">
        <v>45</v>
      </c>
      <c r="C66" s="332">
        <v>41816</v>
      </c>
      <c r="D66" s="333">
        <v>0.75</v>
      </c>
      <c r="E66" s="189" t="s">
        <v>578</v>
      </c>
      <c r="F66" s="189" t="s">
        <v>29</v>
      </c>
      <c r="G66" s="189" t="s">
        <v>116</v>
      </c>
      <c r="H66" s="366">
        <v>1</v>
      </c>
      <c r="I66" s="366" t="s">
        <v>29</v>
      </c>
      <c r="J66" s="366">
        <v>2</v>
      </c>
      <c r="K66" s="212">
        <f t="shared" si="5"/>
        <v>2</v>
      </c>
      <c r="L66" s="210">
        <f>VLOOKUP($B66,Invulblad!$A$11:$S$103,13,0)</f>
        <v>2</v>
      </c>
      <c r="M66" s="211">
        <f>IF(L66&lt;&gt;"",VLOOKUP($B66,Invulblad!$A$11:$S$103,7,0),"")</f>
        <v>0</v>
      </c>
      <c r="N66" s="209" t="s">
        <v>29</v>
      </c>
      <c r="O66" s="211">
        <f>IF(L66&lt;&gt;"",VLOOKUP($B66,Invulblad!$A$11:$S$103,9,0),"")</f>
        <v>1</v>
      </c>
      <c r="P66" s="212">
        <f t="shared" si="12"/>
        <v>5</v>
      </c>
    </row>
    <row r="67" spans="1:16">
      <c r="A67" s="188">
        <v>54</v>
      </c>
      <c r="B67" s="195">
        <v>46</v>
      </c>
      <c r="C67" s="332">
        <v>41816</v>
      </c>
      <c r="D67" s="333">
        <v>0.75</v>
      </c>
      <c r="E67" s="189" t="s">
        <v>126</v>
      </c>
      <c r="F67" s="189" t="s">
        <v>29</v>
      </c>
      <c r="G67" s="189" t="s">
        <v>114</v>
      </c>
      <c r="H67" s="366">
        <v>2</v>
      </c>
      <c r="I67" s="366" t="s">
        <v>29</v>
      </c>
      <c r="J67" s="366">
        <v>1</v>
      </c>
      <c r="K67" s="212" t="str">
        <f t="shared" si="5"/>
        <v>1</v>
      </c>
      <c r="L67" s="210" t="str">
        <f>VLOOKUP($B67,Invulblad!$A$11:$S$103,13,0)</f>
        <v>1</v>
      </c>
      <c r="M67" s="211">
        <f>IF(L67&lt;&gt;"",VLOOKUP($B67,Invulblad!$A$11:$S$103,7,0),"")</f>
        <v>2</v>
      </c>
      <c r="N67" s="209" t="s">
        <v>29</v>
      </c>
      <c r="O67" s="211">
        <f>IF(L67&lt;&gt;"",VLOOKUP($B67,Invulblad!$A$11:$S$103,9,0),"")</f>
        <v>1</v>
      </c>
      <c r="P67" s="212">
        <f t="shared" si="12"/>
        <v>10</v>
      </c>
    </row>
    <row r="68" spans="1:16">
      <c r="A68" s="188">
        <v>55</v>
      </c>
      <c r="B68" s="201" t="s">
        <v>37</v>
      </c>
      <c r="H68" s="201"/>
      <c r="I68" s="201"/>
      <c r="J68" s="201"/>
      <c r="K68" s="213" t="str">
        <f t="shared" si="5"/>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0</v>
      </c>
      <c r="I70" s="366" t="s">
        <v>29</v>
      </c>
      <c r="J70" s="366">
        <v>0</v>
      </c>
      <c r="K70" s="212">
        <f t="shared" si="5"/>
        <v>3</v>
      </c>
      <c r="L70" s="210" t="str">
        <f>VLOOKUP($B70,Invulblad!$A$11:$S$103,13,0)</f>
        <v>1</v>
      </c>
      <c r="M70" s="211">
        <f>IF(L70&lt;&gt;"",VLOOKUP($B70,Invulblad!$A$11:$S$103,7,0),"")</f>
        <v>2</v>
      </c>
      <c r="N70" s="209" t="s">
        <v>29</v>
      </c>
      <c r="O70" s="211">
        <f>IF(L70&lt;&gt;"",VLOOKUP($B70,Invulblad!$A$11:$S$103,9,0),"")</f>
        <v>1</v>
      </c>
      <c r="P70" s="212">
        <f t="shared" ref="P70:P75" si="13">IF(L70&lt;&gt;"",IF(AND(M70=H70,O70=J70),10,IF(K70=L70,5,0)),"")</f>
        <v>0</v>
      </c>
    </row>
    <row r="71" spans="1:16">
      <c r="A71" s="188">
        <v>58</v>
      </c>
      <c r="B71" s="195">
        <v>16</v>
      </c>
      <c r="C71" s="332">
        <v>41808</v>
      </c>
      <c r="D71" s="333">
        <v>0</v>
      </c>
      <c r="E71" s="189" t="s">
        <v>445</v>
      </c>
      <c r="F71" s="189" t="s">
        <v>29</v>
      </c>
      <c r="G71" s="189" t="s">
        <v>107</v>
      </c>
      <c r="H71" s="366">
        <v>0</v>
      </c>
      <c r="I71" s="366" t="s">
        <v>29</v>
      </c>
      <c r="J71" s="366">
        <v>1</v>
      </c>
      <c r="K71" s="212">
        <f t="shared" si="5"/>
        <v>2</v>
      </c>
      <c r="L71" s="210">
        <f>VLOOKUP($B71,Invulblad!$A$11:$S$103,13,0)</f>
        <v>3</v>
      </c>
      <c r="M71" s="211">
        <f>IF(L71&lt;&gt;"",VLOOKUP($B71,Invulblad!$A$11:$S$103,7,0),"")</f>
        <v>1</v>
      </c>
      <c r="N71" s="209" t="s">
        <v>29</v>
      </c>
      <c r="O71" s="211">
        <f>IF(L71&lt;&gt;"",VLOOKUP($B71,Invulblad!$A$11:$S$103,9,0),"")</f>
        <v>1</v>
      </c>
      <c r="P71" s="212">
        <f t="shared" si="13"/>
        <v>0</v>
      </c>
    </row>
    <row r="72" spans="1:16">
      <c r="A72" s="188">
        <v>59</v>
      </c>
      <c r="B72" s="195">
        <v>31</v>
      </c>
      <c r="C72" s="332">
        <v>41812</v>
      </c>
      <c r="D72" s="333">
        <v>0.75</v>
      </c>
      <c r="E72" s="189" t="s">
        <v>569</v>
      </c>
      <c r="F72" s="189" t="s">
        <v>29</v>
      </c>
      <c r="G72" s="189" t="s">
        <v>446</v>
      </c>
      <c r="H72" s="366">
        <v>2</v>
      </c>
      <c r="I72" s="366" t="s">
        <v>29</v>
      </c>
      <c r="J72" s="366">
        <v>0</v>
      </c>
      <c r="K72" s="212" t="str">
        <f t="shared" si="5"/>
        <v>1</v>
      </c>
      <c r="L72" s="210" t="str">
        <f>VLOOKUP($B72,Invulblad!$A$11:$S$103,13,0)</f>
        <v>1</v>
      </c>
      <c r="M72" s="211">
        <f>IF(L72&lt;&gt;"",VLOOKUP($B72,Invulblad!$A$11:$S$103,7,0),"")</f>
        <v>1</v>
      </c>
      <c r="N72" s="209" t="s">
        <v>29</v>
      </c>
      <c r="O72" s="211">
        <f>IF(L72&lt;&gt;"",VLOOKUP($B72,Invulblad!$A$11:$S$103,9,0),"")</f>
        <v>0</v>
      </c>
      <c r="P72" s="212">
        <f t="shared" si="13"/>
        <v>5</v>
      </c>
    </row>
    <row r="73" spans="1:16">
      <c r="A73" s="188">
        <v>60</v>
      </c>
      <c r="B73" s="195">
        <v>32</v>
      </c>
      <c r="C73" s="332">
        <v>41812</v>
      </c>
      <c r="D73" s="333">
        <v>0.875</v>
      </c>
      <c r="E73" s="189" t="s">
        <v>232</v>
      </c>
      <c r="F73" s="189" t="s">
        <v>29</v>
      </c>
      <c r="G73" s="189" t="s">
        <v>111</v>
      </c>
      <c r="H73" s="366">
        <v>1</v>
      </c>
      <c r="I73" s="366" t="s">
        <v>29</v>
      </c>
      <c r="J73" s="366">
        <v>0</v>
      </c>
      <c r="K73" s="212" t="str">
        <f t="shared" si="5"/>
        <v>1</v>
      </c>
      <c r="L73" s="210">
        <f>VLOOKUP($B73,Invulblad!$A$11:$S$103,13,0)</f>
        <v>2</v>
      </c>
      <c r="M73" s="211">
        <f>IF(L73&lt;&gt;"",VLOOKUP($B73,Invulblad!$A$11:$S$103,7,0),"")</f>
        <v>2</v>
      </c>
      <c r="N73" s="209" t="s">
        <v>29</v>
      </c>
      <c r="O73" s="211">
        <f>IF(L73&lt;&gt;"",VLOOKUP($B73,Invulblad!$A$11:$S$103,9,0),"")</f>
        <v>4</v>
      </c>
      <c r="P73" s="212">
        <f t="shared" si="13"/>
        <v>0</v>
      </c>
    </row>
    <row r="74" spans="1:16">
      <c r="A74" s="188">
        <v>61</v>
      </c>
      <c r="B74" s="195">
        <v>47</v>
      </c>
      <c r="C74" s="332">
        <v>41816</v>
      </c>
      <c r="D74" s="333">
        <v>0.91666666666666663</v>
      </c>
      <c r="E74" s="189" t="s">
        <v>232</v>
      </c>
      <c r="F74" s="189" t="s">
        <v>29</v>
      </c>
      <c r="G74" s="189" t="s">
        <v>570</v>
      </c>
      <c r="H74" s="366">
        <v>0</v>
      </c>
      <c r="I74" s="366" t="s">
        <v>29</v>
      </c>
      <c r="J74" s="366">
        <v>1</v>
      </c>
      <c r="K74" s="212">
        <f t="shared" si="5"/>
        <v>2</v>
      </c>
      <c r="L74" s="210">
        <f>VLOOKUP($B74,Invulblad!$A$11:$S$103,13,0)</f>
        <v>2</v>
      </c>
      <c r="M74" s="211">
        <f>IF(L74&lt;&gt;"",VLOOKUP($B74,Invulblad!$A$11:$S$103,7,0),"")</f>
        <v>0</v>
      </c>
      <c r="N74" s="209" t="s">
        <v>29</v>
      </c>
      <c r="O74" s="211">
        <f>IF(L74&lt;&gt;"",VLOOKUP($B74,Invulblad!$A$11:$S$103,9,0),"")</f>
        <v>1</v>
      </c>
      <c r="P74" s="212">
        <f t="shared" si="13"/>
        <v>10</v>
      </c>
    </row>
    <row r="75" spans="1:16">
      <c r="A75" s="188">
        <v>62</v>
      </c>
      <c r="B75" s="195">
        <v>48</v>
      </c>
      <c r="C75" s="332">
        <v>41816</v>
      </c>
      <c r="D75" s="333">
        <v>0.91666666666666663</v>
      </c>
      <c r="E75" s="189" t="s">
        <v>236</v>
      </c>
      <c r="F75" s="189" t="s">
        <v>29</v>
      </c>
      <c r="G75" s="189" t="s">
        <v>446</v>
      </c>
      <c r="H75" s="366">
        <v>0</v>
      </c>
      <c r="I75" s="366" t="s">
        <v>29</v>
      </c>
      <c r="J75" s="366">
        <v>1</v>
      </c>
      <c r="K75" s="212">
        <f t="shared" si="5"/>
        <v>2</v>
      </c>
      <c r="L75" s="210">
        <f>VLOOKUP($B75,Invulblad!$A$11:$S$103,13,0)</f>
        <v>3</v>
      </c>
      <c r="M75" s="211">
        <f>IF(L75&lt;&gt;"",VLOOKUP($B75,Invulblad!$A$11:$S$103,7,0),"")</f>
        <v>1</v>
      </c>
      <c r="N75" s="209" t="s">
        <v>29</v>
      </c>
      <c r="O75" s="211">
        <f>IF(L75&lt;&gt;"",VLOOKUP($B75,Invulblad!$A$11:$S$103,9,0),"")</f>
        <v>1</v>
      </c>
      <c r="P75" s="212">
        <f t="shared" si="13"/>
        <v>0</v>
      </c>
    </row>
    <row r="76" spans="1:16">
      <c r="A76" s="188">
        <v>63</v>
      </c>
      <c r="B76" s="201" t="s">
        <v>86</v>
      </c>
      <c r="H76" s="201"/>
      <c r="I76" s="201"/>
      <c r="J76" s="201"/>
      <c r="K76" s="213" t="str">
        <f t="shared" si="5"/>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389</v>
      </c>
      <c r="F78" s="189" t="s">
        <v>29</v>
      </c>
      <c r="G78" s="189" t="s">
        <v>138</v>
      </c>
      <c r="H78" s="366">
        <v>1</v>
      </c>
      <c r="I78" s="366" t="s">
        <v>29</v>
      </c>
      <c r="J78" s="366">
        <v>3</v>
      </c>
      <c r="K78" s="212">
        <f t="shared" ref="K78:K101" si="14">IF(AND(H78="",J78=""),"",IF(OR(H78="",J78=""),"FOUT",IF(H78&gt;J78,"1",IF(H78=J78,3,2))))</f>
        <v>2</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200</v>
      </c>
      <c r="F79" s="189" t="s">
        <v>29</v>
      </c>
      <c r="G79" s="189" t="s">
        <v>109</v>
      </c>
      <c r="H79" s="366">
        <v>1</v>
      </c>
      <c r="I79" s="366" t="s">
        <v>29</v>
      </c>
      <c r="J79" s="366">
        <v>1</v>
      </c>
      <c r="K79" s="212">
        <f t="shared" si="14"/>
        <v>3</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135</v>
      </c>
      <c r="F80" s="189" t="s">
        <v>29</v>
      </c>
      <c r="G80" s="189" t="s">
        <v>199</v>
      </c>
      <c r="H80" s="366">
        <v>0</v>
      </c>
      <c r="I80" s="366" t="s">
        <v>29</v>
      </c>
      <c r="J80" s="366">
        <v>2</v>
      </c>
      <c r="K80" s="212">
        <f t="shared" si="14"/>
        <v>2</v>
      </c>
      <c r="L80" s="210" t="str">
        <f>VLOOKUP($B80,Invulblad!$A$11:$S$103,13,0)</f>
        <v>1</v>
      </c>
      <c r="M80" s="211">
        <f>IF(L80&lt;&gt;"",VLOOKUP($B80,Invulblad!$A$11:$S$103,7,0),"")</f>
        <v>2</v>
      </c>
      <c r="N80" s="209" t="s">
        <v>29</v>
      </c>
      <c r="O80" s="211">
        <f>IF(L80&lt;&gt;"",VLOOKUP($B80,Invulblad!$A$11:$S$103,9,0),"")</f>
        <v>1</v>
      </c>
      <c r="P80" s="212">
        <f t="shared" si="15"/>
        <v>0</v>
      </c>
    </row>
    <row r="81" spans="1:16">
      <c r="A81" s="188">
        <v>68</v>
      </c>
      <c r="B81" s="195">
        <v>52</v>
      </c>
      <c r="C81" s="332">
        <v>41819</v>
      </c>
      <c r="D81" s="333">
        <v>0.91666666666666663</v>
      </c>
      <c r="E81" s="189" t="s">
        <v>193</v>
      </c>
      <c r="F81" s="189" t="s">
        <v>29</v>
      </c>
      <c r="G81" s="189" t="s">
        <v>390</v>
      </c>
      <c r="H81" s="366">
        <v>1</v>
      </c>
      <c r="I81" s="366" t="s">
        <v>29</v>
      </c>
      <c r="J81" s="366">
        <v>3</v>
      </c>
      <c r="K81" s="212">
        <f t="shared" si="14"/>
        <v>2</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209</v>
      </c>
      <c r="F82" s="189" t="s">
        <v>29</v>
      </c>
      <c r="G82" s="189" t="s">
        <v>572</v>
      </c>
      <c r="H82" s="366">
        <v>2</v>
      </c>
      <c r="I82" s="366" t="s">
        <v>29</v>
      </c>
      <c r="J82" s="366">
        <v>0</v>
      </c>
      <c r="K82" s="212" t="str">
        <f t="shared" si="14"/>
        <v>1</v>
      </c>
      <c r="L82" s="210" t="str">
        <f>VLOOKUP($B82,Invulblad!$A$11:$S$103,13,0)</f>
        <v>1</v>
      </c>
      <c r="M82" s="211">
        <f>IF(L82&lt;&gt;"",VLOOKUP($B82,Invulblad!$A$11:$S$103,7,0),"")</f>
        <v>2</v>
      </c>
      <c r="N82" s="209" t="s">
        <v>29</v>
      </c>
      <c r="O82" s="211">
        <f>IF(L82&lt;&gt;"",VLOOKUP($B82,Invulblad!$A$11:$S$103,9,0),"")</f>
        <v>0</v>
      </c>
      <c r="P82" s="212">
        <f t="shared" si="15"/>
        <v>10</v>
      </c>
    </row>
    <row r="83" spans="1:16">
      <c r="A83" s="188">
        <v>70</v>
      </c>
      <c r="B83" s="195">
        <v>54</v>
      </c>
      <c r="C83" s="332">
        <v>41820</v>
      </c>
      <c r="D83" s="333">
        <v>0.91666666666666663</v>
      </c>
      <c r="E83" s="189" t="s">
        <v>177</v>
      </c>
      <c r="F83" s="189" t="s">
        <v>29</v>
      </c>
      <c r="G83" s="189" t="s">
        <v>104</v>
      </c>
      <c r="H83" s="366">
        <v>3</v>
      </c>
      <c r="I83" s="366" t="s">
        <v>29</v>
      </c>
      <c r="J83" s="366">
        <v>0</v>
      </c>
      <c r="K83" s="212" t="str">
        <f t="shared" si="14"/>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143</v>
      </c>
      <c r="H84" s="366">
        <v>3</v>
      </c>
      <c r="I84" s="366" t="s">
        <v>29</v>
      </c>
      <c r="J84" s="366">
        <v>1</v>
      </c>
      <c r="K84" s="212" t="str">
        <f t="shared" si="14"/>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395</v>
      </c>
      <c r="F85" s="189" t="s">
        <v>29</v>
      </c>
      <c r="G85" s="189" t="s">
        <v>202</v>
      </c>
      <c r="H85" s="366">
        <v>2</v>
      </c>
      <c r="I85" s="366" t="s">
        <v>29</v>
      </c>
      <c r="J85" s="366">
        <v>2</v>
      </c>
      <c r="K85" s="212">
        <f t="shared" si="14"/>
        <v>3</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201"/>
      <c r="I86" s="201"/>
      <c r="J86" s="201"/>
      <c r="K86" s="213" t="str">
        <f t="shared" si="14"/>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138</v>
      </c>
      <c r="F88" s="189" t="s">
        <v>29</v>
      </c>
      <c r="G88" s="189" t="s">
        <v>109</v>
      </c>
      <c r="H88" s="366">
        <v>4</v>
      </c>
      <c r="I88" s="366" t="s">
        <v>29</v>
      </c>
      <c r="J88" s="366">
        <v>1</v>
      </c>
      <c r="K88" s="212" t="str">
        <f t="shared" si="14"/>
        <v>1</v>
      </c>
      <c r="L88" s="210" t="str">
        <f>VLOOKUP($B88,Invulblad!$A$11:$S$103,13,0)</f>
        <v>1</v>
      </c>
      <c r="M88" s="211">
        <f>IF(L88&lt;&gt;"",VLOOKUP($B88,Invulblad!$A$11:$S$103,7,0),"")</f>
        <v>2</v>
      </c>
      <c r="N88" s="209" t="s">
        <v>29</v>
      </c>
      <c r="O88" s="211">
        <f>IF(L88&lt;&gt;"",VLOOKUP($B88,Invulblad!$A$11:$S$103,9,0),"")</f>
        <v>1</v>
      </c>
      <c r="P88" s="212">
        <f>IF(L88&lt;&gt;"",IF(AND(M88=H88,O88=J88),10,IF(K88=L88,5,0)),"")</f>
        <v>5</v>
      </c>
    </row>
    <row r="89" spans="1:16">
      <c r="A89" s="188">
        <v>76</v>
      </c>
      <c r="B89" s="195">
        <v>58</v>
      </c>
      <c r="C89" s="332">
        <v>41824</v>
      </c>
      <c r="D89" s="333">
        <v>0.75</v>
      </c>
      <c r="E89" s="189" t="s">
        <v>209</v>
      </c>
      <c r="F89" s="189" t="s">
        <v>29</v>
      </c>
      <c r="G89" s="189" t="s">
        <v>177</v>
      </c>
      <c r="H89" s="366">
        <v>2</v>
      </c>
      <c r="I89" s="366" t="s">
        <v>29</v>
      </c>
      <c r="J89" s="366">
        <v>4</v>
      </c>
      <c r="K89" s="212">
        <f t="shared" si="14"/>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199</v>
      </c>
      <c r="F90" s="189" t="s">
        <v>29</v>
      </c>
      <c r="G90" s="189" t="s">
        <v>390</v>
      </c>
      <c r="H90" s="366">
        <v>2</v>
      </c>
      <c r="I90" s="366" t="s">
        <v>29</v>
      </c>
      <c r="J90" s="366">
        <v>2</v>
      </c>
      <c r="K90" s="212">
        <f t="shared" si="14"/>
        <v>3</v>
      </c>
      <c r="L90" s="210">
        <f>VLOOKUP($B90,Invulblad!$A$11:$S$103,13,0)</f>
        <v>3</v>
      </c>
      <c r="M90" s="211">
        <f>IF(L90&lt;&gt;"",VLOOKUP($B90,Invulblad!$A$11:$S$103,7,0),"")</f>
        <v>0</v>
      </c>
      <c r="N90" s="209" t="s">
        <v>29</v>
      </c>
      <c r="O90" s="211">
        <f>IF(L90&lt;&gt;"",VLOOKUP($B90,Invulblad!$A$11:$S$103,9,0),"")</f>
        <v>0</v>
      </c>
      <c r="P90" s="212">
        <f>IF(L90&lt;&gt;"",IF(AND(M90=H90,O90=J90),10,IF(K90=L90,5,0)),"")</f>
        <v>5</v>
      </c>
    </row>
    <row r="91" spans="1:16">
      <c r="A91" s="188">
        <v>78</v>
      </c>
      <c r="B91" s="195">
        <v>60</v>
      </c>
      <c r="C91" s="332">
        <v>41825</v>
      </c>
      <c r="D91" s="333">
        <v>0.75</v>
      </c>
      <c r="E91" s="189" t="s">
        <v>102</v>
      </c>
      <c r="F91" s="189" t="s">
        <v>29</v>
      </c>
      <c r="G91" s="189" t="s">
        <v>395</v>
      </c>
      <c r="H91" s="366">
        <v>2</v>
      </c>
      <c r="I91" s="366" t="s">
        <v>29</v>
      </c>
      <c r="J91" s="366">
        <v>0</v>
      </c>
      <c r="K91" s="212" t="str">
        <f t="shared" si="14"/>
        <v>1</v>
      </c>
      <c r="L91" s="210"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H92" s="201"/>
      <c r="I92" s="201"/>
      <c r="J92" s="201"/>
      <c r="K92" s="213" t="str">
        <f t="shared" si="14"/>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138</v>
      </c>
      <c r="F94" s="189" t="s">
        <v>29</v>
      </c>
      <c r="G94" s="189" t="s">
        <v>177</v>
      </c>
      <c r="H94" s="366">
        <v>1</v>
      </c>
      <c r="I94" s="366" t="s">
        <v>29</v>
      </c>
      <c r="J94" s="366">
        <v>3</v>
      </c>
      <c r="K94" s="212">
        <f t="shared" si="14"/>
        <v>2</v>
      </c>
      <c r="L94" s="210">
        <f>VLOOKUP($B94,Invulblad!$A$11:$S$103,13,0)</f>
        <v>2</v>
      </c>
      <c r="M94" s="211">
        <f>IF(L94&lt;&gt;"",VLOOKUP($B94,Invulblad!$A$11:$S$103,7,0),"")</f>
        <v>1</v>
      </c>
      <c r="N94" s="209" t="s">
        <v>29</v>
      </c>
      <c r="O94" s="211">
        <f>IF(L94&lt;&gt;"",VLOOKUP($B94,Invulblad!$A$11:$S$103,9,0),"")</f>
        <v>7</v>
      </c>
      <c r="P94" s="212">
        <f>IF(L94&lt;&gt;"",IF(AND(M94=H94,O94=J94),10,IF(K94=L94,5,0)),"")</f>
        <v>5</v>
      </c>
    </row>
    <row r="95" spans="1:16">
      <c r="A95" s="188">
        <v>82</v>
      </c>
      <c r="B95" s="195">
        <v>62</v>
      </c>
      <c r="C95" s="332">
        <v>41829</v>
      </c>
      <c r="D95" s="333">
        <v>0.91666666666666663</v>
      </c>
      <c r="E95" s="189" t="s">
        <v>199</v>
      </c>
      <c r="F95" s="189" t="s">
        <v>29</v>
      </c>
      <c r="G95" s="189" t="s">
        <v>102</v>
      </c>
      <c r="H95" s="366">
        <v>1</v>
      </c>
      <c r="I95" s="366" t="s">
        <v>29</v>
      </c>
      <c r="J95" s="366">
        <v>1</v>
      </c>
      <c r="K95" s="212">
        <f t="shared" si="14"/>
        <v>3</v>
      </c>
      <c r="L95" s="210">
        <f>VLOOKUP($B95,Invulblad!$A$11:$S$103,13,0)</f>
        <v>3</v>
      </c>
      <c r="M95" s="211">
        <f>IF(L95&lt;&gt;"",VLOOKUP($B95,Invulblad!$A$11:$S$103,7,0),"")</f>
        <v>0</v>
      </c>
      <c r="N95" s="209" t="s">
        <v>29</v>
      </c>
      <c r="O95" s="211">
        <f>IF(L95&lt;&gt;"",VLOOKUP($B95,Invulblad!$A$11:$S$103,9,0),"")</f>
        <v>0</v>
      </c>
      <c r="P95" s="212">
        <f>IF(L95&lt;&gt;"",IF(AND(M95=H95,O95=J95),10,IF(K95=L95,5,0)),"")</f>
        <v>5</v>
      </c>
    </row>
    <row r="96" spans="1:16">
      <c r="A96" s="188">
        <v>83</v>
      </c>
      <c r="B96" s="201" t="s">
        <v>571</v>
      </c>
      <c r="H96" s="201"/>
      <c r="I96" s="201"/>
      <c r="J96" s="201"/>
      <c r="K96" s="213" t="str">
        <f t="shared" si="14"/>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138</v>
      </c>
      <c r="F98" s="189" t="s">
        <v>29</v>
      </c>
      <c r="G98" s="189" t="s">
        <v>102</v>
      </c>
      <c r="H98" s="366">
        <v>2</v>
      </c>
      <c r="I98" s="366" t="s">
        <v>29</v>
      </c>
      <c r="J98" s="366">
        <v>2</v>
      </c>
      <c r="K98" s="212">
        <f t="shared" si="14"/>
        <v>3</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201"/>
      <c r="I99" s="201"/>
      <c r="J99" s="201"/>
      <c r="K99" s="213" t="str">
        <f t="shared" si="14"/>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177</v>
      </c>
      <c r="F101" s="189" t="s">
        <v>29</v>
      </c>
      <c r="G101" s="189" t="s">
        <v>199</v>
      </c>
      <c r="H101" s="366">
        <v>3</v>
      </c>
      <c r="I101" s="366" t="s">
        <v>29</v>
      </c>
      <c r="J101" s="366">
        <v>2</v>
      </c>
      <c r="K101" s="212" t="str">
        <f t="shared" si="14"/>
        <v>1</v>
      </c>
      <c r="L101" s="210" t="str">
        <f>VLOOKUP($B101,Invulblad!$A$11:$S$103,13,0)</f>
        <v>1</v>
      </c>
      <c r="M101" s="211">
        <f>IF(L101&lt;&gt;"",VLOOKUP($B101,Invulblad!$A$11:$S$103,7,0),"")</f>
        <v>1</v>
      </c>
      <c r="N101" s="209" t="s">
        <v>29</v>
      </c>
      <c r="O101" s="211">
        <f>IF(L101&lt;&gt;"",VLOOKUP($B101,Invulblad!$A$11:$S$103,9,0),"")</f>
        <v>0</v>
      </c>
      <c r="P101" s="212">
        <f>IF(L101&lt;&gt;"",IF(AND(M101=H101,O101=J101),10,IF(K101=L101,5,0)),"")</f>
        <v>5</v>
      </c>
    </row>
    <row r="102" spans="1:16">
      <c r="B102" s="208" t="s">
        <v>517</v>
      </c>
      <c r="C102" s="208"/>
      <c r="D102" s="208"/>
      <c r="E102" s="208"/>
      <c r="F102" s="208"/>
      <c r="G102" s="208"/>
      <c r="H102" s="208"/>
      <c r="I102" s="208"/>
      <c r="J102" s="208"/>
      <c r="K102" s="208"/>
      <c r="L102" s="214"/>
      <c r="M102" s="211"/>
      <c r="N102" s="209"/>
      <c r="O102" s="211"/>
    </row>
    <row r="103" spans="1:16">
      <c r="H103" s="363"/>
      <c r="I103" s="363"/>
      <c r="J103" s="363"/>
      <c r="M103" s="211"/>
      <c r="N103" s="209"/>
      <c r="O103" s="211"/>
    </row>
    <row r="104" spans="1:16">
      <c r="H104" s="363"/>
      <c r="I104" s="363"/>
      <c r="J104" s="363"/>
      <c r="M104" s="211"/>
      <c r="N104" s="209"/>
      <c r="O104" s="211"/>
    </row>
    <row r="105" spans="1:16">
      <c r="H105" s="363"/>
      <c r="I105" s="363"/>
      <c r="J105" s="363"/>
      <c r="M105" s="211"/>
      <c r="N105" s="209"/>
      <c r="O105" s="211"/>
    </row>
    <row r="106" spans="1:16">
      <c r="B106" s="201" t="s">
        <v>139</v>
      </c>
      <c r="H106" s="363"/>
      <c r="I106" s="363"/>
      <c r="J106" s="363"/>
      <c r="M106" s="211"/>
      <c r="N106" s="209"/>
      <c r="O106" s="211"/>
    </row>
    <row r="107" spans="1:16">
      <c r="B107" s="201"/>
      <c r="H107" s="363"/>
      <c r="I107" s="363"/>
      <c r="J107" s="363"/>
    </row>
    <row r="108" spans="1:16">
      <c r="A108" s="188" t="s">
        <v>65</v>
      </c>
      <c r="B108" s="189" t="s">
        <v>140</v>
      </c>
      <c r="C108" s="189" t="s">
        <v>141</v>
      </c>
      <c r="D108" s="201" t="s">
        <v>389</v>
      </c>
      <c r="H108" s="363"/>
      <c r="I108" s="363"/>
      <c r="J108" s="363"/>
      <c r="M108" s="211"/>
      <c r="N108" s="209"/>
      <c r="O108" s="211"/>
    </row>
    <row r="109" spans="1:16">
      <c r="A109" s="188" t="s">
        <v>66</v>
      </c>
      <c r="B109" s="189" t="s">
        <v>142</v>
      </c>
      <c r="C109" s="189" t="s">
        <v>141</v>
      </c>
      <c r="D109" s="201" t="s">
        <v>199</v>
      </c>
      <c r="H109" s="363"/>
      <c r="I109" s="363"/>
      <c r="J109" s="363"/>
    </row>
    <row r="110" spans="1:16">
      <c r="H110" s="363"/>
      <c r="I110" s="363"/>
      <c r="J110" s="363"/>
    </row>
    <row r="111" spans="1:16">
      <c r="H111" s="363"/>
      <c r="I111" s="363"/>
      <c r="J111" s="363"/>
    </row>
    <row r="112" spans="1:16">
      <c r="B112" s="201" t="s">
        <v>144</v>
      </c>
      <c r="H112" s="363"/>
      <c r="I112" s="363"/>
      <c r="J112" s="363"/>
    </row>
    <row r="113" spans="2:15" ht="15.75" thickBot="1">
      <c r="H113" s="363"/>
      <c r="I113" s="363"/>
      <c r="J113" s="363"/>
    </row>
    <row r="114" spans="2:15" ht="15.75" thickBot="1">
      <c r="B114" s="215" t="s">
        <v>145</v>
      </c>
      <c r="C114" s="215" t="s">
        <v>146</v>
      </c>
      <c r="D114" s="215" t="s">
        <v>147</v>
      </c>
      <c r="E114" s="215" t="s">
        <v>148</v>
      </c>
      <c r="H114" s="363"/>
      <c r="I114" s="363"/>
      <c r="J114" s="363"/>
    </row>
    <row r="115" spans="2:15" ht="15.75" thickBot="1">
      <c r="B115" s="216" t="s">
        <v>199</v>
      </c>
      <c r="C115" s="216" t="s">
        <v>155</v>
      </c>
      <c r="D115" s="216" t="s">
        <v>156</v>
      </c>
      <c r="E115" s="216" t="s">
        <v>149</v>
      </c>
      <c r="H115" s="363"/>
      <c r="I115" s="363"/>
      <c r="J115" s="363"/>
    </row>
    <row r="116" spans="2:15" ht="15.75" thickBot="1">
      <c r="B116" s="217" t="s">
        <v>389</v>
      </c>
      <c r="C116" s="217" t="s">
        <v>172</v>
      </c>
      <c r="D116" s="217" t="s">
        <v>155</v>
      </c>
      <c r="E116" s="217" t="s">
        <v>163</v>
      </c>
      <c r="H116" s="363"/>
      <c r="I116" s="363"/>
      <c r="J116" s="363"/>
    </row>
    <row r="117" spans="2:15" ht="15.75" thickBot="1">
      <c r="B117" s="216" t="s">
        <v>152</v>
      </c>
      <c r="C117" s="216" t="s">
        <v>153</v>
      </c>
      <c r="D117" s="216" t="s">
        <v>171</v>
      </c>
      <c r="E117" s="216" t="s">
        <v>153</v>
      </c>
      <c r="H117" s="363"/>
      <c r="I117" s="363"/>
      <c r="J117" s="363"/>
    </row>
    <row r="118" spans="2:15" ht="15.75" thickBot="1">
      <c r="B118" s="217" t="s">
        <v>185</v>
      </c>
      <c r="C118" s="217" t="s">
        <v>156</v>
      </c>
      <c r="D118" s="217" t="s">
        <v>171</v>
      </c>
      <c r="E118" s="217" t="s">
        <v>151</v>
      </c>
      <c r="H118" s="363"/>
      <c r="I118" s="363"/>
      <c r="J118" s="363"/>
    </row>
    <row r="119" spans="2:15">
      <c r="H119" s="363"/>
      <c r="I119" s="363"/>
      <c r="J119" s="363"/>
    </row>
    <row r="120" spans="2:15">
      <c r="H120" s="363"/>
      <c r="I120" s="363"/>
      <c r="J120" s="363"/>
    </row>
    <row r="121" spans="2:15">
      <c r="B121" s="201" t="s">
        <v>157</v>
      </c>
      <c r="H121" s="363"/>
      <c r="I121" s="363"/>
      <c r="J121" s="363"/>
    </row>
    <row r="122" spans="2:15">
      <c r="B122" s="195"/>
      <c r="H122" s="363"/>
      <c r="I122" s="363"/>
      <c r="J122" s="363"/>
    </row>
    <row r="123" spans="2:15">
      <c r="B123" s="195" t="s">
        <v>158</v>
      </c>
      <c r="H123" s="363"/>
      <c r="I123" s="363"/>
      <c r="J123" s="363"/>
    </row>
    <row r="124" spans="2:15">
      <c r="B124" s="195" t="s">
        <v>251</v>
      </c>
      <c r="H124" s="363"/>
      <c r="I124" s="363"/>
      <c r="J124" s="363"/>
    </row>
    <row r="125" spans="2:15">
      <c r="H125" s="363"/>
      <c r="I125" s="363"/>
      <c r="J125" s="363"/>
    </row>
    <row r="126" spans="2:15">
      <c r="H126" s="363"/>
      <c r="I126" s="363"/>
      <c r="J126" s="363"/>
    </row>
    <row r="127" spans="2:15">
      <c r="B127" s="218"/>
      <c r="C127" s="218"/>
      <c r="D127" s="218"/>
      <c r="E127" s="218"/>
      <c r="F127" s="218"/>
      <c r="G127" s="218"/>
      <c r="H127" s="364"/>
      <c r="I127" s="364"/>
      <c r="J127" s="364"/>
      <c r="K127" s="218"/>
      <c r="L127" s="219"/>
      <c r="M127" s="218"/>
      <c r="N127" s="218"/>
      <c r="O127" s="218"/>
    </row>
    <row r="128" spans="2:15">
      <c r="H128" s="363"/>
      <c r="I128" s="363"/>
      <c r="J128" s="363"/>
    </row>
    <row r="129" spans="1:10">
      <c r="H129" s="363"/>
      <c r="I129" s="363"/>
      <c r="J129" s="363"/>
    </row>
    <row r="130" spans="1:10">
      <c r="B130" s="201" t="s">
        <v>160</v>
      </c>
      <c r="H130" s="363"/>
      <c r="I130" s="363"/>
      <c r="J130" s="363"/>
    </row>
    <row r="131" spans="1:10">
      <c r="H131" s="363"/>
      <c r="I131" s="363"/>
      <c r="J131" s="363"/>
    </row>
    <row r="132" spans="1:10">
      <c r="A132" s="227" t="s">
        <v>67</v>
      </c>
      <c r="B132" s="189" t="s">
        <v>140</v>
      </c>
      <c r="C132" s="189" t="s">
        <v>141</v>
      </c>
      <c r="D132" s="201" t="s">
        <v>135</v>
      </c>
      <c r="H132" s="363"/>
      <c r="I132" s="363"/>
      <c r="J132" s="363"/>
    </row>
    <row r="133" spans="1:10">
      <c r="A133" s="188" t="s">
        <v>68</v>
      </c>
      <c r="B133" s="189" t="s">
        <v>142</v>
      </c>
      <c r="C133" s="189" t="s">
        <v>141</v>
      </c>
      <c r="D133" s="201" t="s">
        <v>138</v>
      </c>
      <c r="H133" s="363"/>
      <c r="I133" s="363"/>
      <c r="J133" s="363"/>
    </row>
    <row r="134" spans="1:10">
      <c r="H134" s="363"/>
      <c r="I134" s="363"/>
      <c r="J134" s="363"/>
    </row>
    <row r="135" spans="1:10">
      <c r="H135" s="363"/>
      <c r="I135" s="363"/>
      <c r="J135" s="363"/>
    </row>
    <row r="136" spans="1:10">
      <c r="B136" s="201" t="s">
        <v>161</v>
      </c>
      <c r="H136" s="363"/>
      <c r="I136" s="363"/>
      <c r="J136" s="363"/>
    </row>
    <row r="137" spans="1:10" ht="15.75" thickBot="1">
      <c r="H137" s="363"/>
      <c r="I137" s="363"/>
      <c r="J137" s="363"/>
    </row>
    <row r="138" spans="1:10" ht="15.75" thickBot="1">
      <c r="B138" s="215" t="s">
        <v>145</v>
      </c>
      <c r="C138" s="215" t="s">
        <v>146</v>
      </c>
      <c r="D138" s="215" t="s">
        <v>147</v>
      </c>
      <c r="E138" s="215" t="s">
        <v>148</v>
      </c>
      <c r="H138" s="363"/>
      <c r="I138" s="363"/>
      <c r="J138" s="363"/>
    </row>
    <row r="139" spans="1:10" ht="15.75" thickBot="1">
      <c r="B139" s="216" t="s">
        <v>138</v>
      </c>
      <c r="C139" s="216" t="s">
        <v>164</v>
      </c>
      <c r="D139" s="216" t="s">
        <v>151</v>
      </c>
      <c r="E139" s="216" t="s">
        <v>172</v>
      </c>
      <c r="H139" s="363"/>
      <c r="I139" s="363"/>
      <c r="J139" s="363"/>
    </row>
    <row r="140" spans="1:10" ht="15.75" thickBot="1">
      <c r="B140" s="217" t="s">
        <v>135</v>
      </c>
      <c r="C140" s="217" t="s">
        <v>172</v>
      </c>
      <c r="D140" s="217" t="s">
        <v>151</v>
      </c>
      <c r="E140" s="217" t="s">
        <v>172</v>
      </c>
      <c r="H140" s="363"/>
      <c r="I140" s="363"/>
      <c r="J140" s="363"/>
    </row>
    <row r="141" spans="1:10" ht="15.75" thickBot="1">
      <c r="B141" s="216" t="s">
        <v>207</v>
      </c>
      <c r="C141" s="216" t="s">
        <v>153</v>
      </c>
      <c r="D141" s="216" t="s">
        <v>171</v>
      </c>
      <c r="E141" s="216" t="s">
        <v>155</v>
      </c>
      <c r="H141" s="363"/>
      <c r="I141" s="363"/>
      <c r="J141" s="363"/>
    </row>
    <row r="142" spans="1:10" ht="15.75" thickBot="1">
      <c r="B142" s="217" t="s">
        <v>179</v>
      </c>
      <c r="C142" s="217" t="s">
        <v>156</v>
      </c>
      <c r="D142" s="217" t="s">
        <v>171</v>
      </c>
      <c r="E142" s="217" t="s">
        <v>153</v>
      </c>
      <c r="H142" s="363"/>
      <c r="I142" s="363"/>
      <c r="J142" s="363"/>
    </row>
    <row r="143" spans="1:10">
      <c r="H143" s="363"/>
      <c r="I143" s="363"/>
      <c r="J143" s="363"/>
    </row>
    <row r="144" spans="1:10">
      <c r="H144" s="363"/>
      <c r="I144" s="363"/>
      <c r="J144" s="363"/>
    </row>
    <row r="145" spans="1:15">
      <c r="B145" s="201" t="s">
        <v>166</v>
      </c>
      <c r="H145" s="363"/>
      <c r="I145" s="363"/>
      <c r="J145" s="363"/>
    </row>
    <row r="146" spans="1:15">
      <c r="B146" s="195"/>
      <c r="H146" s="363"/>
      <c r="I146" s="363"/>
      <c r="J146" s="363"/>
    </row>
    <row r="147" spans="1:15">
      <c r="B147" s="195" t="s">
        <v>167</v>
      </c>
      <c r="H147" s="363"/>
      <c r="I147" s="363"/>
      <c r="J147" s="363"/>
    </row>
    <row r="148" spans="1:15">
      <c r="B148" s="195" t="s">
        <v>168</v>
      </c>
      <c r="H148" s="363"/>
      <c r="I148" s="363"/>
      <c r="J148" s="363"/>
    </row>
    <row r="149" spans="1:15">
      <c r="H149" s="363"/>
      <c r="I149" s="363"/>
      <c r="J149" s="363"/>
    </row>
    <row r="150" spans="1:15">
      <c r="H150" s="363"/>
      <c r="I150" s="363"/>
      <c r="J150" s="363"/>
    </row>
    <row r="151" spans="1:15">
      <c r="B151" s="218"/>
      <c r="C151" s="218"/>
      <c r="D151" s="218"/>
      <c r="E151" s="218"/>
      <c r="F151" s="218"/>
      <c r="G151" s="218"/>
      <c r="H151" s="364"/>
      <c r="I151" s="364"/>
      <c r="J151" s="364"/>
      <c r="K151" s="218"/>
      <c r="L151" s="219"/>
      <c r="M151" s="218"/>
      <c r="N151" s="218"/>
      <c r="O151" s="218"/>
    </row>
    <row r="152" spans="1:15">
      <c r="H152" s="363"/>
      <c r="I152" s="363"/>
      <c r="J152" s="363"/>
    </row>
    <row r="153" spans="1:15">
      <c r="H153" s="363"/>
      <c r="I153" s="363"/>
      <c r="J153" s="363"/>
    </row>
    <row r="154" spans="1:15">
      <c r="B154" s="201" t="s">
        <v>169</v>
      </c>
      <c r="H154" s="363"/>
      <c r="I154" s="363"/>
      <c r="J154" s="363"/>
    </row>
    <row r="155" spans="1:15">
      <c r="H155" s="363"/>
      <c r="I155" s="363"/>
      <c r="J155" s="363"/>
    </row>
    <row r="156" spans="1:15">
      <c r="A156" s="188" t="s">
        <v>69</v>
      </c>
      <c r="B156" s="189" t="s">
        <v>140</v>
      </c>
      <c r="C156" s="189" t="s">
        <v>141</v>
      </c>
      <c r="D156" s="201" t="s">
        <v>200</v>
      </c>
      <c r="H156" s="363"/>
      <c r="I156" s="363"/>
      <c r="J156" s="363"/>
    </row>
    <row r="157" spans="1:15">
      <c r="A157" s="188" t="s">
        <v>70</v>
      </c>
      <c r="B157" s="189" t="s">
        <v>142</v>
      </c>
      <c r="C157" s="189" t="s">
        <v>141</v>
      </c>
      <c r="D157" s="201" t="s">
        <v>390</v>
      </c>
      <c r="H157" s="363"/>
      <c r="I157" s="363"/>
      <c r="J157" s="363"/>
    </row>
    <row r="158" spans="1:15">
      <c r="H158" s="363"/>
      <c r="I158" s="363"/>
      <c r="J158" s="363"/>
    </row>
    <row r="159" spans="1:15">
      <c r="H159" s="363"/>
      <c r="I159" s="363"/>
      <c r="J159" s="363"/>
    </row>
    <row r="160" spans="1:15">
      <c r="B160" s="201" t="s">
        <v>170</v>
      </c>
      <c r="H160" s="363"/>
      <c r="I160" s="363"/>
      <c r="J160" s="363"/>
    </row>
    <row r="161" spans="2:15" ht="15.75" thickBot="1">
      <c r="H161" s="363"/>
      <c r="I161" s="363"/>
      <c r="J161" s="363"/>
    </row>
    <row r="162" spans="2:15" ht="15.75" thickBot="1">
      <c r="B162" s="215" t="s">
        <v>145</v>
      </c>
      <c r="C162" s="215" t="s">
        <v>146</v>
      </c>
      <c r="D162" s="215" t="s">
        <v>147</v>
      </c>
      <c r="E162" s="215" t="s">
        <v>148</v>
      </c>
      <c r="H162" s="363"/>
      <c r="I162" s="363"/>
      <c r="J162" s="363"/>
    </row>
    <row r="163" spans="2:15" ht="15.75" thickBot="1">
      <c r="B163" s="216" t="s">
        <v>390</v>
      </c>
      <c r="C163" s="216" t="s">
        <v>164</v>
      </c>
      <c r="D163" s="216" t="s">
        <v>153</v>
      </c>
      <c r="E163" s="216" t="s">
        <v>164</v>
      </c>
      <c r="H163" s="363"/>
      <c r="I163" s="363"/>
      <c r="J163" s="363"/>
    </row>
    <row r="164" spans="2:15" ht="15.75" thickBot="1">
      <c r="B164" s="217" t="s">
        <v>106</v>
      </c>
      <c r="C164" s="217" t="s">
        <v>151</v>
      </c>
      <c r="D164" s="217" t="s">
        <v>165</v>
      </c>
      <c r="E164" s="217" t="s">
        <v>149</v>
      </c>
      <c r="H164" s="363"/>
      <c r="I164" s="363"/>
      <c r="J164" s="363"/>
    </row>
    <row r="165" spans="2:15" ht="15.75" thickBot="1">
      <c r="B165" s="216" t="s">
        <v>200</v>
      </c>
      <c r="C165" s="216" t="s">
        <v>163</v>
      </c>
      <c r="D165" s="216" t="s">
        <v>149</v>
      </c>
      <c r="E165" s="216" t="s">
        <v>164</v>
      </c>
      <c r="H165" s="363"/>
      <c r="I165" s="363"/>
      <c r="J165" s="363"/>
    </row>
    <row r="166" spans="2:15" ht="15.75" thickBot="1">
      <c r="B166" s="217" t="s">
        <v>187</v>
      </c>
      <c r="C166" s="217" t="s">
        <v>150</v>
      </c>
      <c r="D166" s="217" t="s">
        <v>180</v>
      </c>
      <c r="E166" s="217" t="s">
        <v>150</v>
      </c>
      <c r="H166" s="363"/>
      <c r="I166" s="363"/>
      <c r="J166" s="363"/>
    </row>
    <row r="167" spans="2:15">
      <c r="H167" s="363"/>
      <c r="I167" s="363"/>
      <c r="J167" s="363"/>
    </row>
    <row r="168" spans="2:15">
      <c r="H168" s="363"/>
      <c r="I168" s="363"/>
      <c r="J168" s="363"/>
    </row>
    <row r="169" spans="2:15">
      <c r="B169" s="201" t="s">
        <v>173</v>
      </c>
      <c r="H169" s="363"/>
      <c r="I169" s="363"/>
      <c r="J169" s="363"/>
    </row>
    <row r="170" spans="2:15">
      <c r="B170" s="195"/>
      <c r="H170" s="363"/>
      <c r="I170" s="363"/>
      <c r="J170" s="363"/>
    </row>
    <row r="171" spans="2:15">
      <c r="B171" s="195" t="s">
        <v>174</v>
      </c>
      <c r="H171" s="363"/>
      <c r="I171" s="363"/>
      <c r="J171" s="363"/>
    </row>
    <row r="172" spans="2:15">
      <c r="B172" s="195" t="s">
        <v>175</v>
      </c>
      <c r="H172" s="363"/>
      <c r="I172" s="363"/>
      <c r="J172" s="363"/>
    </row>
    <row r="173" spans="2:15">
      <c r="H173" s="363"/>
      <c r="I173" s="363"/>
      <c r="J173" s="363"/>
    </row>
    <row r="174" spans="2:15">
      <c r="H174" s="363"/>
      <c r="I174" s="363"/>
      <c r="J174" s="363"/>
    </row>
    <row r="175" spans="2:15">
      <c r="B175" s="218"/>
      <c r="C175" s="218"/>
      <c r="D175" s="218"/>
      <c r="E175" s="218"/>
      <c r="F175" s="218"/>
      <c r="G175" s="218"/>
      <c r="H175" s="364"/>
      <c r="I175" s="364"/>
      <c r="J175" s="364"/>
      <c r="K175" s="218"/>
      <c r="L175" s="219"/>
      <c r="M175" s="218"/>
      <c r="N175" s="218"/>
      <c r="O175" s="218"/>
    </row>
    <row r="176" spans="2:15">
      <c r="H176" s="363"/>
      <c r="I176" s="363"/>
      <c r="J176" s="363"/>
    </row>
    <row r="177" spans="1:10">
      <c r="H177" s="363"/>
      <c r="I177" s="363"/>
      <c r="J177" s="363"/>
    </row>
    <row r="178" spans="1:10">
      <c r="B178" s="201" t="s">
        <v>176</v>
      </c>
      <c r="H178" s="363"/>
      <c r="I178" s="363"/>
      <c r="J178" s="363"/>
    </row>
    <row r="179" spans="1:10">
      <c r="H179" s="363"/>
      <c r="I179" s="363"/>
      <c r="J179" s="363"/>
    </row>
    <row r="180" spans="1:10">
      <c r="A180" s="188" t="s">
        <v>71</v>
      </c>
      <c r="B180" s="189" t="s">
        <v>140</v>
      </c>
      <c r="C180" s="189" t="s">
        <v>141</v>
      </c>
      <c r="D180" s="201" t="s">
        <v>193</v>
      </c>
      <c r="H180" s="363"/>
      <c r="I180" s="363"/>
      <c r="J180" s="363"/>
    </row>
    <row r="181" spans="1:10">
      <c r="A181" s="188" t="s">
        <v>72</v>
      </c>
      <c r="B181" s="189" t="s">
        <v>142</v>
      </c>
      <c r="C181" s="189" t="s">
        <v>141</v>
      </c>
      <c r="D181" s="201" t="s">
        <v>109</v>
      </c>
      <c r="H181" s="363"/>
      <c r="I181" s="363"/>
      <c r="J181" s="363"/>
    </row>
    <row r="182" spans="1:10">
      <c r="H182" s="363"/>
      <c r="I182" s="363"/>
      <c r="J182" s="363"/>
    </row>
    <row r="183" spans="1:10">
      <c r="H183" s="363"/>
      <c r="I183" s="363"/>
      <c r="J183" s="363"/>
    </row>
    <row r="184" spans="1:10">
      <c r="B184" s="201" t="s">
        <v>178</v>
      </c>
      <c r="H184" s="363"/>
      <c r="I184" s="363"/>
      <c r="J184" s="363"/>
    </row>
    <row r="185" spans="1:10" ht="15.75" thickBot="1">
      <c r="H185" s="363"/>
      <c r="I185" s="363"/>
      <c r="J185" s="363"/>
    </row>
    <row r="186" spans="1:10" ht="15.75" thickBot="1">
      <c r="B186" s="215" t="s">
        <v>145</v>
      </c>
      <c r="C186" s="215" t="s">
        <v>146</v>
      </c>
      <c r="D186" s="215" t="s">
        <v>147</v>
      </c>
      <c r="E186" s="215" t="s">
        <v>148</v>
      </c>
      <c r="H186" s="363"/>
      <c r="I186" s="363"/>
      <c r="J186" s="363"/>
    </row>
    <row r="187" spans="1:10" ht="15.75" thickBot="1">
      <c r="B187" s="216" t="s">
        <v>97</v>
      </c>
      <c r="C187" s="216" t="s">
        <v>156</v>
      </c>
      <c r="D187" s="216" t="s">
        <v>171</v>
      </c>
      <c r="E187" s="216" t="s">
        <v>153</v>
      </c>
      <c r="H187" s="363"/>
      <c r="I187" s="363"/>
      <c r="J187" s="363"/>
    </row>
    <row r="188" spans="1:10" ht="15.75" thickBot="1">
      <c r="B188" s="217" t="s">
        <v>391</v>
      </c>
      <c r="C188" s="217" t="s">
        <v>156</v>
      </c>
      <c r="D188" s="217" t="s">
        <v>241</v>
      </c>
      <c r="E188" s="217" t="s">
        <v>156</v>
      </c>
      <c r="H188" s="363"/>
      <c r="I188" s="363"/>
      <c r="J188" s="363"/>
    </row>
    <row r="189" spans="1:10" ht="15.75" thickBot="1">
      <c r="B189" s="216" t="s">
        <v>109</v>
      </c>
      <c r="C189" s="216" t="s">
        <v>164</v>
      </c>
      <c r="D189" s="216" t="s">
        <v>156</v>
      </c>
      <c r="E189" s="216" t="s">
        <v>164</v>
      </c>
      <c r="H189" s="363"/>
      <c r="I189" s="363"/>
      <c r="J189" s="363"/>
    </row>
    <row r="190" spans="1:10" ht="15.75" thickBot="1">
      <c r="B190" s="217" t="s">
        <v>193</v>
      </c>
      <c r="C190" s="217" t="s">
        <v>163</v>
      </c>
      <c r="D190" s="217" t="s">
        <v>243</v>
      </c>
      <c r="E190" s="217" t="s">
        <v>244</v>
      </c>
      <c r="H190" s="363"/>
      <c r="I190" s="363"/>
      <c r="J190" s="363"/>
    </row>
    <row r="191" spans="1:10">
      <c r="H191" s="363"/>
      <c r="I191" s="363"/>
      <c r="J191" s="363"/>
    </row>
    <row r="192" spans="1:10">
      <c r="H192" s="363"/>
      <c r="I192" s="363"/>
      <c r="J192" s="363"/>
    </row>
    <row r="193" spans="1:15">
      <c r="B193" s="201" t="s">
        <v>182</v>
      </c>
      <c r="H193" s="363"/>
      <c r="I193" s="363"/>
      <c r="J193" s="363"/>
    </row>
    <row r="194" spans="1:15">
      <c r="B194" s="195"/>
      <c r="H194" s="363"/>
      <c r="I194" s="363"/>
      <c r="J194" s="363"/>
    </row>
    <row r="195" spans="1:15">
      <c r="B195" s="195" t="s">
        <v>239</v>
      </c>
      <c r="H195" s="363"/>
      <c r="I195" s="363"/>
      <c r="J195" s="363"/>
    </row>
    <row r="196" spans="1:15">
      <c r="B196" s="195" t="s">
        <v>240</v>
      </c>
      <c r="H196" s="363"/>
      <c r="I196" s="363"/>
      <c r="J196" s="363"/>
    </row>
    <row r="197" spans="1:15">
      <c r="H197" s="363"/>
      <c r="I197" s="363"/>
      <c r="J197" s="363"/>
    </row>
    <row r="198" spans="1:15">
      <c r="H198" s="363"/>
      <c r="I198" s="363"/>
      <c r="J198" s="363"/>
      <c r="K198" s="218"/>
      <c r="L198" s="219"/>
      <c r="M198" s="218"/>
      <c r="N198" s="218"/>
      <c r="O198" s="218"/>
    </row>
    <row r="199" spans="1:15">
      <c r="B199" s="218"/>
      <c r="C199" s="218"/>
      <c r="D199" s="218"/>
      <c r="E199" s="218"/>
      <c r="F199" s="218"/>
      <c r="G199" s="218"/>
      <c r="H199" s="364"/>
      <c r="I199" s="364"/>
      <c r="J199" s="364"/>
    </row>
    <row r="200" spans="1:15">
      <c r="H200" s="363"/>
      <c r="I200" s="363"/>
      <c r="J200" s="363"/>
    </row>
    <row r="201" spans="1:15">
      <c r="H201" s="363"/>
      <c r="I201" s="363"/>
      <c r="J201" s="363"/>
    </row>
    <row r="202" spans="1:15">
      <c r="B202" s="201" t="s">
        <v>184</v>
      </c>
      <c r="H202" s="363"/>
      <c r="I202" s="363"/>
      <c r="J202" s="363"/>
    </row>
    <row r="203" spans="1:15">
      <c r="H203" s="363"/>
      <c r="I203" s="363"/>
      <c r="J203" s="363"/>
    </row>
    <row r="204" spans="1:15">
      <c r="A204" s="188" t="s">
        <v>73</v>
      </c>
      <c r="B204" s="189" t="s">
        <v>140</v>
      </c>
      <c r="C204" s="189" t="s">
        <v>141</v>
      </c>
      <c r="D204" s="201" t="s">
        <v>209</v>
      </c>
      <c r="H204" s="363"/>
      <c r="I204" s="363"/>
      <c r="J204" s="363"/>
    </row>
    <row r="205" spans="1:15">
      <c r="A205" s="188" t="s">
        <v>74</v>
      </c>
      <c r="B205" s="189" t="s">
        <v>142</v>
      </c>
      <c r="C205" s="189" t="s">
        <v>141</v>
      </c>
      <c r="D205" s="201" t="s">
        <v>143</v>
      </c>
      <c r="H205" s="363"/>
      <c r="I205" s="363"/>
      <c r="J205" s="363"/>
    </row>
    <row r="206" spans="1:15">
      <c r="H206" s="363"/>
      <c r="I206" s="363"/>
      <c r="J206" s="363"/>
    </row>
    <row r="207" spans="1:15">
      <c r="H207" s="363"/>
      <c r="I207" s="363"/>
      <c r="J207" s="363"/>
    </row>
    <row r="208" spans="1:15">
      <c r="B208" s="201" t="s">
        <v>186</v>
      </c>
      <c r="H208" s="363"/>
      <c r="I208" s="363"/>
      <c r="J208" s="363"/>
    </row>
    <row r="209" spans="2:15" ht="15.75" thickBot="1">
      <c r="H209" s="363"/>
      <c r="I209" s="363"/>
      <c r="J209" s="363"/>
    </row>
    <row r="210" spans="2:15" ht="15.75" thickBot="1">
      <c r="B210" s="215" t="s">
        <v>145</v>
      </c>
      <c r="C210" s="215" t="s">
        <v>146</v>
      </c>
      <c r="D210" s="215" t="s">
        <v>147</v>
      </c>
      <c r="E210" s="215" t="s">
        <v>148</v>
      </c>
      <c r="H210" s="363"/>
      <c r="I210" s="363"/>
      <c r="J210" s="363"/>
    </row>
    <row r="211" spans="2:15" ht="15.75" thickBot="1">
      <c r="B211" s="216" t="s">
        <v>209</v>
      </c>
      <c r="C211" s="216" t="s">
        <v>172</v>
      </c>
      <c r="D211" s="216" t="s">
        <v>151</v>
      </c>
      <c r="E211" s="216" t="s">
        <v>164</v>
      </c>
      <c r="H211" s="363"/>
      <c r="I211" s="363"/>
      <c r="J211" s="363"/>
    </row>
    <row r="212" spans="2:15" ht="15.75" thickBot="1">
      <c r="B212" s="217" t="s">
        <v>392</v>
      </c>
      <c r="C212" s="217" t="s">
        <v>149</v>
      </c>
      <c r="D212" s="217" t="s">
        <v>150</v>
      </c>
      <c r="E212" s="217" t="s">
        <v>149</v>
      </c>
      <c r="H212" s="363"/>
      <c r="I212" s="363"/>
      <c r="J212" s="363"/>
    </row>
    <row r="213" spans="2:15" ht="15.75" thickBot="1">
      <c r="B213" s="216" t="s">
        <v>143</v>
      </c>
      <c r="C213" s="216" t="s">
        <v>155</v>
      </c>
      <c r="D213" s="216" t="s">
        <v>153</v>
      </c>
      <c r="E213" s="216" t="s">
        <v>164</v>
      </c>
      <c r="H213" s="363"/>
      <c r="I213" s="363"/>
      <c r="J213" s="363"/>
    </row>
    <row r="214" spans="2:15" ht="15.75" thickBot="1">
      <c r="B214" s="217" t="s">
        <v>210</v>
      </c>
      <c r="C214" s="217" t="s">
        <v>150</v>
      </c>
      <c r="D214" s="217" t="s">
        <v>162</v>
      </c>
      <c r="E214" s="217" t="s">
        <v>156</v>
      </c>
      <c r="H214" s="363"/>
      <c r="I214" s="363"/>
      <c r="J214" s="363"/>
    </row>
    <row r="215" spans="2:15">
      <c r="H215" s="363"/>
      <c r="I215" s="363"/>
      <c r="J215" s="363"/>
    </row>
    <row r="216" spans="2:15">
      <c r="H216" s="363"/>
      <c r="I216" s="363"/>
      <c r="J216" s="363"/>
    </row>
    <row r="217" spans="2:15">
      <c r="B217" s="201" t="s">
        <v>189</v>
      </c>
      <c r="H217" s="363"/>
      <c r="I217" s="363"/>
      <c r="J217" s="363"/>
    </row>
    <row r="218" spans="2:15">
      <c r="B218" s="195"/>
      <c r="H218" s="363"/>
      <c r="I218" s="363"/>
      <c r="J218" s="363"/>
    </row>
    <row r="219" spans="2:15">
      <c r="B219" s="195" t="s">
        <v>190</v>
      </c>
      <c r="H219" s="363"/>
      <c r="I219" s="363"/>
      <c r="J219" s="363"/>
    </row>
    <row r="220" spans="2:15">
      <c r="B220" s="195" t="s">
        <v>191</v>
      </c>
      <c r="H220" s="363"/>
      <c r="I220" s="363"/>
      <c r="J220" s="363"/>
    </row>
    <row r="221" spans="2:15">
      <c r="H221" s="363"/>
      <c r="I221" s="363"/>
      <c r="J221" s="363"/>
    </row>
    <row r="222" spans="2:15">
      <c r="H222" s="363"/>
      <c r="I222" s="363"/>
      <c r="J222" s="363"/>
      <c r="K222" s="218"/>
      <c r="L222" s="219"/>
      <c r="M222" s="218"/>
      <c r="N222" s="218"/>
      <c r="O222" s="218"/>
    </row>
    <row r="223" spans="2:15">
      <c r="B223" s="218"/>
      <c r="C223" s="218"/>
      <c r="D223" s="218"/>
      <c r="E223" s="218"/>
      <c r="F223" s="218"/>
      <c r="G223" s="218"/>
      <c r="H223" s="364"/>
      <c r="I223" s="364"/>
      <c r="J223" s="364"/>
    </row>
    <row r="224" spans="2:15">
      <c r="H224" s="363"/>
      <c r="I224" s="363"/>
      <c r="J224" s="363"/>
    </row>
    <row r="225" spans="1:10">
      <c r="H225" s="363"/>
      <c r="I225" s="363"/>
      <c r="J225" s="363"/>
    </row>
    <row r="226" spans="1:10">
      <c r="B226" s="201" t="s">
        <v>192</v>
      </c>
      <c r="H226" s="363"/>
      <c r="I226" s="363"/>
      <c r="J226" s="363"/>
    </row>
    <row r="227" spans="1:10">
      <c r="H227" s="363"/>
      <c r="I227" s="363"/>
      <c r="J227" s="363"/>
    </row>
    <row r="228" spans="1:10">
      <c r="A228" s="188" t="s">
        <v>75</v>
      </c>
      <c r="B228" s="189" t="s">
        <v>140</v>
      </c>
      <c r="C228" s="189" t="s">
        <v>141</v>
      </c>
      <c r="D228" s="201" t="s">
        <v>102</v>
      </c>
      <c r="H228" s="363"/>
      <c r="I228" s="363"/>
      <c r="J228" s="363"/>
    </row>
    <row r="229" spans="1:10">
      <c r="A229" s="188" t="s">
        <v>76</v>
      </c>
      <c r="B229" s="189" t="s">
        <v>142</v>
      </c>
      <c r="C229" s="189" t="s">
        <v>141</v>
      </c>
      <c r="D229" s="201" t="s">
        <v>572</v>
      </c>
      <c r="H229" s="363"/>
      <c r="I229" s="363"/>
      <c r="J229" s="363"/>
    </row>
    <row r="230" spans="1:10">
      <c r="H230" s="363"/>
      <c r="I230" s="363"/>
      <c r="J230" s="363"/>
    </row>
    <row r="231" spans="1:10">
      <c r="H231" s="363"/>
      <c r="I231" s="363"/>
      <c r="J231" s="363"/>
    </row>
    <row r="232" spans="1:10">
      <c r="B232" s="201" t="s">
        <v>194</v>
      </c>
      <c r="H232" s="363"/>
      <c r="I232" s="363"/>
      <c r="J232" s="363"/>
    </row>
    <row r="233" spans="1:10" ht="15.75" thickBot="1">
      <c r="H233" s="363"/>
      <c r="I233" s="363"/>
      <c r="J233" s="363"/>
    </row>
    <row r="234" spans="1:10" ht="15.75" thickBot="1">
      <c r="B234" s="215" t="s">
        <v>145</v>
      </c>
      <c r="C234" s="215" t="s">
        <v>146</v>
      </c>
      <c r="D234" s="215" t="s">
        <v>147</v>
      </c>
      <c r="E234" s="215" t="s">
        <v>148</v>
      </c>
      <c r="H234" s="363"/>
      <c r="I234" s="363"/>
      <c r="J234" s="363"/>
    </row>
    <row r="235" spans="1:10" ht="15.75" thickBot="1">
      <c r="B235" s="216" t="s">
        <v>102</v>
      </c>
      <c r="C235" s="216" t="s">
        <v>172</v>
      </c>
      <c r="D235" s="216" t="s">
        <v>153</v>
      </c>
      <c r="E235" s="216" t="s">
        <v>155</v>
      </c>
      <c r="H235" s="363"/>
      <c r="I235" s="363"/>
      <c r="J235" s="363"/>
    </row>
    <row r="236" spans="1:10" ht="15.75" thickBot="1">
      <c r="B236" s="217" t="s">
        <v>572</v>
      </c>
      <c r="C236" s="217" t="s">
        <v>149</v>
      </c>
      <c r="D236" s="217" t="s">
        <v>150</v>
      </c>
      <c r="E236" s="217" t="s">
        <v>151</v>
      </c>
      <c r="H236" s="363"/>
      <c r="I236" s="363"/>
      <c r="J236" s="363"/>
    </row>
    <row r="237" spans="1:10" ht="15.75" thickBot="1">
      <c r="B237" s="216" t="s">
        <v>394</v>
      </c>
      <c r="C237" s="216" t="s">
        <v>153</v>
      </c>
      <c r="D237" s="216" t="s">
        <v>165</v>
      </c>
      <c r="E237" s="216" t="s">
        <v>156</v>
      </c>
      <c r="H237" s="363"/>
      <c r="I237" s="363"/>
      <c r="J237" s="363"/>
    </row>
    <row r="238" spans="1:10" ht="15.75" thickBot="1">
      <c r="B238" s="217" t="s">
        <v>108</v>
      </c>
      <c r="C238" s="217" t="s">
        <v>151</v>
      </c>
      <c r="D238" s="217" t="s">
        <v>150</v>
      </c>
      <c r="E238" s="217" t="s">
        <v>149</v>
      </c>
      <c r="H238" s="363"/>
      <c r="I238" s="363"/>
      <c r="J238" s="363"/>
    </row>
    <row r="239" spans="1:10">
      <c r="H239" s="363"/>
      <c r="I239" s="363"/>
      <c r="J239" s="363"/>
    </row>
    <row r="240" spans="1:10">
      <c r="H240" s="363"/>
      <c r="I240" s="363"/>
      <c r="J240" s="363"/>
    </row>
    <row r="241" spans="1:15">
      <c r="B241" s="201" t="s">
        <v>195</v>
      </c>
      <c r="H241" s="363"/>
      <c r="I241" s="363"/>
      <c r="J241" s="363"/>
    </row>
    <row r="242" spans="1:15">
      <c r="B242" s="195"/>
      <c r="H242" s="363"/>
      <c r="I242" s="363"/>
      <c r="J242" s="363"/>
    </row>
    <row r="243" spans="1:15">
      <c r="B243" s="195" t="s">
        <v>196</v>
      </c>
      <c r="H243" s="363"/>
      <c r="I243" s="363"/>
      <c r="J243" s="363"/>
    </row>
    <row r="244" spans="1:15">
      <c r="B244" s="195" t="s">
        <v>197</v>
      </c>
      <c r="H244" s="363"/>
      <c r="I244" s="363"/>
      <c r="J244" s="363"/>
    </row>
    <row r="245" spans="1:15">
      <c r="H245" s="363"/>
      <c r="I245" s="363"/>
      <c r="J245" s="363"/>
    </row>
    <row r="246" spans="1:15">
      <c r="H246" s="363"/>
      <c r="I246" s="363"/>
      <c r="J246" s="363"/>
      <c r="K246" s="218"/>
      <c r="L246" s="219"/>
      <c r="M246" s="218"/>
      <c r="N246" s="218"/>
      <c r="O246" s="218"/>
    </row>
    <row r="247" spans="1:15">
      <c r="B247" s="218"/>
      <c r="C247" s="218"/>
      <c r="D247" s="218"/>
      <c r="E247" s="218"/>
      <c r="F247" s="218"/>
      <c r="G247" s="218"/>
      <c r="H247" s="364"/>
      <c r="I247" s="364"/>
      <c r="J247" s="364"/>
    </row>
    <row r="248" spans="1:15">
      <c r="H248" s="363"/>
      <c r="I248" s="363"/>
      <c r="J248" s="363"/>
    </row>
    <row r="249" spans="1:15">
      <c r="H249" s="363"/>
      <c r="I249" s="363"/>
      <c r="J249" s="363"/>
    </row>
    <row r="250" spans="1:15">
      <c r="B250" s="201" t="s">
        <v>198</v>
      </c>
      <c r="H250" s="363"/>
      <c r="I250" s="363"/>
      <c r="J250" s="363"/>
    </row>
    <row r="251" spans="1:15">
      <c r="H251" s="363"/>
      <c r="I251" s="363"/>
      <c r="J251" s="363"/>
    </row>
    <row r="252" spans="1:15">
      <c r="A252" s="188" t="s">
        <v>77</v>
      </c>
      <c r="B252" s="189" t="s">
        <v>140</v>
      </c>
      <c r="C252" s="189" t="s">
        <v>141</v>
      </c>
      <c r="D252" s="201" t="s">
        <v>177</v>
      </c>
      <c r="H252" s="363"/>
      <c r="I252" s="363"/>
      <c r="J252" s="363"/>
    </row>
    <row r="253" spans="1:15">
      <c r="A253" s="188" t="s">
        <v>78</v>
      </c>
      <c r="B253" s="189" t="s">
        <v>142</v>
      </c>
      <c r="C253" s="189" t="s">
        <v>141</v>
      </c>
      <c r="D253" s="201" t="s">
        <v>202</v>
      </c>
      <c r="H253" s="363"/>
      <c r="I253" s="363"/>
      <c r="J253" s="363"/>
    </row>
    <row r="254" spans="1:15">
      <c r="H254" s="363"/>
      <c r="I254" s="363"/>
      <c r="J254" s="363"/>
    </row>
    <row r="255" spans="1:15">
      <c r="H255" s="363"/>
      <c r="I255" s="363"/>
      <c r="J255" s="363"/>
    </row>
    <row r="256" spans="1:15">
      <c r="B256" s="201" t="s">
        <v>201</v>
      </c>
      <c r="H256" s="363"/>
      <c r="I256" s="363"/>
      <c r="J256" s="363"/>
    </row>
    <row r="257" spans="2:10" ht="15.75" thickBot="1">
      <c r="H257" s="363"/>
      <c r="I257" s="363"/>
      <c r="J257" s="363"/>
    </row>
    <row r="258" spans="2:10" ht="15.75" thickBot="1">
      <c r="B258" s="215" t="s">
        <v>145</v>
      </c>
      <c r="C258" s="215" t="s">
        <v>146</v>
      </c>
      <c r="D258" s="215" t="s">
        <v>147</v>
      </c>
      <c r="E258" s="215" t="s">
        <v>148</v>
      </c>
      <c r="H258" s="363"/>
      <c r="I258" s="363"/>
      <c r="J258" s="363"/>
    </row>
    <row r="259" spans="2:10" ht="15.75" thickBot="1">
      <c r="B259" s="216" t="s">
        <v>177</v>
      </c>
      <c r="C259" s="216" t="s">
        <v>164</v>
      </c>
      <c r="D259" s="216" t="s">
        <v>153</v>
      </c>
      <c r="E259" s="216" t="s">
        <v>155</v>
      </c>
      <c r="H259" s="363"/>
      <c r="I259" s="363"/>
      <c r="J259" s="363"/>
    </row>
    <row r="260" spans="2:10" ht="15.75" thickBot="1">
      <c r="B260" s="217" t="s">
        <v>202</v>
      </c>
      <c r="C260" s="217" t="s">
        <v>164</v>
      </c>
      <c r="D260" s="217" t="s">
        <v>156</v>
      </c>
      <c r="E260" s="217" t="s">
        <v>155</v>
      </c>
      <c r="H260" s="363"/>
      <c r="I260" s="363"/>
      <c r="J260" s="363"/>
    </row>
    <row r="261" spans="2:10" ht="15.75" thickBot="1">
      <c r="B261" s="216" t="s">
        <v>181</v>
      </c>
      <c r="C261" s="216" t="s">
        <v>156</v>
      </c>
      <c r="D261" s="216" t="s">
        <v>180</v>
      </c>
      <c r="E261" s="216" t="s">
        <v>156</v>
      </c>
      <c r="H261" s="363"/>
      <c r="I261" s="363"/>
      <c r="J261" s="363"/>
    </row>
    <row r="262" spans="2:10" ht="15.75" thickBot="1">
      <c r="B262" s="217" t="s">
        <v>32</v>
      </c>
      <c r="C262" s="217" t="s">
        <v>149</v>
      </c>
      <c r="D262" s="217" t="s">
        <v>156</v>
      </c>
      <c r="E262" s="217" t="s">
        <v>149</v>
      </c>
      <c r="H262" s="363"/>
      <c r="I262" s="363"/>
      <c r="J262" s="363"/>
    </row>
    <row r="263" spans="2:10">
      <c r="H263" s="363"/>
      <c r="I263" s="363"/>
      <c r="J263" s="363"/>
    </row>
    <row r="264" spans="2:10">
      <c r="H264" s="363"/>
      <c r="I264" s="363"/>
      <c r="J264" s="363"/>
    </row>
    <row r="265" spans="2:10">
      <c r="B265" s="201" t="s">
        <v>203</v>
      </c>
      <c r="H265" s="363"/>
      <c r="I265" s="363"/>
      <c r="J265" s="363"/>
    </row>
    <row r="266" spans="2:10">
      <c r="B266" s="195"/>
      <c r="H266" s="363"/>
      <c r="I266" s="363"/>
      <c r="J266" s="363"/>
    </row>
    <row r="267" spans="2:10">
      <c r="B267" s="195" t="s">
        <v>247</v>
      </c>
      <c r="H267" s="363"/>
      <c r="I267" s="363"/>
      <c r="J267" s="363"/>
    </row>
    <row r="268" spans="2:10">
      <c r="B268" s="195"/>
      <c r="H268" s="363"/>
      <c r="I268" s="363"/>
      <c r="J268" s="363"/>
    </row>
    <row r="269" spans="2:10">
      <c r="H269" s="363"/>
      <c r="I269" s="363"/>
      <c r="J269" s="363"/>
    </row>
    <row r="270" spans="2:10">
      <c r="B270" s="218"/>
      <c r="C270" s="218"/>
      <c r="D270" s="218"/>
      <c r="E270" s="218"/>
      <c r="F270" s="218"/>
      <c r="G270" s="218"/>
      <c r="H270" s="363"/>
      <c r="I270" s="363"/>
      <c r="J270" s="363"/>
    </row>
    <row r="271" spans="2:10">
      <c r="H271" s="364"/>
      <c r="I271" s="364"/>
      <c r="J271" s="364"/>
    </row>
    <row r="272" spans="2:10">
      <c r="H272" s="363"/>
      <c r="I272" s="363"/>
      <c r="J272" s="363"/>
    </row>
    <row r="273" spans="1:10">
      <c r="H273" s="363"/>
      <c r="I273" s="363"/>
      <c r="J273" s="363"/>
    </row>
    <row r="274" spans="1:10">
      <c r="B274" s="201" t="s">
        <v>206</v>
      </c>
      <c r="H274" s="363"/>
      <c r="I274" s="363"/>
      <c r="J274" s="363"/>
    </row>
    <row r="275" spans="1:10">
      <c r="H275" s="363"/>
      <c r="I275" s="363"/>
      <c r="J275" s="363"/>
    </row>
    <row r="276" spans="1:10">
      <c r="A276" s="188" t="s">
        <v>79</v>
      </c>
      <c r="B276" s="189" t="s">
        <v>140</v>
      </c>
      <c r="C276" s="189" t="s">
        <v>141</v>
      </c>
      <c r="D276" s="201" t="s">
        <v>395</v>
      </c>
      <c r="H276" s="363"/>
      <c r="I276" s="363"/>
      <c r="J276" s="363"/>
    </row>
    <row r="277" spans="1:10">
      <c r="A277" s="188" t="s">
        <v>80</v>
      </c>
      <c r="B277" s="189" t="s">
        <v>142</v>
      </c>
      <c r="C277" s="189" t="s">
        <v>141</v>
      </c>
      <c r="D277" s="201" t="s">
        <v>104</v>
      </c>
      <c r="H277" s="363"/>
      <c r="I277" s="363"/>
      <c r="J277" s="363"/>
    </row>
    <row r="278" spans="1:10">
      <c r="H278" s="363"/>
      <c r="I278" s="363"/>
      <c r="J278" s="363"/>
    </row>
    <row r="279" spans="1:10">
      <c r="H279" s="363"/>
      <c r="I279" s="363"/>
      <c r="J279" s="363"/>
    </row>
    <row r="280" spans="1:10">
      <c r="B280" s="201" t="s">
        <v>208</v>
      </c>
      <c r="H280" s="363"/>
      <c r="I280" s="363"/>
      <c r="J280" s="363"/>
    </row>
    <row r="281" spans="1:10" ht="15.75" thickBot="1">
      <c r="H281" s="363"/>
      <c r="I281" s="363"/>
      <c r="J281" s="363"/>
    </row>
    <row r="282" spans="1:10" ht="15.75" thickBot="1">
      <c r="B282" s="215" t="s">
        <v>145</v>
      </c>
      <c r="C282" s="215" t="s">
        <v>146</v>
      </c>
      <c r="D282" s="215" t="s">
        <v>147</v>
      </c>
      <c r="E282" s="215" t="s">
        <v>148</v>
      </c>
      <c r="H282" s="363"/>
      <c r="I282" s="363"/>
      <c r="J282" s="363"/>
    </row>
    <row r="283" spans="1:10" ht="15.75" thickBot="1">
      <c r="B283" s="216" t="s">
        <v>395</v>
      </c>
      <c r="C283" s="216" t="s">
        <v>172</v>
      </c>
      <c r="D283" s="216" t="s">
        <v>151</v>
      </c>
      <c r="E283" s="216" t="s">
        <v>151</v>
      </c>
      <c r="H283" s="363"/>
      <c r="I283" s="363"/>
      <c r="J283" s="363"/>
    </row>
    <row r="284" spans="1:10" ht="15.75" thickBot="1">
      <c r="B284" s="217" t="s">
        <v>110</v>
      </c>
      <c r="C284" s="217" t="s">
        <v>156</v>
      </c>
      <c r="D284" s="217" t="s">
        <v>165</v>
      </c>
      <c r="E284" s="217" t="s">
        <v>150</v>
      </c>
      <c r="H284" s="363"/>
      <c r="I284" s="363"/>
      <c r="J284" s="363"/>
    </row>
    <row r="285" spans="1:10" ht="15.75" thickBot="1">
      <c r="B285" s="216" t="s">
        <v>396</v>
      </c>
      <c r="C285" s="216" t="s">
        <v>151</v>
      </c>
      <c r="D285" s="216" t="s">
        <v>165</v>
      </c>
      <c r="E285" s="216" t="s">
        <v>156</v>
      </c>
      <c r="H285" s="363"/>
      <c r="I285" s="363"/>
      <c r="J285" s="363"/>
    </row>
    <row r="286" spans="1:10" ht="15.75" thickBot="1">
      <c r="B286" s="217" t="s">
        <v>104</v>
      </c>
      <c r="C286" s="217" t="s">
        <v>164</v>
      </c>
      <c r="D286" s="217" t="s">
        <v>156</v>
      </c>
      <c r="E286" s="217" t="s">
        <v>153</v>
      </c>
      <c r="H286" s="363"/>
      <c r="I286" s="363"/>
      <c r="J286" s="363"/>
    </row>
    <row r="287" spans="1:10">
      <c r="H287" s="363"/>
      <c r="I287" s="363"/>
      <c r="J287" s="363"/>
    </row>
    <row r="288" spans="1:10">
      <c r="H288" s="363"/>
      <c r="I288" s="363"/>
      <c r="J288" s="363"/>
    </row>
    <row r="289" spans="2:15">
      <c r="B289" s="201" t="s">
        <v>211</v>
      </c>
      <c r="H289" s="363"/>
      <c r="I289" s="363"/>
      <c r="J289" s="363"/>
    </row>
    <row r="290" spans="2:15">
      <c r="B290" s="195"/>
      <c r="H290" s="363"/>
      <c r="I290" s="363"/>
      <c r="J290" s="363"/>
    </row>
    <row r="291" spans="2:15">
      <c r="B291" s="195" t="s">
        <v>212</v>
      </c>
      <c r="H291" s="363"/>
      <c r="I291" s="363"/>
      <c r="J291" s="363"/>
    </row>
    <row r="292" spans="2:15">
      <c r="B292" s="195" t="s">
        <v>213</v>
      </c>
      <c r="H292" s="363"/>
      <c r="I292" s="363"/>
      <c r="J292" s="363"/>
    </row>
    <row r="293" spans="2:15">
      <c r="H293" s="363"/>
      <c r="I293" s="363"/>
      <c r="J293" s="363"/>
    </row>
    <row r="294" spans="2:15">
      <c r="H294" s="363"/>
      <c r="I294" s="363"/>
      <c r="J294" s="363"/>
    </row>
    <row r="295" spans="2:15">
      <c r="B295" s="218"/>
      <c r="C295" s="218"/>
      <c r="D295" s="218"/>
      <c r="E295" s="218"/>
      <c r="F295" s="218"/>
      <c r="G295" s="218"/>
      <c r="H295" s="364"/>
      <c r="I295" s="364"/>
      <c r="J295" s="364"/>
      <c r="K295" s="218"/>
      <c r="L295" s="219"/>
      <c r="M295" s="218"/>
      <c r="N295" s="218"/>
      <c r="O295" s="218"/>
    </row>
    <row r="300" spans="2:15">
      <c r="B300" s="189" t="s">
        <v>214</v>
      </c>
      <c r="H300" s="189"/>
      <c r="I300" s="189"/>
      <c r="J300" s="189"/>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4.xml><?xml version="1.0" encoding="utf-8"?>
<worksheet xmlns="http://schemas.openxmlformats.org/spreadsheetml/2006/main" xmlns:r="http://schemas.openxmlformats.org/officeDocument/2006/relationships">
  <sheetPr codeName="Blad10">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491</v>
      </c>
      <c r="L1" s="194"/>
      <c r="P1" s="193">
        <f>SUM(P14:P101)+E11+H11+L7+L11+Q11</f>
        <v>385</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Nederland</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Japan</v>
      </c>
      <c r="C4" s="222">
        <f t="shared" si="1"/>
        <v>0</v>
      </c>
      <c r="D4" s="224" t="str">
        <f t="shared" si="2"/>
        <v>Uruguay</v>
      </c>
      <c r="E4" s="222">
        <f t="shared" si="3"/>
        <v>10</v>
      </c>
      <c r="F4" s="339" t="s">
        <v>450</v>
      </c>
      <c r="G4" s="195" t="str">
        <f>G88</f>
        <v>Japan</v>
      </c>
      <c r="H4" s="222">
        <f t="shared" si="4"/>
        <v>0</v>
      </c>
      <c r="I4" s="339" t="s">
        <v>458</v>
      </c>
      <c r="J4" s="195" t="str">
        <f>G94</f>
        <v>Bosnië en Herzegovina</v>
      </c>
      <c r="L4" s="222">
        <f>IF(ISNA(MATCH(J4,teams_halve,0)),0,20)</f>
        <v>0</v>
      </c>
      <c r="Q4" s="224"/>
    </row>
    <row r="5" spans="1:21" s="195" customFormat="1" ht="15" customHeight="1">
      <c r="B5" s="224" t="str">
        <f t="shared" si="0"/>
        <v>Spanje</v>
      </c>
      <c r="C5" s="222">
        <f t="shared" si="1"/>
        <v>0</v>
      </c>
      <c r="D5" s="224" t="str">
        <f t="shared" si="2"/>
        <v>Kroatië</v>
      </c>
      <c r="E5" s="222">
        <f t="shared" si="3"/>
        <v>0</v>
      </c>
      <c r="F5" s="339" t="s">
        <v>451</v>
      </c>
      <c r="G5" s="195" t="str">
        <f>E90</f>
        <v>Spanje</v>
      </c>
      <c r="H5" s="222">
        <f t="shared" si="4"/>
        <v>0</v>
      </c>
      <c r="I5" s="339" t="s">
        <v>459</v>
      </c>
      <c r="J5" s="195" t="str">
        <f>E95</f>
        <v>Spanje</v>
      </c>
      <c r="L5" s="222">
        <f>IF(ISNA(MATCH(J5,teams_halve,0)),0,20)</f>
        <v>0</v>
      </c>
    </row>
    <row r="6" spans="1:21" s="195" customFormat="1" ht="15" customHeight="1">
      <c r="B6" s="224" t="str">
        <f t="shared" si="0"/>
        <v>Italië</v>
      </c>
      <c r="C6" s="222">
        <f t="shared" si="1"/>
        <v>0</v>
      </c>
      <c r="D6" s="224" t="str">
        <f t="shared" si="2"/>
        <v>Colombia</v>
      </c>
      <c r="E6" s="222">
        <f t="shared" si="3"/>
        <v>10</v>
      </c>
      <c r="F6" s="339" t="s">
        <v>452</v>
      </c>
      <c r="G6" s="195" t="str">
        <f>G90</f>
        <v>Italië</v>
      </c>
      <c r="H6" s="222">
        <f t="shared" si="4"/>
        <v>0</v>
      </c>
      <c r="I6" s="339" t="s">
        <v>460</v>
      </c>
      <c r="J6" s="195" t="str">
        <f>G95</f>
        <v>Argentinië</v>
      </c>
      <c r="L6" s="222">
        <f>IF(ISNA(MATCH(J6,teams_halve,0)),0,20)</f>
        <v>20</v>
      </c>
    </row>
    <row r="7" spans="1:21" s="195" customFormat="1" ht="15" customHeight="1">
      <c r="B7" s="224" t="str">
        <f t="shared" si="0"/>
        <v>Frankrijk</v>
      </c>
      <c r="C7" s="222">
        <f t="shared" si="1"/>
        <v>10</v>
      </c>
      <c r="D7" s="224" t="str">
        <f t="shared" si="2"/>
        <v>Bosnië en Herzegovina</v>
      </c>
      <c r="E7" s="222">
        <f t="shared" si="3"/>
        <v>0</v>
      </c>
      <c r="F7" s="339" t="s">
        <v>453</v>
      </c>
      <c r="G7" s="195" t="str">
        <f>E89</f>
        <v>Bosnië en Herzegovina</v>
      </c>
      <c r="H7" s="222">
        <f t="shared" si="4"/>
        <v>0</v>
      </c>
      <c r="I7" s="339"/>
      <c r="J7" s="198" t="s">
        <v>83</v>
      </c>
      <c r="K7" s="199"/>
      <c r="L7" s="225">
        <f>SUM(L3:L6)</f>
        <v>40</v>
      </c>
    </row>
    <row r="8" spans="1:21" s="195" customFormat="1" ht="15" customHeight="1">
      <c r="B8" s="224" t="str">
        <f t="shared" si="0"/>
        <v>Portugal</v>
      </c>
      <c r="C8" s="222">
        <f t="shared" si="1"/>
        <v>0</v>
      </c>
      <c r="D8" s="224" t="str">
        <f t="shared" si="2"/>
        <v>Zuid-Korea</v>
      </c>
      <c r="E8" s="222">
        <f t="shared" si="3"/>
        <v>0</v>
      </c>
      <c r="F8" s="339" t="s">
        <v>454</v>
      </c>
      <c r="G8" s="195" t="str">
        <f>G89</f>
        <v>Zuid-Korea</v>
      </c>
      <c r="H8" s="222">
        <f t="shared" si="4"/>
        <v>0</v>
      </c>
      <c r="I8" s="339"/>
      <c r="J8" s="196" t="s">
        <v>48</v>
      </c>
      <c r="L8" s="197"/>
      <c r="P8" s="196" t="s">
        <v>579</v>
      </c>
    </row>
    <row r="9" spans="1:21" s="195" customFormat="1" ht="15" customHeight="1">
      <c r="B9" s="224" t="str">
        <f t="shared" si="0"/>
        <v>Argentinië</v>
      </c>
      <c r="C9" s="222">
        <f t="shared" si="1"/>
        <v>10</v>
      </c>
      <c r="D9" s="224" t="str">
        <f t="shared" si="2"/>
        <v>Zwitserland</v>
      </c>
      <c r="E9" s="222">
        <f t="shared" si="3"/>
        <v>10</v>
      </c>
      <c r="F9" s="339" t="s">
        <v>455</v>
      </c>
      <c r="G9" s="195" t="str">
        <f>E91</f>
        <v>Argentinië</v>
      </c>
      <c r="H9" s="222">
        <f t="shared" si="4"/>
        <v>15</v>
      </c>
      <c r="I9" s="339" t="s">
        <v>461</v>
      </c>
      <c r="J9" s="195" t="str">
        <f>E101</f>
        <v>Brazilië</v>
      </c>
      <c r="L9" s="222">
        <f>IF(ISNA(MATCH(J9,teams_fin,0)),0,30)</f>
        <v>0</v>
      </c>
      <c r="P9" s="444" t="str">
        <f>E98</f>
        <v>Bosnië en Herzegovina</v>
      </c>
      <c r="Q9" s="222">
        <f>IF(ISNA(MATCH(P9,teams_troost,0)),0,25)</f>
        <v>0</v>
      </c>
    </row>
    <row r="10" spans="1:21" s="195" customFormat="1" ht="15" customHeight="1">
      <c r="B10" s="224" t="str">
        <f t="shared" si="0"/>
        <v>België</v>
      </c>
      <c r="C10" s="222">
        <f t="shared" si="1"/>
        <v>10</v>
      </c>
      <c r="D10" s="224" t="str">
        <f t="shared" si="2"/>
        <v>Duitsland</v>
      </c>
      <c r="E10" s="222">
        <f t="shared" si="3"/>
        <v>10</v>
      </c>
      <c r="F10" s="339" t="s">
        <v>456</v>
      </c>
      <c r="G10" s="195" t="str">
        <f>G91</f>
        <v>Duitsland</v>
      </c>
      <c r="H10" s="222">
        <f t="shared" si="4"/>
        <v>15</v>
      </c>
      <c r="I10" s="339" t="s">
        <v>462</v>
      </c>
      <c r="J10" s="195" t="str">
        <f>G101</f>
        <v>Argentinië</v>
      </c>
      <c r="L10" s="222">
        <f>IF(ISNA(MATCH(J10,teams_fin,0)),0,30)</f>
        <v>30</v>
      </c>
      <c r="P10" s="444" t="str">
        <f>G98</f>
        <v>Spanje</v>
      </c>
      <c r="Q10" s="222">
        <f>IF(ISNA(MATCH(P10,teams_troost,0)),0,25)</f>
        <v>0</v>
      </c>
    </row>
    <row r="11" spans="1:21" s="195" customFormat="1" ht="15" customHeight="1">
      <c r="D11" s="198" t="s">
        <v>89</v>
      </c>
      <c r="E11" s="225">
        <f>SUM(C3:E10)</f>
        <v>90</v>
      </c>
      <c r="G11" s="198" t="s">
        <v>82</v>
      </c>
      <c r="H11" s="225">
        <f>SUM(H3:H10)</f>
        <v>45</v>
      </c>
      <c r="J11" s="198" t="s">
        <v>90</v>
      </c>
      <c r="K11" s="199"/>
      <c r="L11" s="225">
        <f>SUM(L9:L10)</f>
        <v>30</v>
      </c>
      <c r="P11" s="199"/>
      <c r="Q11" s="225">
        <f>SUM(Q9:Q10)</f>
        <v>0</v>
      </c>
    </row>
    <row r="12" spans="1:21">
      <c r="B12" s="201" t="s">
        <v>19</v>
      </c>
      <c r="C12" s="201"/>
      <c r="D12" s="339" t="s">
        <v>463</v>
      </c>
      <c r="E12" s="202" t="s">
        <v>199</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1</v>
      </c>
      <c r="I14" s="366" t="s">
        <v>29</v>
      </c>
      <c r="J14" s="366">
        <v>0</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1</v>
      </c>
      <c r="I15" s="366" t="s">
        <v>29</v>
      </c>
      <c r="J15" s="366">
        <v>0</v>
      </c>
      <c r="K15" s="212" t="str">
        <f t="shared" si="5"/>
        <v>1</v>
      </c>
      <c r="L15" s="210" t="str">
        <f>VLOOKUP($B15,Invulblad!$A$11:$S$103,13,0)</f>
        <v>1</v>
      </c>
      <c r="M15" s="211">
        <f>IF(L15&lt;&gt;"",VLOOKUP($B15,Invulblad!$A$11:$S$103,7,0),"")</f>
        <v>1</v>
      </c>
      <c r="N15" s="209" t="s">
        <v>29</v>
      </c>
      <c r="O15" s="211">
        <f>IF(L15&lt;&gt;"",VLOOKUP($B15,Invulblad!$A$11:$S$103,9,0),"")</f>
        <v>0</v>
      </c>
      <c r="P15" s="212">
        <f t="shared" si="6"/>
        <v>10</v>
      </c>
    </row>
    <row r="16" spans="1:21">
      <c r="A16" s="188">
        <v>3</v>
      </c>
      <c r="B16" s="195">
        <v>17</v>
      </c>
      <c r="C16" s="332">
        <v>41807</v>
      </c>
      <c r="D16" s="333">
        <v>0.875</v>
      </c>
      <c r="E16" s="189" t="s">
        <v>557</v>
      </c>
      <c r="F16" s="189" t="s">
        <v>29</v>
      </c>
      <c r="G16" s="189" t="s">
        <v>96</v>
      </c>
      <c r="H16" s="366">
        <v>1</v>
      </c>
      <c r="I16" s="366" t="s">
        <v>29</v>
      </c>
      <c r="J16" s="366">
        <v>0</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1</v>
      </c>
      <c r="I17" s="366" t="s">
        <v>29</v>
      </c>
      <c r="J17" s="366">
        <v>2</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0</v>
      </c>
      <c r="I18" s="366" t="s">
        <v>29</v>
      </c>
      <c r="J18" s="366">
        <v>2</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2</v>
      </c>
      <c r="I19" s="366" t="s">
        <v>29</v>
      </c>
      <c r="J19" s="366">
        <v>0</v>
      </c>
      <c r="K19" s="212" t="str">
        <f t="shared" si="5"/>
        <v>1</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201"/>
      <c r="I20" s="201"/>
      <c r="J20" s="201"/>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1</v>
      </c>
      <c r="I22" s="366" t="s">
        <v>29</v>
      </c>
      <c r="J22" s="366">
        <v>1</v>
      </c>
      <c r="K22" s="212">
        <f t="shared" si="5"/>
        <v>3</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2</v>
      </c>
      <c r="I23" s="366" t="s">
        <v>29</v>
      </c>
      <c r="J23" s="366">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2</v>
      </c>
      <c r="I24" s="366" t="s">
        <v>29</v>
      </c>
      <c r="J24" s="366">
        <v>0</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0</v>
      </c>
      <c r="I25" s="366" t="s">
        <v>29</v>
      </c>
      <c r="J25" s="366">
        <v>1</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1</v>
      </c>
      <c r="I26" s="366" t="s">
        <v>29</v>
      </c>
      <c r="J26" s="366">
        <v>2</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1</v>
      </c>
      <c r="I27" s="366" t="s">
        <v>29</v>
      </c>
      <c r="J27" s="366">
        <v>0</v>
      </c>
      <c r="K27" s="212" t="str">
        <f t="shared" si="5"/>
        <v>1</v>
      </c>
      <c r="L27" s="210" t="str">
        <f>VLOOKUP($B27,Invulblad!$A$11:$S$103,13,0)</f>
        <v>1</v>
      </c>
      <c r="M27" s="211">
        <f>IF(L27&lt;&gt;"",VLOOKUP($B27,Invulblad!$A$11:$S$103,7,0),"")</f>
        <v>2</v>
      </c>
      <c r="N27" s="209" t="s">
        <v>29</v>
      </c>
      <c r="O27" s="211">
        <f>IF(L27&lt;&gt;"",VLOOKUP($B27,Invulblad!$A$11:$S$103,9,0),"")</f>
        <v>0</v>
      </c>
      <c r="P27" s="212">
        <f t="shared" si="7"/>
        <v>5</v>
      </c>
    </row>
    <row r="28" spans="1:16">
      <c r="A28" s="188">
        <v>15</v>
      </c>
      <c r="B28" s="201" t="s">
        <v>31</v>
      </c>
      <c r="H28" s="201"/>
      <c r="I28" s="201"/>
      <c r="J28" s="201"/>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1</v>
      </c>
      <c r="I30" s="366" t="s">
        <v>29</v>
      </c>
      <c r="J30" s="366">
        <v>0</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0</v>
      </c>
      <c r="I31" s="366" t="s">
        <v>29</v>
      </c>
      <c r="J31" s="366">
        <v>2</v>
      </c>
      <c r="K31" s="212">
        <f t="shared" si="5"/>
        <v>2</v>
      </c>
      <c r="L31" s="210" t="str">
        <f>VLOOKUP($B31,Invulblad!$A$11:$S$103,13,0)</f>
        <v>1</v>
      </c>
      <c r="M31" s="211">
        <f>IF(L31&lt;&gt;"",VLOOKUP($B31,Invulblad!$A$11:$S$103,7,0),"")</f>
        <v>2</v>
      </c>
      <c r="N31" s="209" t="s">
        <v>29</v>
      </c>
      <c r="O31" s="211">
        <f>IF(L31&lt;&gt;"",VLOOKUP($B31,Invulblad!$A$11:$S$103,9,0),"")</f>
        <v>1</v>
      </c>
      <c r="P31" s="212">
        <f t="shared" si="8"/>
        <v>0</v>
      </c>
    </row>
    <row r="32" spans="1:16">
      <c r="A32" s="188">
        <v>19</v>
      </c>
      <c r="B32" s="195">
        <v>21</v>
      </c>
      <c r="C32" s="332">
        <v>41809</v>
      </c>
      <c r="D32" s="333">
        <v>0.75</v>
      </c>
      <c r="E32" s="189" t="s">
        <v>428</v>
      </c>
      <c r="F32" s="189" t="s">
        <v>29</v>
      </c>
      <c r="G32" s="189" t="s">
        <v>125</v>
      </c>
      <c r="H32" s="366">
        <v>1</v>
      </c>
      <c r="I32" s="366" t="s">
        <v>29</v>
      </c>
      <c r="J32" s="366">
        <v>0</v>
      </c>
      <c r="K32" s="212" t="str">
        <f t="shared" si="5"/>
        <v>1</v>
      </c>
      <c r="L32" s="210" t="str">
        <f>VLOOKUP($B32,Invulblad!$A$11:$S$103,13,0)</f>
        <v>1</v>
      </c>
      <c r="M32" s="211">
        <f>IF(L32&lt;&gt;"",VLOOKUP($B32,Invulblad!$A$11:$S$103,7,0),"")</f>
        <v>2</v>
      </c>
      <c r="N32" s="209" t="s">
        <v>29</v>
      </c>
      <c r="O32" s="211">
        <f>IF(L32&lt;&gt;"",VLOOKUP($B32,Invulblad!$A$11:$S$103,9,0),"")</f>
        <v>1</v>
      </c>
      <c r="P32" s="212">
        <f t="shared" si="8"/>
        <v>5</v>
      </c>
    </row>
    <row r="33" spans="1:16">
      <c r="A33" s="188">
        <v>20</v>
      </c>
      <c r="B33" s="195">
        <v>22</v>
      </c>
      <c r="C33" s="332">
        <v>41810</v>
      </c>
      <c r="D33" s="333">
        <v>0</v>
      </c>
      <c r="E33" s="189" t="s">
        <v>118</v>
      </c>
      <c r="F33" s="189" t="s">
        <v>29</v>
      </c>
      <c r="G33" s="189" t="s">
        <v>105</v>
      </c>
      <c r="H33" s="366">
        <v>2</v>
      </c>
      <c r="I33" s="366" t="s">
        <v>29</v>
      </c>
      <c r="J33" s="366">
        <v>1</v>
      </c>
      <c r="K33" s="212" t="str">
        <f t="shared" si="5"/>
        <v>1</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1</v>
      </c>
      <c r="I34" s="366" t="s">
        <v>29</v>
      </c>
      <c r="J34" s="366">
        <v>1</v>
      </c>
      <c r="K34" s="212">
        <f t="shared" si="5"/>
        <v>3</v>
      </c>
      <c r="L34" s="210">
        <f>VLOOKUP($B34,Invulblad!$A$11:$S$103,13,0)</f>
        <v>2</v>
      </c>
      <c r="M34" s="211">
        <f>IF(L34&lt;&gt;"",VLOOKUP($B34,Invulblad!$A$11:$S$103,7,0),"")</f>
        <v>1</v>
      </c>
      <c r="N34" s="209" t="s">
        <v>29</v>
      </c>
      <c r="O34" s="211">
        <f>IF(L34&lt;&gt;"",VLOOKUP($B34,Invulblad!$A$11:$S$103,9,0),"")</f>
        <v>4</v>
      </c>
      <c r="P34" s="212">
        <f t="shared" si="8"/>
        <v>0</v>
      </c>
    </row>
    <row r="35" spans="1:16">
      <c r="A35" s="188">
        <v>22</v>
      </c>
      <c r="B35" s="195">
        <v>38</v>
      </c>
      <c r="C35" s="332">
        <v>41814</v>
      </c>
      <c r="D35" s="333">
        <v>0.91666666666666663</v>
      </c>
      <c r="E35" s="189" t="s">
        <v>233</v>
      </c>
      <c r="F35" s="189" t="s">
        <v>29</v>
      </c>
      <c r="G35" s="189" t="s">
        <v>125</v>
      </c>
      <c r="H35" s="366">
        <v>1</v>
      </c>
      <c r="I35" s="366" t="s">
        <v>29</v>
      </c>
      <c r="J35" s="366">
        <v>2</v>
      </c>
      <c r="K35" s="212">
        <f t="shared" si="5"/>
        <v>2</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201"/>
      <c r="I36" s="201"/>
      <c r="J36" s="201"/>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2</v>
      </c>
      <c r="I38" s="366" t="s">
        <v>29</v>
      </c>
      <c r="J38" s="366">
        <v>0</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2</v>
      </c>
      <c r="K39" s="212">
        <f t="shared" si="5"/>
        <v>2</v>
      </c>
      <c r="L39" s="210">
        <f>VLOOKUP($B39,Invulblad!$A$11:$S$103,13,0)</f>
        <v>2</v>
      </c>
      <c r="M39" s="211">
        <f>IF(L39&lt;&gt;"",VLOOKUP($B39,Invulblad!$A$11:$S$103,7,0),"")</f>
        <v>1</v>
      </c>
      <c r="N39" s="209" t="s">
        <v>29</v>
      </c>
      <c r="O39" s="211">
        <f>IF(L39&lt;&gt;"",VLOOKUP($B39,Invulblad!$A$11:$S$103,9,0),"")</f>
        <v>2</v>
      </c>
      <c r="P39" s="212">
        <f t="shared" si="9"/>
        <v>10</v>
      </c>
    </row>
    <row r="40" spans="1:16">
      <c r="A40" s="188">
        <v>27</v>
      </c>
      <c r="B40" s="195">
        <v>23</v>
      </c>
      <c r="C40" s="332">
        <v>41809</v>
      </c>
      <c r="D40" s="333">
        <v>0.875</v>
      </c>
      <c r="E40" s="189" t="s">
        <v>231</v>
      </c>
      <c r="F40" s="189" t="s">
        <v>29</v>
      </c>
      <c r="G40" s="189" t="s">
        <v>112</v>
      </c>
      <c r="H40" s="366">
        <v>2</v>
      </c>
      <c r="I40" s="366" t="s">
        <v>29</v>
      </c>
      <c r="J40" s="366">
        <v>0</v>
      </c>
      <c r="K40" s="212" t="str">
        <f t="shared" si="5"/>
        <v>1</v>
      </c>
      <c r="L40" s="210" t="str">
        <f>VLOOKUP($B40,Invulblad!$A$11:$S$103,13,0)</f>
        <v>1</v>
      </c>
      <c r="M40" s="211">
        <f>IF(L40&lt;&gt;"",VLOOKUP($B40,Invulblad!$A$11:$S$103,7,0),"")</f>
        <v>2</v>
      </c>
      <c r="N40" s="209" t="s">
        <v>29</v>
      </c>
      <c r="O40" s="211">
        <f>IF(L40&lt;&gt;"",VLOOKUP($B40,Invulblad!$A$11:$S$103,9,0),"")</f>
        <v>1</v>
      </c>
      <c r="P40" s="212">
        <f t="shared" si="9"/>
        <v>5</v>
      </c>
    </row>
    <row r="41" spans="1:16">
      <c r="A41" s="188">
        <v>28</v>
      </c>
      <c r="B41" s="195">
        <v>24</v>
      </c>
      <c r="C41" s="332">
        <v>41810</v>
      </c>
      <c r="D41" s="333">
        <v>0.75</v>
      </c>
      <c r="E41" s="189" t="s">
        <v>564</v>
      </c>
      <c r="F41" s="189" t="s">
        <v>29</v>
      </c>
      <c r="G41" s="189" t="s">
        <v>430</v>
      </c>
      <c r="H41" s="366">
        <v>2</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1</v>
      </c>
      <c r="I42" s="366" t="s">
        <v>29</v>
      </c>
      <c r="J42" s="366">
        <v>0</v>
      </c>
      <c r="K42" s="212" t="str">
        <f t="shared" si="5"/>
        <v>1</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1</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201"/>
      <c r="I44" s="201"/>
      <c r="J44" s="201"/>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1</v>
      </c>
      <c r="I46" s="366" t="s">
        <v>29</v>
      </c>
      <c r="J46" s="366">
        <v>0</v>
      </c>
      <c r="K46" s="212" t="str">
        <f t="shared" si="5"/>
        <v>1</v>
      </c>
      <c r="L46" s="210" t="str">
        <f>VLOOKUP($B46,Invulblad!$A$11:$S$103,13,0)</f>
        <v>1</v>
      </c>
      <c r="M46" s="211">
        <f>IF(L46&lt;&gt;"",VLOOKUP($B46,Invulblad!$A$11:$S$103,7,0),"")</f>
        <v>2</v>
      </c>
      <c r="N46" s="209" t="s">
        <v>29</v>
      </c>
      <c r="O46" s="211">
        <f>IF(L46&lt;&gt;"",VLOOKUP($B46,Invulblad!$A$11:$S$103,9,0),"")</f>
        <v>1</v>
      </c>
      <c r="P46" s="212">
        <f t="shared" ref="P46:P51" si="10">IF(L46&lt;&gt;"",IF(AND(M46=H46,O46=J46),10,IF(K46=L46,5,0)),"")</f>
        <v>5</v>
      </c>
    </row>
    <row r="47" spans="1:16">
      <c r="A47" s="188">
        <v>34</v>
      </c>
      <c r="B47" s="195">
        <v>10</v>
      </c>
      <c r="C47" s="332">
        <v>41805</v>
      </c>
      <c r="D47" s="333">
        <v>0.875</v>
      </c>
      <c r="E47" s="189" t="s">
        <v>100</v>
      </c>
      <c r="F47" s="189" t="s">
        <v>29</v>
      </c>
      <c r="G47" s="189" t="s">
        <v>132</v>
      </c>
      <c r="H47" s="366">
        <v>1</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0</v>
      </c>
      <c r="I48" s="366" t="s">
        <v>29</v>
      </c>
      <c r="J48" s="366">
        <v>1</v>
      </c>
      <c r="K48" s="212">
        <f t="shared" si="5"/>
        <v>2</v>
      </c>
      <c r="L48" s="210">
        <f>VLOOKUP($B48,Invulblad!$A$11:$S$103,13,0)</f>
        <v>2</v>
      </c>
      <c r="M48" s="211">
        <f>IF(L48&lt;&gt;"",VLOOKUP($B48,Invulblad!$A$11:$S$103,7,0),"")</f>
        <v>2</v>
      </c>
      <c r="N48" s="209" t="s">
        <v>29</v>
      </c>
      <c r="O48" s="211">
        <f>IF(L48&lt;&gt;"",VLOOKUP($B48,Invulblad!$A$11:$S$103,9,0),"")</f>
        <v>5</v>
      </c>
      <c r="P48" s="212">
        <f t="shared" si="10"/>
        <v>5</v>
      </c>
    </row>
    <row r="49" spans="1:16">
      <c r="A49" s="188">
        <v>36</v>
      </c>
      <c r="B49" s="195">
        <v>26</v>
      </c>
      <c r="C49" s="332">
        <v>41811</v>
      </c>
      <c r="D49" s="333">
        <v>0</v>
      </c>
      <c r="E49" s="189" t="s">
        <v>127</v>
      </c>
      <c r="F49" s="189" t="s">
        <v>29</v>
      </c>
      <c r="G49" s="189" t="s">
        <v>434</v>
      </c>
      <c r="H49" s="366">
        <v>1</v>
      </c>
      <c r="I49" s="366" t="s">
        <v>29</v>
      </c>
      <c r="J49" s="366">
        <v>2</v>
      </c>
      <c r="K49" s="212">
        <f t="shared" si="5"/>
        <v>2</v>
      </c>
      <c r="L49" s="210">
        <f>VLOOKUP($B49,Invulblad!$A$11:$S$103,13,0)</f>
        <v>2</v>
      </c>
      <c r="M49" s="211">
        <f>IF(L49&lt;&gt;"",VLOOKUP($B49,Invulblad!$A$11:$S$103,7,0),"")</f>
        <v>1</v>
      </c>
      <c r="N49" s="209" t="s">
        <v>29</v>
      </c>
      <c r="O49" s="211">
        <f>IF(L49&lt;&gt;"",VLOOKUP($B49,Invulblad!$A$11:$S$103,9,0),"")</f>
        <v>2</v>
      </c>
      <c r="P49" s="212">
        <f t="shared" si="10"/>
        <v>10</v>
      </c>
    </row>
    <row r="50" spans="1:16">
      <c r="A50" s="188">
        <v>37</v>
      </c>
      <c r="B50" s="195">
        <v>41</v>
      </c>
      <c r="C50" s="332">
        <v>41815</v>
      </c>
      <c r="D50" s="333">
        <v>0.91666666666666663</v>
      </c>
      <c r="E50" s="189" t="s">
        <v>127</v>
      </c>
      <c r="F50" s="189" t="s">
        <v>29</v>
      </c>
      <c r="G50" s="189" t="s">
        <v>130</v>
      </c>
      <c r="H50" s="366">
        <v>0</v>
      </c>
      <c r="I50" s="366" t="s">
        <v>29</v>
      </c>
      <c r="J50" s="366">
        <v>2</v>
      </c>
      <c r="K50" s="212">
        <f t="shared" ref="K50:K85" si="11">IF(AND(H50="",J50=""),"",IF(OR(H50="",J50=""),"FOUT",IF(H50&gt;J50,"1",IF(H50=J50,3,2))))</f>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1</v>
      </c>
      <c r="I51" s="366" t="s">
        <v>29</v>
      </c>
      <c r="J51" s="366">
        <v>3</v>
      </c>
      <c r="K51" s="212">
        <f t="shared" si="11"/>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201"/>
      <c r="I52" s="201"/>
      <c r="J52" s="201"/>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2</v>
      </c>
      <c r="I54" s="366" t="s">
        <v>29</v>
      </c>
      <c r="J54" s="366">
        <v>0</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2">
        <v>41806</v>
      </c>
      <c r="D55" s="333">
        <v>0.875</v>
      </c>
      <c r="E55" s="189" t="s">
        <v>438</v>
      </c>
      <c r="F55" s="189" t="s">
        <v>29</v>
      </c>
      <c r="G55" s="189" t="s">
        <v>103</v>
      </c>
      <c r="H55" s="366">
        <v>0</v>
      </c>
      <c r="I55" s="366" t="s">
        <v>29</v>
      </c>
      <c r="J55" s="366">
        <v>1</v>
      </c>
      <c r="K55" s="212">
        <f t="shared" si="11"/>
        <v>2</v>
      </c>
      <c r="L55" s="210">
        <f>VLOOKUP($B55,Invulblad!$A$11:$S$103,13,0)</f>
        <v>3</v>
      </c>
      <c r="M55" s="211">
        <f>IF(L55&lt;&gt;"",VLOOKUP($B55,Invulblad!$A$11:$S$103,7,0),"")</f>
        <v>0</v>
      </c>
      <c r="N55" s="209" t="s">
        <v>29</v>
      </c>
      <c r="O55" s="211">
        <f>IF(L55&lt;&gt;"",VLOOKUP($B55,Invulblad!$A$11:$S$103,9,0),"")</f>
        <v>0</v>
      </c>
      <c r="P55" s="212">
        <f t="shared" si="12"/>
        <v>0</v>
      </c>
    </row>
    <row r="56" spans="1:16">
      <c r="A56" s="188">
        <v>43</v>
      </c>
      <c r="B56" s="195">
        <v>27</v>
      </c>
      <c r="C56" s="332">
        <v>41811</v>
      </c>
      <c r="D56" s="333">
        <v>0.75</v>
      </c>
      <c r="E56" s="189" t="s">
        <v>565</v>
      </c>
      <c r="F56" s="189" t="s">
        <v>29</v>
      </c>
      <c r="G56" s="189" t="s">
        <v>439</v>
      </c>
      <c r="H56" s="366">
        <v>2</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1</v>
      </c>
      <c r="I57" s="366" t="s">
        <v>29</v>
      </c>
      <c r="J57" s="366">
        <v>2</v>
      </c>
      <c r="K57" s="212">
        <f t="shared" si="11"/>
        <v>2</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0</v>
      </c>
      <c r="I58" s="366" t="s">
        <v>29</v>
      </c>
      <c r="J58" s="366">
        <v>2</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2</v>
      </c>
      <c r="I59" s="366" t="s">
        <v>29</v>
      </c>
      <c r="J59" s="366">
        <v>1</v>
      </c>
      <c r="K59" s="212" t="str">
        <f t="shared" si="11"/>
        <v>1</v>
      </c>
      <c r="L59" s="210" t="str">
        <f>VLOOKUP($B59,Invulblad!$A$11:$S$103,13,0)</f>
        <v>1</v>
      </c>
      <c r="M59" s="211">
        <f>IF(L59&lt;&gt;"",VLOOKUP($B59,Invulblad!$A$11:$S$103,7,0),"")</f>
        <v>3</v>
      </c>
      <c r="N59" s="209" t="s">
        <v>29</v>
      </c>
      <c r="O59" s="211">
        <f>IF(L59&lt;&gt;"",VLOOKUP($B59,Invulblad!$A$11:$S$103,9,0),"")</f>
        <v>1</v>
      </c>
      <c r="P59" s="212">
        <f t="shared" si="12"/>
        <v>5</v>
      </c>
    </row>
    <row r="60" spans="1:16">
      <c r="A60" s="188">
        <v>47</v>
      </c>
      <c r="B60" s="201" t="s">
        <v>36</v>
      </c>
      <c r="H60" s="201"/>
      <c r="I60" s="201"/>
      <c r="J60" s="201"/>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1</v>
      </c>
      <c r="I62" s="366" t="s">
        <v>29</v>
      </c>
      <c r="J62" s="366">
        <v>1</v>
      </c>
      <c r="K62" s="212">
        <f t="shared" si="11"/>
        <v>3</v>
      </c>
      <c r="L62" s="210" t="str">
        <f>VLOOKUP($B62,Invulblad!$A$11:$S$103,13,0)</f>
        <v>1</v>
      </c>
      <c r="M62" s="211">
        <f>IF(L62&lt;&gt;"",VLOOKUP($B62,Invulblad!$A$11:$S$103,7,0),"")</f>
        <v>4</v>
      </c>
      <c r="N62" s="209" t="s">
        <v>29</v>
      </c>
      <c r="O62" s="211">
        <f>IF(L62&lt;&gt;"",VLOOKUP($B62,Invulblad!$A$11:$S$103,9,0),"")</f>
        <v>0</v>
      </c>
      <c r="P62" s="212">
        <f t="shared" ref="P62:P67" si="13">IF(L62&lt;&gt;"",IF(AND(M62=H62,O62=J62),10,IF(K62=L62,5,0)),"")</f>
        <v>0</v>
      </c>
    </row>
    <row r="63" spans="1:16">
      <c r="A63" s="188">
        <v>50</v>
      </c>
      <c r="B63" s="195">
        <v>14</v>
      </c>
      <c r="C63" s="332">
        <v>41807</v>
      </c>
      <c r="D63" s="333">
        <v>0</v>
      </c>
      <c r="E63" s="189" t="s">
        <v>115</v>
      </c>
      <c r="F63" s="189" t="s">
        <v>29</v>
      </c>
      <c r="G63" s="189" t="s">
        <v>577</v>
      </c>
      <c r="H63" s="366">
        <v>2</v>
      </c>
      <c r="I63" s="366" t="s">
        <v>29</v>
      </c>
      <c r="J63" s="366">
        <v>1</v>
      </c>
      <c r="K63" s="212" t="str">
        <f t="shared" si="11"/>
        <v>1</v>
      </c>
      <c r="L63" s="210">
        <f>VLOOKUP($B63,Invulblad!$A$11:$S$103,13,0)</f>
        <v>2</v>
      </c>
      <c r="M63" s="211">
        <f>IF(L63&lt;&gt;"",VLOOKUP($B63,Invulblad!$A$11:$S$103,7,0),"")</f>
        <v>1</v>
      </c>
      <c r="N63" s="209" t="s">
        <v>29</v>
      </c>
      <c r="O63" s="211">
        <f>IF(L63&lt;&gt;"",VLOOKUP($B63,Invulblad!$A$11:$S$103,9,0),"")</f>
        <v>2</v>
      </c>
      <c r="P63" s="212">
        <f t="shared" si="13"/>
        <v>0</v>
      </c>
    </row>
    <row r="64" spans="1:16">
      <c r="A64" s="188">
        <v>51</v>
      </c>
      <c r="B64" s="195">
        <v>29</v>
      </c>
      <c r="C64" s="332">
        <v>41811</v>
      </c>
      <c r="D64" s="333">
        <v>0.875</v>
      </c>
      <c r="E64" s="189" t="s">
        <v>113</v>
      </c>
      <c r="F64" s="189" t="s">
        <v>29</v>
      </c>
      <c r="G64" s="189" t="s">
        <v>114</v>
      </c>
      <c r="H64" s="366">
        <v>2</v>
      </c>
      <c r="I64" s="366" t="s">
        <v>29</v>
      </c>
      <c r="J64" s="366">
        <v>0</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0</v>
      </c>
      <c r="I65" s="366" t="s">
        <v>29</v>
      </c>
      <c r="J65" s="366">
        <v>1</v>
      </c>
      <c r="K65" s="212">
        <f t="shared" si="11"/>
        <v>2</v>
      </c>
      <c r="L65" s="210">
        <f>VLOOKUP($B65,Invulblad!$A$11:$S$103,13,0)</f>
        <v>3</v>
      </c>
      <c r="M65" s="211">
        <f>IF(L65&lt;&gt;"",VLOOKUP($B65,Invulblad!$A$11:$S$103,7,0),"")</f>
        <v>2</v>
      </c>
      <c r="N65" s="209" t="s">
        <v>29</v>
      </c>
      <c r="O65" s="211">
        <f>IF(L65&lt;&gt;"",VLOOKUP($B65,Invulblad!$A$11:$S$103,9,0),"")</f>
        <v>2</v>
      </c>
      <c r="P65" s="212">
        <f t="shared" si="13"/>
        <v>0</v>
      </c>
    </row>
    <row r="66" spans="1:16">
      <c r="A66" s="188">
        <v>53</v>
      </c>
      <c r="B66" s="195">
        <v>45</v>
      </c>
      <c r="C66" s="332">
        <v>41816</v>
      </c>
      <c r="D66" s="333">
        <v>0.75</v>
      </c>
      <c r="E66" s="189" t="s">
        <v>578</v>
      </c>
      <c r="F66" s="189" t="s">
        <v>29</v>
      </c>
      <c r="G66" s="189" t="s">
        <v>116</v>
      </c>
      <c r="H66" s="366">
        <v>1</v>
      </c>
      <c r="I66" s="366" t="s">
        <v>29</v>
      </c>
      <c r="J66" s="366">
        <v>1</v>
      </c>
      <c r="K66" s="212">
        <f t="shared" si="11"/>
        <v>3</v>
      </c>
      <c r="L66" s="210">
        <f>VLOOKUP($B66,Invulblad!$A$11:$S$103,13,0)</f>
        <v>2</v>
      </c>
      <c r="M66" s="211">
        <f>IF(L66&lt;&gt;"",VLOOKUP($B66,Invulblad!$A$11:$S$103,7,0),"")</f>
        <v>0</v>
      </c>
      <c r="N66" s="209" t="s">
        <v>29</v>
      </c>
      <c r="O66" s="211">
        <f>IF(L66&lt;&gt;"",VLOOKUP($B66,Invulblad!$A$11:$S$103,9,0),"")</f>
        <v>1</v>
      </c>
      <c r="P66" s="212">
        <f t="shared" si="13"/>
        <v>0</v>
      </c>
    </row>
    <row r="67" spans="1:16">
      <c r="A67" s="188">
        <v>54</v>
      </c>
      <c r="B67" s="195">
        <v>46</v>
      </c>
      <c r="C67" s="332">
        <v>41816</v>
      </c>
      <c r="D67" s="333">
        <v>0.75</v>
      </c>
      <c r="E67" s="189" t="s">
        <v>126</v>
      </c>
      <c r="F67" s="189" t="s">
        <v>29</v>
      </c>
      <c r="G67" s="189" t="s">
        <v>114</v>
      </c>
      <c r="H67" s="366">
        <v>2</v>
      </c>
      <c r="I67" s="366" t="s">
        <v>29</v>
      </c>
      <c r="J67" s="366">
        <v>1</v>
      </c>
      <c r="K67" s="212" t="str">
        <f t="shared" si="11"/>
        <v>1</v>
      </c>
      <c r="L67" s="210" t="str">
        <f>VLOOKUP($B67,Invulblad!$A$11:$S$103,13,0)</f>
        <v>1</v>
      </c>
      <c r="M67" s="211">
        <f>IF(L67&lt;&gt;"",VLOOKUP($B67,Invulblad!$A$11:$S$103,7,0),"")</f>
        <v>2</v>
      </c>
      <c r="N67" s="209" t="s">
        <v>29</v>
      </c>
      <c r="O67" s="211">
        <f>IF(L67&lt;&gt;"",VLOOKUP($B67,Invulblad!$A$11:$S$103,9,0),"")</f>
        <v>1</v>
      </c>
      <c r="P67" s="212">
        <f t="shared" si="13"/>
        <v>10</v>
      </c>
    </row>
    <row r="68" spans="1:16">
      <c r="A68" s="188">
        <v>55</v>
      </c>
      <c r="B68" s="201" t="s">
        <v>37</v>
      </c>
      <c r="H68" s="201"/>
      <c r="I68" s="201"/>
      <c r="J68" s="201"/>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1</v>
      </c>
      <c r="I70" s="366" t="s">
        <v>29</v>
      </c>
      <c r="J70" s="366">
        <v>0</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c r="A71" s="188">
        <v>58</v>
      </c>
      <c r="B71" s="195">
        <v>16</v>
      </c>
      <c r="C71" s="332">
        <v>41808</v>
      </c>
      <c r="D71" s="333">
        <v>0</v>
      </c>
      <c r="E71" s="189" t="s">
        <v>445</v>
      </c>
      <c r="F71" s="189" t="s">
        <v>29</v>
      </c>
      <c r="G71" s="189" t="s">
        <v>107</v>
      </c>
      <c r="H71" s="366">
        <v>0</v>
      </c>
      <c r="I71" s="366" t="s">
        <v>29</v>
      </c>
      <c r="J71" s="366">
        <v>1</v>
      </c>
      <c r="K71" s="212">
        <f t="shared" si="11"/>
        <v>2</v>
      </c>
      <c r="L71" s="210">
        <f>VLOOKUP($B71,Invulblad!$A$11:$S$103,13,0)</f>
        <v>3</v>
      </c>
      <c r="M71" s="211">
        <f>IF(L71&lt;&gt;"",VLOOKUP($B71,Invulblad!$A$11:$S$103,7,0),"")</f>
        <v>1</v>
      </c>
      <c r="N71" s="209" t="s">
        <v>29</v>
      </c>
      <c r="O71" s="211">
        <f>IF(L71&lt;&gt;"",VLOOKUP($B71,Invulblad!$A$11:$S$103,9,0),"")</f>
        <v>1</v>
      </c>
      <c r="P71" s="212">
        <f t="shared" si="14"/>
        <v>0</v>
      </c>
    </row>
    <row r="72" spans="1:16">
      <c r="A72" s="188">
        <v>59</v>
      </c>
      <c r="B72" s="195">
        <v>31</v>
      </c>
      <c r="C72" s="332">
        <v>41812</v>
      </c>
      <c r="D72" s="333">
        <v>0.75</v>
      </c>
      <c r="E72" s="189" t="s">
        <v>569</v>
      </c>
      <c r="F72" s="189" t="s">
        <v>29</v>
      </c>
      <c r="G72" s="189" t="s">
        <v>446</v>
      </c>
      <c r="H72" s="366">
        <v>1</v>
      </c>
      <c r="I72" s="366" t="s">
        <v>29</v>
      </c>
      <c r="J72" s="366">
        <v>1</v>
      </c>
      <c r="K72" s="212">
        <f t="shared" si="11"/>
        <v>3</v>
      </c>
      <c r="L72" s="210" t="str">
        <f>VLOOKUP($B72,Invulblad!$A$11:$S$103,13,0)</f>
        <v>1</v>
      </c>
      <c r="M72" s="211">
        <f>IF(L72&lt;&gt;"",VLOOKUP($B72,Invulblad!$A$11:$S$103,7,0),"")</f>
        <v>1</v>
      </c>
      <c r="N72" s="209" t="s">
        <v>29</v>
      </c>
      <c r="O72" s="211">
        <f>IF(L72&lt;&gt;"",VLOOKUP($B72,Invulblad!$A$11:$S$103,9,0),"")</f>
        <v>0</v>
      </c>
      <c r="P72" s="212">
        <f t="shared" si="14"/>
        <v>0</v>
      </c>
    </row>
    <row r="73" spans="1:16">
      <c r="A73" s="188">
        <v>60</v>
      </c>
      <c r="B73" s="195">
        <v>32</v>
      </c>
      <c r="C73" s="332">
        <v>41812</v>
      </c>
      <c r="D73" s="333">
        <v>0.875</v>
      </c>
      <c r="E73" s="189" t="s">
        <v>232</v>
      </c>
      <c r="F73" s="189" t="s">
        <v>29</v>
      </c>
      <c r="G73" s="189" t="s">
        <v>111</v>
      </c>
      <c r="H73" s="366">
        <v>2</v>
      </c>
      <c r="I73" s="366" t="s">
        <v>29</v>
      </c>
      <c r="J73" s="366">
        <v>1</v>
      </c>
      <c r="K73" s="212" t="str">
        <f t="shared" si="11"/>
        <v>1</v>
      </c>
      <c r="L73" s="210">
        <f>VLOOKUP($B73,Invulblad!$A$11:$S$103,13,0)</f>
        <v>2</v>
      </c>
      <c r="M73" s="211">
        <f>IF(L73&lt;&gt;"",VLOOKUP($B73,Invulblad!$A$11:$S$103,7,0),"")</f>
        <v>2</v>
      </c>
      <c r="N73" s="209" t="s">
        <v>29</v>
      </c>
      <c r="O73" s="211">
        <f>IF(L73&lt;&gt;"",VLOOKUP($B73,Invulblad!$A$11:$S$103,9,0),"")</f>
        <v>4</v>
      </c>
      <c r="P73" s="212">
        <f t="shared" si="14"/>
        <v>0</v>
      </c>
    </row>
    <row r="74" spans="1:16">
      <c r="A74" s="188">
        <v>61</v>
      </c>
      <c r="B74" s="195">
        <v>47</v>
      </c>
      <c r="C74" s="332">
        <v>41816</v>
      </c>
      <c r="D74" s="333">
        <v>0.91666666666666663</v>
      </c>
      <c r="E74" s="189" t="s">
        <v>232</v>
      </c>
      <c r="F74" s="189" t="s">
        <v>29</v>
      </c>
      <c r="G74" s="189" t="s">
        <v>570</v>
      </c>
      <c r="H74" s="366">
        <v>1</v>
      </c>
      <c r="I74" s="366" t="s">
        <v>29</v>
      </c>
      <c r="J74" s="366">
        <v>2</v>
      </c>
      <c r="K74" s="212">
        <f t="shared" si="11"/>
        <v>2</v>
      </c>
      <c r="L74" s="210">
        <f>VLOOKUP($B74,Invulblad!$A$11:$S$103,13,0)</f>
        <v>2</v>
      </c>
      <c r="M74" s="211">
        <f>IF(L74&lt;&gt;"",VLOOKUP($B74,Invulblad!$A$11:$S$103,7,0),"")</f>
        <v>0</v>
      </c>
      <c r="N74" s="209" t="s">
        <v>29</v>
      </c>
      <c r="O74" s="211">
        <f>IF(L74&lt;&gt;"",VLOOKUP($B74,Invulblad!$A$11:$S$103,9,0),"")</f>
        <v>1</v>
      </c>
      <c r="P74" s="212">
        <f t="shared" si="14"/>
        <v>5</v>
      </c>
    </row>
    <row r="75" spans="1:16">
      <c r="A75" s="188">
        <v>62</v>
      </c>
      <c r="B75" s="195">
        <v>48</v>
      </c>
      <c r="C75" s="332">
        <v>41816</v>
      </c>
      <c r="D75" s="333">
        <v>0.91666666666666663</v>
      </c>
      <c r="E75" s="189" t="s">
        <v>236</v>
      </c>
      <c r="F75" s="189" t="s">
        <v>29</v>
      </c>
      <c r="G75" s="189" t="s">
        <v>446</v>
      </c>
      <c r="H75" s="366">
        <v>0</v>
      </c>
      <c r="I75" s="366" t="s">
        <v>29</v>
      </c>
      <c r="J75" s="366">
        <v>1</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201"/>
      <c r="I76" s="201"/>
      <c r="J76" s="201"/>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135</v>
      </c>
      <c r="H78" s="366">
        <v>2</v>
      </c>
      <c r="I78" s="366" t="s">
        <v>29</v>
      </c>
      <c r="J78" s="366">
        <v>0</v>
      </c>
      <c r="K78" s="212" t="str">
        <f t="shared" si="11"/>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187</v>
      </c>
      <c r="F79" s="189" t="s">
        <v>29</v>
      </c>
      <c r="G79" s="189" t="s">
        <v>97</v>
      </c>
      <c r="H79" s="366">
        <v>1</v>
      </c>
      <c r="I79" s="366" t="s">
        <v>29</v>
      </c>
      <c r="J79" s="366">
        <v>0</v>
      </c>
      <c r="K79" s="212" t="str">
        <f t="shared" si="11"/>
        <v>1</v>
      </c>
      <c r="L79" s="210" t="str">
        <f>VLOOKUP($B79,Invulblad!$A$11:$S$103,13,0)</f>
        <v>1</v>
      </c>
      <c r="M79" s="211">
        <f>IF(L79&lt;&gt;"",VLOOKUP($B79,Invulblad!$A$11:$S$103,7,0),"")</f>
        <v>2</v>
      </c>
      <c r="N79" s="209" t="s">
        <v>29</v>
      </c>
      <c r="O79" s="211">
        <f>IF(L79&lt;&gt;"",VLOOKUP($B79,Invulblad!$A$11:$S$103,9,0),"")</f>
        <v>0</v>
      </c>
      <c r="P79" s="212">
        <f t="shared" si="15"/>
        <v>5</v>
      </c>
    </row>
    <row r="80" spans="1:16">
      <c r="A80" s="188">
        <v>67</v>
      </c>
      <c r="B80" s="195">
        <v>51</v>
      </c>
      <c r="C80" s="332">
        <v>41819</v>
      </c>
      <c r="D80" s="333">
        <v>0.75</v>
      </c>
      <c r="E80" s="189" t="s">
        <v>138</v>
      </c>
      <c r="F80" s="189" t="s">
        <v>29</v>
      </c>
      <c r="G80" s="189" t="s">
        <v>389</v>
      </c>
      <c r="H80" s="366">
        <v>2</v>
      </c>
      <c r="I80" s="366" t="s">
        <v>29</v>
      </c>
      <c r="J80" s="366">
        <v>1</v>
      </c>
      <c r="K80" s="212" t="str">
        <f t="shared" si="11"/>
        <v>1</v>
      </c>
      <c r="L80" s="210" t="str">
        <f>VLOOKUP($B80,Invulblad!$A$11:$S$103,13,0)</f>
        <v>1</v>
      </c>
      <c r="M80" s="211">
        <f>IF(L80&lt;&gt;"",VLOOKUP($B80,Invulblad!$A$11:$S$103,7,0),"")</f>
        <v>2</v>
      </c>
      <c r="N80" s="209" t="s">
        <v>29</v>
      </c>
      <c r="O80" s="211">
        <f>IF(L80&lt;&gt;"",VLOOKUP($B80,Invulblad!$A$11:$S$103,9,0),"")</f>
        <v>1</v>
      </c>
      <c r="P80" s="212">
        <f t="shared" si="15"/>
        <v>10</v>
      </c>
    </row>
    <row r="81" spans="1:16">
      <c r="A81" s="188">
        <v>68</v>
      </c>
      <c r="B81" s="195">
        <v>52</v>
      </c>
      <c r="C81" s="332">
        <v>41819</v>
      </c>
      <c r="D81" s="333">
        <v>0.91666666666666663</v>
      </c>
      <c r="E81" s="189" t="s">
        <v>193</v>
      </c>
      <c r="F81" s="189" t="s">
        <v>29</v>
      </c>
      <c r="G81" s="189" t="s">
        <v>390</v>
      </c>
      <c r="H81" s="366">
        <v>1</v>
      </c>
      <c r="I81" s="366" t="s">
        <v>29</v>
      </c>
      <c r="J81" s="366">
        <v>0</v>
      </c>
      <c r="K81" s="212" t="str">
        <f t="shared" si="11"/>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143</v>
      </c>
      <c r="F82" s="189" t="s">
        <v>29</v>
      </c>
      <c r="G82" s="189" t="s">
        <v>572</v>
      </c>
      <c r="H82" s="366">
        <v>0</v>
      </c>
      <c r="I82" s="366" t="s">
        <v>29</v>
      </c>
      <c r="J82" s="366">
        <v>1</v>
      </c>
      <c r="K82" s="212">
        <f t="shared" si="11"/>
        <v>2</v>
      </c>
      <c r="L82" s="210" t="str">
        <f>VLOOKUP($B82,Invulblad!$A$11:$S$103,13,0)</f>
        <v>1</v>
      </c>
      <c r="M82" s="211">
        <f>IF(L82&lt;&gt;"",VLOOKUP($B82,Invulblad!$A$11:$S$103,7,0),"")</f>
        <v>2</v>
      </c>
      <c r="N82" s="209" t="s">
        <v>29</v>
      </c>
      <c r="O82" s="211">
        <f>IF(L82&lt;&gt;"",VLOOKUP($B82,Invulblad!$A$11:$S$103,9,0),"")</f>
        <v>0</v>
      </c>
      <c r="P82" s="212">
        <f t="shared" si="15"/>
        <v>0</v>
      </c>
    </row>
    <row r="83" spans="1:16">
      <c r="A83" s="188">
        <v>70</v>
      </c>
      <c r="B83" s="195">
        <v>54</v>
      </c>
      <c r="C83" s="332">
        <v>41820</v>
      </c>
      <c r="D83" s="333">
        <v>0.91666666666666663</v>
      </c>
      <c r="E83" s="189" t="s">
        <v>202</v>
      </c>
      <c r="F83" s="189" t="s">
        <v>29</v>
      </c>
      <c r="G83" s="189" t="s">
        <v>104</v>
      </c>
      <c r="H83" s="366">
        <v>1</v>
      </c>
      <c r="I83" s="366" t="s">
        <v>29</v>
      </c>
      <c r="J83" s="366">
        <v>1</v>
      </c>
      <c r="K83" s="212">
        <f t="shared" si="11"/>
        <v>3</v>
      </c>
      <c r="L83" s="210" t="str">
        <f>VLOOKUP($B83,Invulblad!$A$11:$S$103,13,0)</f>
        <v>1</v>
      </c>
      <c r="M83" s="211">
        <f>IF(L83&lt;&gt;"",VLOOKUP($B83,Invulblad!$A$11:$S$103,7,0),"")</f>
        <v>2</v>
      </c>
      <c r="N83" s="209" t="s">
        <v>29</v>
      </c>
      <c r="O83" s="211">
        <f>IF(L83&lt;&gt;"",VLOOKUP($B83,Invulblad!$A$11:$S$103,9,0),"")</f>
        <v>1</v>
      </c>
      <c r="P83" s="212">
        <f t="shared" si="15"/>
        <v>0</v>
      </c>
    </row>
    <row r="84" spans="1:16">
      <c r="A84" s="188">
        <v>71</v>
      </c>
      <c r="B84" s="195">
        <v>55</v>
      </c>
      <c r="C84" s="332">
        <v>41821</v>
      </c>
      <c r="D84" s="333">
        <v>0.75</v>
      </c>
      <c r="E84" s="189" t="s">
        <v>102</v>
      </c>
      <c r="F84" s="189" t="s">
        <v>29</v>
      </c>
      <c r="G84" s="189" t="s">
        <v>209</v>
      </c>
      <c r="H84" s="366">
        <v>2</v>
      </c>
      <c r="I84" s="366" t="s">
        <v>29</v>
      </c>
      <c r="J84" s="366">
        <v>0</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395</v>
      </c>
      <c r="F85" s="189" t="s">
        <v>29</v>
      </c>
      <c r="G85" s="189" t="s">
        <v>177</v>
      </c>
      <c r="H85" s="366">
        <v>1</v>
      </c>
      <c r="I85" s="366" t="s">
        <v>29</v>
      </c>
      <c r="J85" s="366">
        <v>2</v>
      </c>
      <c r="K85" s="212">
        <f t="shared" si="11"/>
        <v>2</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201"/>
      <c r="I86" s="201"/>
      <c r="J86" s="201"/>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187</v>
      </c>
      <c r="H88" s="366">
        <v>2</v>
      </c>
      <c r="I88" s="366" t="s">
        <v>29</v>
      </c>
      <c r="J88" s="366">
        <v>0</v>
      </c>
      <c r="K88" s="212" t="str">
        <f t="shared" si="16"/>
        <v>1</v>
      </c>
      <c r="L88" s="210" t="str">
        <f>VLOOKUP($B88,Invulblad!$A$11:$S$103,13,0)</f>
        <v>1</v>
      </c>
      <c r="M88" s="211">
        <f>IF(L88&lt;&gt;"",VLOOKUP($B88,Invulblad!$A$11:$S$103,7,0),"")</f>
        <v>2</v>
      </c>
      <c r="N88" s="209" t="s">
        <v>29</v>
      </c>
      <c r="O88" s="211">
        <f>IF(L88&lt;&gt;"",VLOOKUP($B88,Invulblad!$A$11:$S$103,9,0),"")</f>
        <v>1</v>
      </c>
      <c r="P88" s="212">
        <f>IF(L88&lt;&gt;"",IF(AND(M88=H88,O88=J88),10,IF(K88=L88,5,0)),"")</f>
        <v>5</v>
      </c>
    </row>
    <row r="89" spans="1:16">
      <c r="A89" s="188">
        <v>76</v>
      </c>
      <c r="B89" s="195">
        <v>58</v>
      </c>
      <c r="C89" s="332">
        <v>41824</v>
      </c>
      <c r="D89" s="333">
        <v>0.75</v>
      </c>
      <c r="E89" s="189" t="s">
        <v>572</v>
      </c>
      <c r="F89" s="189" t="s">
        <v>29</v>
      </c>
      <c r="G89" s="189" t="s">
        <v>104</v>
      </c>
      <c r="H89" s="366">
        <v>1</v>
      </c>
      <c r="I89" s="366" t="s">
        <v>29</v>
      </c>
      <c r="J89" s="366">
        <v>1</v>
      </c>
      <c r="K89" s="212">
        <f t="shared" si="16"/>
        <v>3</v>
      </c>
      <c r="L89" s="210">
        <f>VLOOKUP($B89,Invulblad!$A$11:$S$103,13,0)</f>
        <v>2</v>
      </c>
      <c r="M89" s="211">
        <f>IF(L89&lt;&gt;"",VLOOKUP($B89,Invulblad!$A$11:$S$103,7,0),"")</f>
        <v>0</v>
      </c>
      <c r="N89" s="209" t="s">
        <v>29</v>
      </c>
      <c r="O89" s="211">
        <f>IF(L89&lt;&gt;"",VLOOKUP($B89,Invulblad!$A$11:$S$103,9,0),"")</f>
        <v>1</v>
      </c>
      <c r="P89" s="212">
        <f>IF(L89&lt;&gt;"",IF(AND(M89=H89,O89=J89),10,IF(K89=L89,5,0)),"")</f>
        <v>0</v>
      </c>
    </row>
    <row r="90" spans="1:16">
      <c r="A90" s="188">
        <v>77</v>
      </c>
      <c r="B90" s="195">
        <v>59</v>
      </c>
      <c r="C90" s="332">
        <v>41825</v>
      </c>
      <c r="D90" s="333">
        <v>0.91666666666666663</v>
      </c>
      <c r="E90" s="189" t="s">
        <v>138</v>
      </c>
      <c r="F90" s="189" t="s">
        <v>29</v>
      </c>
      <c r="G90" s="189" t="s">
        <v>193</v>
      </c>
      <c r="H90" s="366">
        <v>2</v>
      </c>
      <c r="I90" s="366" t="s">
        <v>29</v>
      </c>
      <c r="J90" s="366">
        <v>1</v>
      </c>
      <c r="K90" s="212" t="str">
        <f t="shared" si="16"/>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177</v>
      </c>
      <c r="H91" s="366">
        <v>2</v>
      </c>
      <c r="I91" s="366" t="s">
        <v>29</v>
      </c>
      <c r="J91" s="366">
        <v>1</v>
      </c>
      <c r="K91" s="212" t="str">
        <f t="shared" si="16"/>
        <v>1</v>
      </c>
      <c r="L91" s="210"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H92" s="201"/>
      <c r="I92" s="201"/>
      <c r="J92" s="201"/>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572</v>
      </c>
      <c r="H94" s="366">
        <v>2</v>
      </c>
      <c r="I94" s="366" t="s">
        <v>29</v>
      </c>
      <c r="J94" s="366">
        <v>0</v>
      </c>
      <c r="K94" s="212" t="str">
        <f t="shared" si="16"/>
        <v>1</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138</v>
      </c>
      <c r="F95" s="189" t="s">
        <v>29</v>
      </c>
      <c r="G95" s="189" t="s">
        <v>102</v>
      </c>
      <c r="H95" s="366">
        <v>1</v>
      </c>
      <c r="I95" s="366" t="s">
        <v>29</v>
      </c>
      <c r="J95" s="366">
        <v>2</v>
      </c>
      <c r="K95" s="212">
        <f t="shared" si="16"/>
        <v>2</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201"/>
      <c r="I96" s="201"/>
      <c r="J96" s="201"/>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572</v>
      </c>
      <c r="F98" s="189" t="s">
        <v>29</v>
      </c>
      <c r="G98" s="189" t="s">
        <v>138</v>
      </c>
      <c r="H98" s="366">
        <v>0</v>
      </c>
      <c r="I98" s="366" t="s">
        <v>29</v>
      </c>
      <c r="J98" s="366">
        <v>1</v>
      </c>
      <c r="K98" s="212">
        <f t="shared" si="16"/>
        <v>2</v>
      </c>
      <c r="L98" s="210">
        <f>VLOOKUP($B98,Invulblad!$A$11:$S$103,13,0)</f>
        <v>2</v>
      </c>
      <c r="M98" s="211">
        <f>IF(L98&lt;&gt;"",VLOOKUP($B98,Invulblad!$A$11:$S$103,7,0),"")</f>
        <v>0</v>
      </c>
      <c r="N98" s="209" t="s">
        <v>29</v>
      </c>
      <c r="O98" s="211">
        <f>IF(L98&lt;&gt;"",VLOOKUP($B98,Invulblad!$A$11:$S$103,9,0),"")</f>
        <v>3</v>
      </c>
      <c r="P98" s="212">
        <f>IF(L98&lt;&gt;"",IF(AND(M98=H98,O98=J98),10,IF(K98=L98,5,0)),"")</f>
        <v>5</v>
      </c>
    </row>
    <row r="99" spans="1:16">
      <c r="A99" s="188">
        <v>86</v>
      </c>
      <c r="B99" s="201" t="s">
        <v>48</v>
      </c>
      <c r="H99" s="201"/>
      <c r="I99" s="201"/>
      <c r="J99" s="201"/>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199</v>
      </c>
      <c r="F101" s="189" t="s">
        <v>29</v>
      </c>
      <c r="G101" s="189" t="s">
        <v>102</v>
      </c>
      <c r="H101" s="366">
        <v>2</v>
      </c>
      <c r="I101" s="366" t="s">
        <v>29</v>
      </c>
      <c r="J101" s="366">
        <v>1</v>
      </c>
      <c r="K101" s="212" t="str">
        <f t="shared" si="16"/>
        <v>1</v>
      </c>
      <c r="L101" s="210" t="str">
        <f>VLOOKUP($B101,Invulblad!$A$11:$S$103,13,0)</f>
        <v>1</v>
      </c>
      <c r="M101" s="211">
        <f>IF(L101&lt;&gt;"",VLOOKUP($B101,Invulblad!$A$11:$S$103,7,0),"")</f>
        <v>1</v>
      </c>
      <c r="N101" s="209" t="s">
        <v>29</v>
      </c>
      <c r="O101" s="211">
        <f>IF(L101&lt;&gt;"",VLOOKUP($B101,Invulblad!$A$11:$S$103,9,0),"")</f>
        <v>0</v>
      </c>
      <c r="P101" s="212">
        <f>IF(L101&lt;&gt;"",IF(AND(M101=H101,O101=J101),10,IF(K101=L101,5,0)),"")</f>
        <v>5</v>
      </c>
    </row>
    <row r="102" spans="1:16">
      <c r="B102" s="208" t="s">
        <v>517</v>
      </c>
      <c r="C102" s="208"/>
      <c r="D102" s="208"/>
      <c r="E102" s="208"/>
      <c r="F102" s="208"/>
      <c r="G102" s="208"/>
      <c r="H102" s="208"/>
      <c r="I102" s="208"/>
      <c r="J102" s="208"/>
      <c r="K102" s="208"/>
      <c r="L102" s="214"/>
      <c r="M102" s="211"/>
      <c r="N102" s="209"/>
      <c r="O102" s="211"/>
    </row>
    <row r="103" spans="1:16">
      <c r="H103" s="363"/>
      <c r="I103" s="363"/>
      <c r="J103" s="363"/>
      <c r="M103" s="211"/>
      <c r="N103" s="209"/>
      <c r="O103" s="211"/>
    </row>
    <row r="104" spans="1:16">
      <c r="H104" s="363"/>
      <c r="I104" s="363"/>
      <c r="J104" s="363"/>
      <c r="M104" s="211"/>
      <c r="N104" s="209"/>
      <c r="O104" s="211"/>
    </row>
    <row r="105" spans="1:16">
      <c r="H105" s="363"/>
      <c r="I105" s="363"/>
      <c r="J105" s="363"/>
      <c r="M105" s="211"/>
      <c r="N105" s="209"/>
      <c r="O105" s="211"/>
    </row>
    <row r="106" spans="1:16">
      <c r="B106" s="201" t="s">
        <v>139</v>
      </c>
      <c r="H106" s="363"/>
      <c r="I106" s="363"/>
      <c r="J106" s="363"/>
      <c r="M106" s="211"/>
      <c r="N106" s="209"/>
      <c r="O106" s="211"/>
    </row>
    <row r="107" spans="1:16">
      <c r="B107" s="201"/>
      <c r="H107" s="363"/>
      <c r="I107" s="363"/>
      <c r="J107" s="363"/>
    </row>
    <row r="108" spans="1:16">
      <c r="A108" s="188" t="s">
        <v>65</v>
      </c>
      <c r="B108" s="189" t="s">
        <v>140</v>
      </c>
      <c r="C108" s="189" t="s">
        <v>141</v>
      </c>
      <c r="D108" s="201" t="s">
        <v>199</v>
      </c>
      <c r="H108" s="363"/>
      <c r="I108" s="363"/>
      <c r="J108" s="363"/>
      <c r="M108" s="211"/>
      <c r="N108" s="209"/>
      <c r="O108" s="211"/>
    </row>
    <row r="109" spans="1:16">
      <c r="A109" s="188" t="s">
        <v>66</v>
      </c>
      <c r="B109" s="189" t="s">
        <v>142</v>
      </c>
      <c r="C109" s="189" t="s">
        <v>141</v>
      </c>
      <c r="D109" s="201" t="s">
        <v>389</v>
      </c>
      <c r="H109" s="363"/>
      <c r="I109" s="363"/>
      <c r="J109" s="363"/>
    </row>
    <row r="110" spans="1:16">
      <c r="H110" s="363"/>
      <c r="I110" s="363"/>
      <c r="J110" s="363"/>
    </row>
    <row r="111" spans="1:16">
      <c r="H111" s="363"/>
      <c r="I111" s="363"/>
      <c r="J111" s="363"/>
    </row>
    <row r="112" spans="1:16">
      <c r="B112" s="201" t="s">
        <v>144</v>
      </c>
      <c r="H112" s="363"/>
      <c r="I112" s="363"/>
      <c r="J112" s="363"/>
    </row>
    <row r="113" spans="2:15" ht="15.75" thickBot="1">
      <c r="H113" s="363"/>
      <c r="I113" s="363"/>
      <c r="J113" s="363"/>
    </row>
    <row r="114" spans="2:15" ht="15.75" thickBot="1">
      <c r="B114" s="215" t="s">
        <v>145</v>
      </c>
      <c r="C114" s="215" t="s">
        <v>146</v>
      </c>
      <c r="D114" s="215" t="s">
        <v>147</v>
      </c>
      <c r="E114" s="215" t="s">
        <v>148</v>
      </c>
      <c r="H114" s="363"/>
      <c r="I114" s="363"/>
      <c r="J114" s="363"/>
    </row>
    <row r="115" spans="2:15" ht="15.75" thickBot="1">
      <c r="B115" s="216" t="s">
        <v>199</v>
      </c>
      <c r="C115" s="216" t="s">
        <v>163</v>
      </c>
      <c r="D115" s="216" t="s">
        <v>149</v>
      </c>
      <c r="E115" s="216" t="s">
        <v>149</v>
      </c>
      <c r="H115" s="363"/>
      <c r="I115" s="363"/>
      <c r="J115" s="363"/>
    </row>
    <row r="116" spans="2:15" ht="15.75" thickBot="1">
      <c r="B116" s="217" t="s">
        <v>389</v>
      </c>
      <c r="C116" s="217" t="s">
        <v>164</v>
      </c>
      <c r="D116" s="217" t="s">
        <v>153</v>
      </c>
      <c r="E116" s="217" t="s">
        <v>149</v>
      </c>
      <c r="H116" s="363"/>
      <c r="I116" s="363"/>
      <c r="J116" s="363"/>
    </row>
    <row r="117" spans="2:15" ht="15.75" thickBot="1">
      <c r="B117" s="216" t="s">
        <v>152</v>
      </c>
      <c r="C117" s="216" t="s">
        <v>151</v>
      </c>
      <c r="D117" s="216" t="s">
        <v>165</v>
      </c>
      <c r="E117" s="216" t="s">
        <v>156</v>
      </c>
      <c r="H117" s="363"/>
      <c r="I117" s="363"/>
      <c r="J117" s="363"/>
    </row>
    <row r="118" spans="2:15" ht="15.75" thickBot="1">
      <c r="B118" s="217" t="s">
        <v>185</v>
      </c>
      <c r="C118" s="217" t="s">
        <v>150</v>
      </c>
      <c r="D118" s="217" t="s">
        <v>180</v>
      </c>
      <c r="E118" s="217" t="s">
        <v>156</v>
      </c>
      <c r="H118" s="363"/>
      <c r="I118" s="363"/>
      <c r="J118" s="363"/>
    </row>
    <row r="119" spans="2:15">
      <c r="H119" s="363"/>
      <c r="I119" s="363"/>
      <c r="J119" s="363"/>
    </row>
    <row r="120" spans="2:15">
      <c r="H120" s="363"/>
      <c r="I120" s="363"/>
      <c r="J120" s="363"/>
    </row>
    <row r="121" spans="2:15">
      <c r="B121" s="201" t="s">
        <v>157</v>
      </c>
      <c r="H121" s="363"/>
      <c r="I121" s="363"/>
      <c r="J121" s="363"/>
    </row>
    <row r="122" spans="2:15">
      <c r="B122" s="195"/>
      <c r="H122" s="363"/>
      <c r="I122" s="363"/>
      <c r="J122" s="363"/>
    </row>
    <row r="123" spans="2:15">
      <c r="B123" s="195" t="s">
        <v>158</v>
      </c>
      <c r="H123" s="363"/>
      <c r="I123" s="363"/>
      <c r="J123" s="363"/>
    </row>
    <row r="124" spans="2:15">
      <c r="B124" s="195" t="s">
        <v>251</v>
      </c>
      <c r="H124" s="363"/>
      <c r="I124" s="363"/>
      <c r="J124" s="363"/>
    </row>
    <row r="125" spans="2:15">
      <c r="H125" s="363"/>
      <c r="I125" s="363"/>
      <c r="J125" s="363"/>
    </row>
    <row r="126" spans="2:15">
      <c r="H126" s="363"/>
      <c r="I126" s="363"/>
      <c r="J126" s="363"/>
    </row>
    <row r="127" spans="2:15">
      <c r="B127" s="218"/>
      <c r="C127" s="218"/>
      <c r="D127" s="218"/>
      <c r="E127" s="218"/>
      <c r="F127" s="218"/>
      <c r="G127" s="218"/>
      <c r="H127" s="364"/>
      <c r="I127" s="364"/>
      <c r="J127" s="364"/>
    </row>
    <row r="128" spans="2:15">
      <c r="H128" s="363"/>
      <c r="I128" s="363"/>
      <c r="J128" s="363"/>
      <c r="K128" s="218"/>
      <c r="L128" s="219"/>
      <c r="M128" s="218"/>
      <c r="N128" s="218"/>
      <c r="O128" s="218"/>
    </row>
    <row r="129" spans="1:10">
      <c r="H129" s="363"/>
      <c r="I129" s="363"/>
      <c r="J129" s="363"/>
    </row>
    <row r="130" spans="1:10">
      <c r="A130" s="189"/>
      <c r="B130" s="201" t="s">
        <v>160</v>
      </c>
      <c r="H130" s="363"/>
      <c r="I130" s="363"/>
      <c r="J130" s="363"/>
    </row>
    <row r="131" spans="1:10">
      <c r="H131" s="363"/>
      <c r="I131" s="363"/>
      <c r="J131" s="363"/>
    </row>
    <row r="132" spans="1:10">
      <c r="A132" s="188" t="s">
        <v>67</v>
      </c>
      <c r="B132" s="189" t="s">
        <v>140</v>
      </c>
      <c r="C132" s="189" t="s">
        <v>141</v>
      </c>
      <c r="D132" s="201" t="s">
        <v>138</v>
      </c>
      <c r="H132" s="363"/>
      <c r="I132" s="363"/>
      <c r="J132" s="363"/>
    </row>
    <row r="133" spans="1:10">
      <c r="A133" s="227" t="s">
        <v>68</v>
      </c>
      <c r="B133" s="189" t="s">
        <v>142</v>
      </c>
      <c r="C133" s="189" t="s">
        <v>141</v>
      </c>
      <c r="D133" s="201" t="s">
        <v>135</v>
      </c>
      <c r="H133" s="363"/>
      <c r="I133" s="363"/>
      <c r="J133" s="363"/>
    </row>
    <row r="134" spans="1:10">
      <c r="H134" s="363"/>
      <c r="I134" s="363"/>
      <c r="J134" s="363"/>
    </row>
    <row r="135" spans="1:10">
      <c r="H135" s="363"/>
      <c r="I135" s="363"/>
      <c r="J135" s="363"/>
    </row>
    <row r="136" spans="1:10">
      <c r="B136" s="201" t="s">
        <v>161</v>
      </c>
      <c r="H136" s="363"/>
      <c r="I136" s="363"/>
      <c r="J136" s="363"/>
    </row>
    <row r="137" spans="1:10" ht="15.75" thickBot="1">
      <c r="H137" s="363"/>
      <c r="I137" s="363"/>
      <c r="J137" s="363"/>
    </row>
    <row r="138" spans="1:10" ht="15.75" thickBot="1">
      <c r="B138" s="215" t="s">
        <v>145</v>
      </c>
      <c r="C138" s="215" t="s">
        <v>146</v>
      </c>
      <c r="D138" s="215" t="s">
        <v>147</v>
      </c>
      <c r="E138" s="215" t="s">
        <v>148</v>
      </c>
      <c r="H138" s="363"/>
      <c r="I138" s="363"/>
      <c r="J138" s="363"/>
    </row>
    <row r="139" spans="1:10" ht="15.75" thickBot="1">
      <c r="B139" s="216" t="s">
        <v>138</v>
      </c>
      <c r="C139" s="216" t="s">
        <v>172</v>
      </c>
      <c r="D139" s="216" t="s">
        <v>151</v>
      </c>
      <c r="E139" s="216" t="s">
        <v>155</v>
      </c>
      <c r="H139" s="363"/>
      <c r="I139" s="363"/>
      <c r="J139" s="363"/>
    </row>
    <row r="140" spans="1:10" ht="15.75" thickBot="1">
      <c r="B140" s="217" t="s">
        <v>135</v>
      </c>
      <c r="C140" s="217" t="s">
        <v>172</v>
      </c>
      <c r="D140" s="217" t="s">
        <v>153</v>
      </c>
      <c r="E140" s="217" t="s">
        <v>151</v>
      </c>
      <c r="H140" s="363"/>
      <c r="I140" s="363"/>
      <c r="J140" s="363"/>
    </row>
    <row r="141" spans="1:10" ht="15.75" thickBot="1">
      <c r="B141" s="216" t="s">
        <v>207</v>
      </c>
      <c r="C141" s="216" t="s">
        <v>151</v>
      </c>
      <c r="D141" s="216" t="s">
        <v>154</v>
      </c>
      <c r="E141" s="216" t="s">
        <v>153</v>
      </c>
      <c r="H141" s="363"/>
      <c r="I141" s="363"/>
      <c r="J141" s="363"/>
    </row>
    <row r="142" spans="1:10" ht="15.75" thickBot="1">
      <c r="B142" s="217" t="s">
        <v>179</v>
      </c>
      <c r="C142" s="217" t="s">
        <v>150</v>
      </c>
      <c r="D142" s="217" t="s">
        <v>180</v>
      </c>
      <c r="E142" s="217" t="s">
        <v>156</v>
      </c>
      <c r="H142" s="363"/>
      <c r="I142" s="363"/>
      <c r="J142" s="363"/>
    </row>
    <row r="143" spans="1:10">
      <c r="H143" s="363"/>
      <c r="I143" s="363"/>
      <c r="J143" s="363"/>
    </row>
    <row r="144" spans="1:10">
      <c r="H144" s="363"/>
      <c r="I144" s="363"/>
      <c r="J144" s="363"/>
    </row>
    <row r="145" spans="1:15">
      <c r="B145" s="201" t="s">
        <v>166</v>
      </c>
      <c r="H145" s="363"/>
      <c r="I145" s="363"/>
      <c r="J145" s="363"/>
    </row>
    <row r="146" spans="1:15">
      <c r="B146" s="195"/>
      <c r="H146" s="363"/>
      <c r="I146" s="363"/>
      <c r="J146" s="363"/>
    </row>
    <row r="147" spans="1:15">
      <c r="B147" s="195" t="s">
        <v>260</v>
      </c>
      <c r="H147" s="363"/>
      <c r="I147" s="363"/>
      <c r="J147" s="363"/>
    </row>
    <row r="148" spans="1:15">
      <c r="B148" s="195"/>
      <c r="H148" s="363"/>
      <c r="I148" s="363"/>
      <c r="J148" s="363"/>
    </row>
    <row r="149" spans="1:15">
      <c r="H149" s="363"/>
      <c r="I149" s="363"/>
      <c r="J149" s="363"/>
    </row>
    <row r="150" spans="1:15">
      <c r="H150" s="363"/>
      <c r="I150" s="363"/>
      <c r="J150" s="363"/>
    </row>
    <row r="151" spans="1:15">
      <c r="B151" s="218"/>
      <c r="C151" s="218"/>
      <c r="D151" s="218"/>
      <c r="E151" s="218"/>
      <c r="F151" s="218"/>
      <c r="G151" s="218"/>
      <c r="H151" s="364"/>
      <c r="I151" s="364"/>
      <c r="J151" s="364"/>
    </row>
    <row r="152" spans="1:15">
      <c r="H152" s="363"/>
      <c r="I152" s="363"/>
      <c r="J152" s="363"/>
      <c r="K152" s="218"/>
      <c r="L152" s="219"/>
      <c r="M152" s="218"/>
      <c r="N152" s="218"/>
      <c r="O152" s="218"/>
    </row>
    <row r="153" spans="1:15">
      <c r="H153" s="363"/>
      <c r="I153" s="363"/>
      <c r="J153" s="363"/>
    </row>
    <row r="154" spans="1:15">
      <c r="B154" s="201" t="s">
        <v>169</v>
      </c>
      <c r="H154" s="363"/>
      <c r="I154" s="363"/>
      <c r="J154" s="363"/>
    </row>
    <row r="155" spans="1:15">
      <c r="H155" s="363"/>
      <c r="I155" s="363"/>
      <c r="J155" s="363"/>
    </row>
    <row r="156" spans="1:15">
      <c r="A156" s="188" t="s">
        <v>69</v>
      </c>
      <c r="B156" s="189" t="s">
        <v>140</v>
      </c>
      <c r="C156" s="189" t="s">
        <v>141</v>
      </c>
      <c r="D156" s="201" t="s">
        <v>187</v>
      </c>
      <c r="H156" s="363"/>
      <c r="I156" s="363"/>
      <c r="J156" s="363"/>
    </row>
    <row r="157" spans="1:15">
      <c r="A157" s="188" t="s">
        <v>70</v>
      </c>
      <c r="B157" s="189" t="s">
        <v>142</v>
      </c>
      <c r="C157" s="189" t="s">
        <v>141</v>
      </c>
      <c r="D157" s="201" t="s">
        <v>390</v>
      </c>
      <c r="H157" s="363"/>
      <c r="I157" s="363"/>
      <c r="J157" s="363"/>
    </row>
    <row r="158" spans="1:15">
      <c r="H158" s="363"/>
      <c r="I158" s="363"/>
      <c r="J158" s="363"/>
    </row>
    <row r="159" spans="1:15">
      <c r="H159" s="363"/>
      <c r="I159" s="363"/>
      <c r="J159" s="363"/>
    </row>
    <row r="160" spans="1:15">
      <c r="B160" s="201" t="s">
        <v>170</v>
      </c>
      <c r="H160" s="363"/>
      <c r="I160" s="363"/>
      <c r="J160" s="363"/>
    </row>
    <row r="161" spans="2:15" ht="15.75" thickBot="1">
      <c r="H161" s="363"/>
      <c r="I161" s="363"/>
      <c r="J161" s="363"/>
    </row>
    <row r="162" spans="2:15" ht="15.75" thickBot="1">
      <c r="B162" s="215" t="s">
        <v>145</v>
      </c>
      <c r="C162" s="215" t="s">
        <v>146</v>
      </c>
      <c r="D162" s="215" t="s">
        <v>147</v>
      </c>
      <c r="E162" s="215" t="s">
        <v>148</v>
      </c>
      <c r="H162" s="363"/>
      <c r="I162" s="363"/>
      <c r="J162" s="363"/>
    </row>
    <row r="163" spans="2:15" ht="15.75" thickBot="1">
      <c r="B163" s="216" t="s">
        <v>390</v>
      </c>
      <c r="C163" s="216" t="s">
        <v>172</v>
      </c>
      <c r="D163" s="216" t="s">
        <v>153</v>
      </c>
      <c r="E163" s="216" t="s">
        <v>151</v>
      </c>
      <c r="H163" s="363"/>
      <c r="I163" s="363"/>
      <c r="J163" s="363"/>
    </row>
    <row r="164" spans="2:15" ht="15.75" thickBot="1">
      <c r="B164" s="217" t="s">
        <v>106</v>
      </c>
      <c r="C164" s="217" t="s">
        <v>150</v>
      </c>
      <c r="D164" s="217" t="s">
        <v>171</v>
      </c>
      <c r="E164" s="217" t="s">
        <v>153</v>
      </c>
      <c r="H164" s="363"/>
      <c r="I164" s="363"/>
      <c r="J164" s="363"/>
    </row>
    <row r="165" spans="2:15" ht="15.75" thickBot="1">
      <c r="B165" s="216" t="s">
        <v>200</v>
      </c>
      <c r="C165" s="216" t="s">
        <v>151</v>
      </c>
      <c r="D165" s="216" t="s">
        <v>165</v>
      </c>
      <c r="E165" s="216" t="s">
        <v>153</v>
      </c>
      <c r="H165" s="363"/>
      <c r="I165" s="363"/>
      <c r="J165" s="363"/>
    </row>
    <row r="166" spans="2:15" ht="15.75" thickBot="1">
      <c r="B166" s="217" t="s">
        <v>187</v>
      </c>
      <c r="C166" s="217" t="s">
        <v>172</v>
      </c>
      <c r="D166" s="217" t="s">
        <v>151</v>
      </c>
      <c r="E166" s="217" t="s">
        <v>155</v>
      </c>
      <c r="H166" s="363"/>
      <c r="I166" s="363"/>
      <c r="J166" s="363"/>
    </row>
    <row r="167" spans="2:15">
      <c r="H167" s="363"/>
      <c r="I167" s="363"/>
      <c r="J167" s="363"/>
    </row>
    <row r="168" spans="2:15">
      <c r="H168" s="363"/>
      <c r="I168" s="363"/>
      <c r="J168" s="363"/>
    </row>
    <row r="169" spans="2:15">
      <c r="B169" s="201" t="s">
        <v>173</v>
      </c>
      <c r="H169" s="363"/>
      <c r="I169" s="363"/>
      <c r="J169" s="363"/>
    </row>
    <row r="170" spans="2:15">
      <c r="B170" s="195"/>
      <c r="H170" s="363"/>
      <c r="I170" s="363"/>
      <c r="J170" s="363"/>
    </row>
    <row r="171" spans="2:15">
      <c r="B171" s="195" t="s">
        <v>238</v>
      </c>
      <c r="H171" s="363"/>
      <c r="I171" s="363"/>
      <c r="J171" s="363"/>
    </row>
    <row r="172" spans="2:15">
      <c r="B172" s="195"/>
      <c r="H172" s="363"/>
      <c r="I172" s="363"/>
      <c r="J172" s="363"/>
    </row>
    <row r="173" spans="2:15">
      <c r="H173" s="363"/>
      <c r="I173" s="363"/>
      <c r="J173" s="363"/>
    </row>
    <row r="174" spans="2:15">
      <c r="H174" s="363"/>
      <c r="I174" s="363"/>
      <c r="J174" s="363"/>
    </row>
    <row r="175" spans="2:15">
      <c r="B175" s="218"/>
      <c r="C175" s="218"/>
      <c r="D175" s="218"/>
      <c r="E175" s="218"/>
      <c r="F175" s="218"/>
      <c r="G175" s="218"/>
      <c r="H175" s="364"/>
      <c r="I175" s="364"/>
      <c r="J175" s="364"/>
    </row>
    <row r="176" spans="2:15">
      <c r="H176" s="363"/>
      <c r="I176" s="363"/>
      <c r="J176" s="363"/>
      <c r="K176" s="218"/>
      <c r="L176" s="219"/>
      <c r="M176" s="218"/>
      <c r="N176" s="218"/>
      <c r="O176" s="218"/>
    </row>
    <row r="177" spans="1:10">
      <c r="H177" s="363"/>
      <c r="I177" s="363"/>
      <c r="J177" s="363"/>
    </row>
    <row r="178" spans="1:10">
      <c r="B178" s="201" t="s">
        <v>176</v>
      </c>
      <c r="H178" s="363"/>
      <c r="I178" s="363"/>
      <c r="J178" s="363"/>
    </row>
    <row r="179" spans="1:10">
      <c r="H179" s="363"/>
      <c r="I179" s="363"/>
      <c r="J179" s="363"/>
    </row>
    <row r="180" spans="1:10">
      <c r="A180" s="188" t="s">
        <v>71</v>
      </c>
      <c r="B180" s="189" t="s">
        <v>140</v>
      </c>
      <c r="C180" s="189" t="s">
        <v>141</v>
      </c>
      <c r="D180" s="201" t="s">
        <v>193</v>
      </c>
      <c r="H180" s="363"/>
      <c r="I180" s="363"/>
      <c r="J180" s="363"/>
    </row>
    <row r="181" spans="1:10">
      <c r="A181" s="188" t="s">
        <v>72</v>
      </c>
      <c r="B181" s="189" t="s">
        <v>142</v>
      </c>
      <c r="C181" s="189" t="s">
        <v>141</v>
      </c>
      <c r="D181" s="201" t="s">
        <v>97</v>
      </c>
      <c r="H181" s="363"/>
      <c r="I181" s="363"/>
      <c r="J181" s="363"/>
    </row>
    <row r="182" spans="1:10">
      <c r="H182" s="363"/>
      <c r="I182" s="363"/>
      <c r="J182" s="363"/>
    </row>
    <row r="183" spans="1:10">
      <c r="H183" s="363"/>
      <c r="I183" s="363"/>
      <c r="J183" s="363"/>
    </row>
    <row r="184" spans="1:10">
      <c r="B184" s="201" t="s">
        <v>178</v>
      </c>
      <c r="H184" s="363"/>
      <c r="I184" s="363"/>
      <c r="J184" s="363"/>
    </row>
    <row r="185" spans="1:10" ht="15.75" thickBot="1">
      <c r="H185" s="363"/>
      <c r="I185" s="363"/>
      <c r="J185" s="363"/>
    </row>
    <row r="186" spans="1:10" ht="15.75" thickBot="1">
      <c r="B186" s="215" t="s">
        <v>145</v>
      </c>
      <c r="C186" s="215" t="s">
        <v>146</v>
      </c>
      <c r="D186" s="215" t="s">
        <v>147</v>
      </c>
      <c r="E186" s="215" t="s">
        <v>148</v>
      </c>
      <c r="H186" s="363"/>
      <c r="I186" s="363"/>
      <c r="J186" s="363"/>
    </row>
    <row r="187" spans="1:10" ht="15.75" thickBot="1">
      <c r="B187" s="216" t="s">
        <v>97</v>
      </c>
      <c r="C187" s="216" t="s">
        <v>164</v>
      </c>
      <c r="D187" s="216" t="s">
        <v>151</v>
      </c>
      <c r="E187" s="216" t="s">
        <v>149</v>
      </c>
      <c r="H187" s="363"/>
      <c r="I187" s="363"/>
      <c r="J187" s="363"/>
    </row>
    <row r="188" spans="1:10" ht="15.75" thickBot="1">
      <c r="B188" s="217" t="s">
        <v>391</v>
      </c>
      <c r="C188" s="217" t="s">
        <v>150</v>
      </c>
      <c r="D188" s="217" t="s">
        <v>162</v>
      </c>
      <c r="E188" s="217" t="s">
        <v>150</v>
      </c>
      <c r="H188" s="363"/>
      <c r="I188" s="363"/>
      <c r="J188" s="363"/>
    </row>
    <row r="189" spans="1:10" ht="15.75" thickBot="1">
      <c r="B189" s="216" t="s">
        <v>109</v>
      </c>
      <c r="C189" s="216" t="s">
        <v>151</v>
      </c>
      <c r="D189" s="216" t="s">
        <v>165</v>
      </c>
      <c r="E189" s="216" t="s">
        <v>153</v>
      </c>
      <c r="H189" s="363"/>
      <c r="I189" s="363"/>
      <c r="J189" s="363"/>
    </row>
    <row r="190" spans="1:10" ht="15.75" thickBot="1">
      <c r="B190" s="217" t="s">
        <v>193</v>
      </c>
      <c r="C190" s="217" t="s">
        <v>163</v>
      </c>
      <c r="D190" s="217" t="s">
        <v>149</v>
      </c>
      <c r="E190" s="217" t="s">
        <v>155</v>
      </c>
      <c r="H190" s="363"/>
      <c r="I190" s="363"/>
      <c r="J190" s="363"/>
    </row>
    <row r="191" spans="1:10">
      <c r="H191" s="363"/>
      <c r="I191" s="363"/>
      <c r="J191" s="363"/>
    </row>
    <row r="192" spans="1:10">
      <c r="H192" s="363"/>
      <c r="I192" s="363"/>
      <c r="J192" s="363"/>
    </row>
    <row r="193" spans="1:15">
      <c r="B193" s="201" t="s">
        <v>182</v>
      </c>
      <c r="H193" s="363"/>
      <c r="I193" s="363"/>
      <c r="J193" s="363"/>
    </row>
    <row r="194" spans="1:15">
      <c r="B194" s="195"/>
      <c r="H194" s="363"/>
      <c r="I194" s="363"/>
      <c r="J194" s="363"/>
    </row>
    <row r="195" spans="1:15">
      <c r="B195" s="195" t="s">
        <v>239</v>
      </c>
      <c r="H195" s="363"/>
      <c r="I195" s="363"/>
      <c r="J195" s="363"/>
    </row>
    <row r="196" spans="1:15">
      <c r="B196" s="195" t="s">
        <v>240</v>
      </c>
      <c r="H196" s="363"/>
      <c r="I196" s="363"/>
      <c r="J196" s="363"/>
    </row>
    <row r="197" spans="1:15">
      <c r="H197" s="363"/>
      <c r="I197" s="363"/>
      <c r="J197" s="363"/>
    </row>
    <row r="198" spans="1:15">
      <c r="H198" s="363"/>
      <c r="I198" s="363"/>
      <c r="J198" s="363"/>
    </row>
    <row r="199" spans="1:15">
      <c r="B199" s="218"/>
      <c r="C199" s="218"/>
      <c r="D199" s="218"/>
      <c r="E199" s="218"/>
      <c r="F199" s="218"/>
      <c r="G199" s="218"/>
      <c r="H199" s="364"/>
      <c r="I199" s="364"/>
      <c r="J199" s="364"/>
      <c r="K199" s="218"/>
      <c r="L199" s="219"/>
      <c r="M199" s="218"/>
      <c r="N199" s="218"/>
      <c r="O199" s="218"/>
    </row>
    <row r="200" spans="1:15">
      <c r="H200" s="363"/>
      <c r="I200" s="363"/>
      <c r="J200" s="363"/>
    </row>
    <row r="201" spans="1:15">
      <c r="H201" s="363"/>
      <c r="I201" s="363"/>
      <c r="J201" s="363"/>
    </row>
    <row r="202" spans="1:15">
      <c r="B202" s="201" t="s">
        <v>184</v>
      </c>
      <c r="H202" s="363"/>
      <c r="I202" s="363"/>
      <c r="J202" s="363"/>
    </row>
    <row r="203" spans="1:15">
      <c r="H203" s="363"/>
      <c r="I203" s="363"/>
      <c r="J203" s="363"/>
    </row>
    <row r="204" spans="1:15">
      <c r="A204" s="188" t="s">
        <v>73</v>
      </c>
      <c r="B204" s="189" t="s">
        <v>140</v>
      </c>
      <c r="C204" s="189" t="s">
        <v>141</v>
      </c>
      <c r="D204" s="201" t="s">
        <v>143</v>
      </c>
      <c r="H204" s="363"/>
      <c r="I204" s="363"/>
      <c r="J204" s="363"/>
    </row>
    <row r="205" spans="1:15">
      <c r="A205" s="188" t="s">
        <v>74</v>
      </c>
      <c r="B205" s="189" t="s">
        <v>142</v>
      </c>
      <c r="C205" s="189" t="s">
        <v>141</v>
      </c>
      <c r="D205" s="201" t="s">
        <v>209</v>
      </c>
      <c r="H205" s="363"/>
      <c r="I205" s="363"/>
      <c r="J205" s="363"/>
    </row>
    <row r="206" spans="1:15">
      <c r="H206" s="363"/>
      <c r="I206" s="363"/>
      <c r="J206" s="363"/>
    </row>
    <row r="207" spans="1:15">
      <c r="H207" s="363"/>
      <c r="I207" s="363"/>
      <c r="J207" s="363"/>
    </row>
    <row r="208" spans="1:15">
      <c r="B208" s="201" t="s">
        <v>186</v>
      </c>
      <c r="H208" s="363"/>
      <c r="I208" s="363"/>
      <c r="J208" s="363"/>
    </row>
    <row r="209" spans="2:15" ht="15.75" thickBot="1">
      <c r="H209" s="363"/>
      <c r="I209" s="363"/>
      <c r="J209" s="363"/>
    </row>
    <row r="210" spans="2:15" ht="15.75" thickBot="1">
      <c r="B210" s="215" t="s">
        <v>145</v>
      </c>
      <c r="C210" s="215" t="s">
        <v>146</v>
      </c>
      <c r="D210" s="215" t="s">
        <v>147</v>
      </c>
      <c r="E210" s="215" t="s">
        <v>148</v>
      </c>
      <c r="H210" s="363"/>
      <c r="I210" s="363"/>
      <c r="J210" s="363"/>
    </row>
    <row r="211" spans="2:15" ht="15.75" thickBot="1">
      <c r="B211" s="216" t="s">
        <v>209</v>
      </c>
      <c r="C211" s="216" t="s">
        <v>164</v>
      </c>
      <c r="D211" s="216" t="s">
        <v>153</v>
      </c>
      <c r="E211" s="216" t="s">
        <v>151</v>
      </c>
      <c r="H211" s="363"/>
      <c r="I211" s="363"/>
      <c r="J211" s="363"/>
    </row>
    <row r="212" spans="2:15" ht="15.75" thickBot="1">
      <c r="B212" s="217" t="s">
        <v>392</v>
      </c>
      <c r="C212" s="217" t="s">
        <v>151</v>
      </c>
      <c r="D212" s="217" t="s">
        <v>165</v>
      </c>
      <c r="E212" s="217" t="s">
        <v>151</v>
      </c>
      <c r="H212" s="363"/>
      <c r="I212" s="363"/>
      <c r="J212" s="363"/>
    </row>
    <row r="213" spans="2:15" ht="15.75" thickBot="1">
      <c r="B213" s="216" t="s">
        <v>143</v>
      </c>
      <c r="C213" s="216" t="s">
        <v>163</v>
      </c>
      <c r="D213" s="216" t="s">
        <v>149</v>
      </c>
      <c r="E213" s="216" t="s">
        <v>155</v>
      </c>
      <c r="H213" s="363"/>
      <c r="I213" s="363"/>
      <c r="J213" s="363"/>
    </row>
    <row r="214" spans="2:15" ht="15.75" thickBot="1">
      <c r="B214" s="217" t="s">
        <v>210</v>
      </c>
      <c r="C214" s="217" t="s">
        <v>150</v>
      </c>
      <c r="D214" s="217" t="s">
        <v>180</v>
      </c>
      <c r="E214" s="217" t="s">
        <v>156</v>
      </c>
      <c r="H214" s="363"/>
      <c r="I214" s="363"/>
      <c r="J214" s="363"/>
    </row>
    <row r="215" spans="2:15">
      <c r="H215" s="363"/>
      <c r="I215" s="363"/>
      <c r="J215" s="363"/>
    </row>
    <row r="216" spans="2:15">
      <c r="H216" s="363"/>
      <c r="I216" s="363"/>
      <c r="J216" s="363"/>
    </row>
    <row r="217" spans="2:15">
      <c r="B217" s="201" t="s">
        <v>189</v>
      </c>
      <c r="H217" s="363"/>
      <c r="I217" s="363"/>
      <c r="J217" s="363"/>
    </row>
    <row r="218" spans="2:15">
      <c r="B218" s="195"/>
      <c r="H218" s="363"/>
      <c r="I218" s="363"/>
      <c r="J218" s="363"/>
    </row>
    <row r="219" spans="2:15">
      <c r="B219" s="195" t="s">
        <v>190</v>
      </c>
      <c r="H219" s="363"/>
      <c r="I219" s="363"/>
      <c r="J219" s="363"/>
    </row>
    <row r="220" spans="2:15">
      <c r="B220" s="195" t="s">
        <v>191</v>
      </c>
      <c r="H220" s="363"/>
      <c r="I220" s="363"/>
      <c r="J220" s="363"/>
    </row>
    <row r="221" spans="2:15">
      <c r="H221" s="363"/>
      <c r="I221" s="363"/>
      <c r="J221" s="363"/>
    </row>
    <row r="222" spans="2:15">
      <c r="H222" s="363"/>
      <c r="I222" s="363"/>
      <c r="J222" s="363"/>
    </row>
    <row r="223" spans="2:15">
      <c r="B223" s="218"/>
      <c r="C223" s="218"/>
      <c r="D223" s="218"/>
      <c r="E223" s="218"/>
      <c r="F223" s="218"/>
      <c r="G223" s="218"/>
      <c r="H223" s="364"/>
      <c r="I223" s="364"/>
      <c r="J223" s="364"/>
      <c r="K223" s="218"/>
      <c r="L223" s="219"/>
      <c r="M223" s="218"/>
      <c r="N223" s="218"/>
      <c r="O223" s="218"/>
    </row>
    <row r="224" spans="2:15">
      <c r="H224" s="363"/>
      <c r="I224" s="363"/>
      <c r="J224" s="363"/>
    </row>
    <row r="225" spans="1:10">
      <c r="H225" s="363"/>
      <c r="I225" s="363"/>
      <c r="J225" s="363"/>
    </row>
    <row r="226" spans="1:10">
      <c r="B226" s="201" t="s">
        <v>192</v>
      </c>
      <c r="H226" s="363"/>
      <c r="I226" s="363"/>
      <c r="J226" s="363"/>
    </row>
    <row r="227" spans="1:10">
      <c r="H227" s="363"/>
      <c r="I227" s="363"/>
      <c r="J227" s="363"/>
    </row>
    <row r="228" spans="1:10">
      <c r="A228" s="188" t="s">
        <v>75</v>
      </c>
      <c r="B228" s="189" t="s">
        <v>140</v>
      </c>
      <c r="C228" s="189" t="s">
        <v>141</v>
      </c>
      <c r="D228" s="201" t="s">
        <v>102</v>
      </c>
      <c r="H228" s="363"/>
      <c r="I228" s="363"/>
      <c r="J228" s="363"/>
    </row>
    <row r="229" spans="1:10">
      <c r="A229" s="188" t="s">
        <v>76</v>
      </c>
      <c r="B229" s="189" t="s">
        <v>142</v>
      </c>
      <c r="C229" s="189" t="s">
        <v>141</v>
      </c>
      <c r="D229" s="201" t="s">
        <v>572</v>
      </c>
      <c r="H229" s="363"/>
      <c r="I229" s="363"/>
      <c r="J229" s="363"/>
    </row>
    <row r="230" spans="1:10">
      <c r="H230" s="363"/>
      <c r="I230" s="363"/>
      <c r="J230" s="363"/>
    </row>
    <row r="231" spans="1:10">
      <c r="H231" s="363"/>
      <c r="I231" s="363"/>
      <c r="J231" s="363"/>
    </row>
    <row r="232" spans="1:10">
      <c r="B232" s="201" t="s">
        <v>194</v>
      </c>
      <c r="H232" s="363"/>
      <c r="I232" s="363"/>
      <c r="J232" s="363"/>
    </row>
    <row r="233" spans="1:10" ht="15.75" thickBot="1">
      <c r="H233" s="363"/>
      <c r="I233" s="363"/>
      <c r="J233" s="363"/>
    </row>
    <row r="234" spans="1:10" ht="15.75" thickBot="1">
      <c r="B234" s="215" t="s">
        <v>145</v>
      </c>
      <c r="C234" s="215" t="s">
        <v>146</v>
      </c>
      <c r="D234" s="215" t="s">
        <v>147</v>
      </c>
      <c r="E234" s="215" t="s">
        <v>148</v>
      </c>
      <c r="H234" s="363"/>
      <c r="I234" s="363"/>
      <c r="J234" s="363"/>
    </row>
    <row r="235" spans="1:10" ht="15.75" thickBot="1">
      <c r="B235" s="216" t="s">
        <v>102</v>
      </c>
      <c r="C235" s="216" t="s">
        <v>163</v>
      </c>
      <c r="D235" s="216" t="s">
        <v>164</v>
      </c>
      <c r="E235" s="216" t="s">
        <v>164</v>
      </c>
      <c r="H235" s="363"/>
      <c r="I235" s="363"/>
      <c r="J235" s="363"/>
    </row>
    <row r="236" spans="1:10" ht="15.75" thickBot="1">
      <c r="B236" s="217" t="s">
        <v>572</v>
      </c>
      <c r="C236" s="217" t="s">
        <v>164</v>
      </c>
      <c r="D236" s="217" t="s">
        <v>150</v>
      </c>
      <c r="E236" s="217" t="s">
        <v>149</v>
      </c>
      <c r="H236" s="363"/>
      <c r="I236" s="363"/>
      <c r="J236" s="363"/>
    </row>
    <row r="237" spans="1:10" ht="15.75" thickBot="1">
      <c r="B237" s="216" t="s">
        <v>394</v>
      </c>
      <c r="C237" s="216" t="s">
        <v>150</v>
      </c>
      <c r="D237" s="216" t="s">
        <v>180</v>
      </c>
      <c r="E237" s="216" t="s">
        <v>156</v>
      </c>
      <c r="H237" s="363"/>
      <c r="I237" s="363"/>
      <c r="J237" s="363"/>
    </row>
    <row r="238" spans="1:10" ht="15.75" thickBot="1">
      <c r="B238" s="217" t="s">
        <v>108</v>
      </c>
      <c r="C238" s="217" t="s">
        <v>151</v>
      </c>
      <c r="D238" s="217" t="s">
        <v>165</v>
      </c>
      <c r="E238" s="217" t="s">
        <v>153</v>
      </c>
      <c r="H238" s="363"/>
      <c r="I238" s="363"/>
      <c r="J238" s="363"/>
    </row>
    <row r="239" spans="1:10">
      <c r="H239" s="363"/>
      <c r="I239" s="363"/>
      <c r="J239" s="363"/>
    </row>
    <row r="240" spans="1:10">
      <c r="H240" s="363"/>
      <c r="I240" s="363"/>
      <c r="J240" s="363"/>
    </row>
    <row r="241" spans="1:15">
      <c r="B241" s="201" t="s">
        <v>195</v>
      </c>
      <c r="H241" s="363"/>
      <c r="I241" s="363"/>
      <c r="J241" s="363"/>
    </row>
    <row r="242" spans="1:15">
      <c r="B242" s="195"/>
      <c r="H242" s="363"/>
      <c r="I242" s="363"/>
      <c r="J242" s="363"/>
    </row>
    <row r="243" spans="1:15">
      <c r="B243" s="195" t="s">
        <v>196</v>
      </c>
      <c r="H243" s="363"/>
      <c r="I243" s="363"/>
      <c r="J243" s="363"/>
    </row>
    <row r="244" spans="1:15">
      <c r="B244" s="195" t="s">
        <v>197</v>
      </c>
      <c r="H244" s="363"/>
      <c r="I244" s="363"/>
      <c r="J244" s="363"/>
    </row>
    <row r="245" spans="1:15">
      <c r="H245" s="363"/>
      <c r="I245" s="363"/>
      <c r="J245" s="363"/>
    </row>
    <row r="246" spans="1:15">
      <c r="H246" s="363"/>
      <c r="I246" s="363"/>
      <c r="J246" s="363"/>
    </row>
    <row r="247" spans="1:15">
      <c r="B247" s="218"/>
      <c r="C247" s="218"/>
      <c r="D247" s="218"/>
      <c r="E247" s="218"/>
      <c r="F247" s="218"/>
      <c r="G247" s="218"/>
      <c r="H247" s="364"/>
      <c r="I247" s="364"/>
      <c r="J247" s="364"/>
      <c r="K247" s="218"/>
      <c r="L247" s="219"/>
      <c r="M247" s="218"/>
      <c r="N247" s="218"/>
      <c r="O247" s="218"/>
    </row>
    <row r="248" spans="1:15">
      <c r="H248" s="363"/>
      <c r="I248" s="363"/>
      <c r="J248" s="363"/>
    </row>
    <row r="249" spans="1:15">
      <c r="H249" s="363"/>
      <c r="I249" s="363"/>
      <c r="J249" s="363"/>
    </row>
    <row r="250" spans="1:15">
      <c r="B250" s="201" t="s">
        <v>198</v>
      </c>
      <c r="H250" s="363"/>
      <c r="I250" s="363"/>
      <c r="J250" s="363"/>
    </row>
    <row r="251" spans="1:15">
      <c r="H251" s="363"/>
      <c r="I251" s="363"/>
      <c r="J251" s="363"/>
    </row>
    <row r="252" spans="1:15">
      <c r="A252" s="188" t="s">
        <v>77</v>
      </c>
      <c r="B252" s="189" t="s">
        <v>140</v>
      </c>
      <c r="C252" s="189" t="s">
        <v>141</v>
      </c>
      <c r="D252" s="201" t="s">
        <v>202</v>
      </c>
      <c r="H252" s="363"/>
      <c r="I252" s="363"/>
      <c r="J252" s="363"/>
    </row>
    <row r="253" spans="1:15">
      <c r="A253" s="188" t="s">
        <v>78</v>
      </c>
      <c r="B253" s="189" t="s">
        <v>142</v>
      </c>
      <c r="C253" s="189" t="s">
        <v>141</v>
      </c>
      <c r="D253" s="201" t="s">
        <v>177</v>
      </c>
      <c r="H253" s="363"/>
      <c r="I253" s="363"/>
      <c r="J253" s="363"/>
    </row>
    <row r="254" spans="1:15">
      <c r="H254" s="363"/>
      <c r="I254" s="363"/>
      <c r="J254" s="363"/>
    </row>
    <row r="255" spans="1:15">
      <c r="H255" s="363"/>
      <c r="I255" s="363"/>
      <c r="J255" s="363"/>
    </row>
    <row r="256" spans="1:15">
      <c r="B256" s="201" t="s">
        <v>201</v>
      </c>
      <c r="H256" s="363"/>
      <c r="I256" s="363"/>
      <c r="J256" s="363"/>
    </row>
    <row r="257" spans="2:15" ht="15.75" thickBot="1">
      <c r="H257" s="363"/>
      <c r="I257" s="363"/>
      <c r="J257" s="363"/>
    </row>
    <row r="258" spans="2:15" ht="15.75" thickBot="1">
      <c r="B258" s="215" t="s">
        <v>145</v>
      </c>
      <c r="C258" s="215" t="s">
        <v>146</v>
      </c>
      <c r="D258" s="215" t="s">
        <v>147</v>
      </c>
      <c r="E258" s="215" t="s">
        <v>148</v>
      </c>
      <c r="H258" s="363"/>
      <c r="I258" s="363"/>
      <c r="J258" s="363"/>
    </row>
    <row r="259" spans="2:15" ht="15.75" thickBot="1">
      <c r="B259" s="216" t="s">
        <v>177</v>
      </c>
      <c r="C259" s="216" t="s">
        <v>155</v>
      </c>
      <c r="D259" s="216" t="s">
        <v>153</v>
      </c>
      <c r="E259" s="216" t="s">
        <v>149</v>
      </c>
      <c r="H259" s="363"/>
      <c r="I259" s="363"/>
      <c r="J259" s="363"/>
    </row>
    <row r="260" spans="2:15" ht="15.75" thickBot="1">
      <c r="B260" s="217" t="s">
        <v>202</v>
      </c>
      <c r="C260" s="217" t="s">
        <v>172</v>
      </c>
      <c r="D260" s="217" t="s">
        <v>153</v>
      </c>
      <c r="E260" s="217" t="s">
        <v>149</v>
      </c>
      <c r="H260" s="363"/>
      <c r="I260" s="363"/>
      <c r="J260" s="363"/>
    </row>
    <row r="261" spans="2:15" ht="15.75" thickBot="1">
      <c r="B261" s="216" t="s">
        <v>181</v>
      </c>
      <c r="C261" s="216" t="s">
        <v>151</v>
      </c>
      <c r="D261" s="216" t="s">
        <v>165</v>
      </c>
      <c r="E261" s="216" t="s">
        <v>151</v>
      </c>
      <c r="H261" s="363"/>
      <c r="I261" s="363"/>
      <c r="J261" s="363"/>
    </row>
    <row r="262" spans="2:15" ht="15.75" thickBot="1">
      <c r="B262" s="217" t="s">
        <v>32</v>
      </c>
      <c r="C262" s="217" t="s">
        <v>156</v>
      </c>
      <c r="D262" s="217" t="s">
        <v>165</v>
      </c>
      <c r="E262" s="217" t="s">
        <v>153</v>
      </c>
      <c r="H262" s="363"/>
      <c r="I262" s="363"/>
      <c r="J262" s="363"/>
    </row>
    <row r="263" spans="2:15">
      <c r="H263" s="363"/>
      <c r="I263" s="363"/>
      <c r="J263" s="363"/>
    </row>
    <row r="264" spans="2:15">
      <c r="H264" s="363"/>
      <c r="I264" s="363"/>
      <c r="J264" s="363"/>
    </row>
    <row r="265" spans="2:15">
      <c r="B265" s="201" t="s">
        <v>203</v>
      </c>
      <c r="H265" s="363"/>
      <c r="I265" s="363"/>
      <c r="J265" s="363"/>
    </row>
    <row r="266" spans="2:15">
      <c r="B266" s="195"/>
      <c r="H266" s="363"/>
      <c r="I266" s="363"/>
      <c r="J266" s="363"/>
    </row>
    <row r="267" spans="2:15">
      <c r="B267" s="195" t="s">
        <v>204</v>
      </c>
      <c r="H267" s="363"/>
      <c r="I267" s="363"/>
      <c r="J267" s="363"/>
    </row>
    <row r="268" spans="2:15">
      <c r="B268" s="195" t="s">
        <v>205</v>
      </c>
      <c r="H268" s="363"/>
      <c r="I268" s="363"/>
      <c r="J268" s="363"/>
    </row>
    <row r="269" spans="2:15">
      <c r="H269" s="363"/>
      <c r="I269" s="363"/>
      <c r="J269" s="363"/>
    </row>
    <row r="270" spans="2:15">
      <c r="B270" s="218"/>
      <c r="C270" s="218"/>
      <c r="D270" s="218"/>
      <c r="E270" s="218"/>
      <c r="F270" s="218"/>
      <c r="G270" s="218"/>
      <c r="H270" s="363"/>
      <c r="I270" s="363"/>
      <c r="J270" s="363"/>
    </row>
    <row r="271" spans="2:15">
      <c r="H271" s="364"/>
      <c r="I271" s="364"/>
      <c r="J271" s="364"/>
      <c r="K271" s="218"/>
      <c r="L271" s="219"/>
      <c r="M271" s="218"/>
      <c r="N271" s="218"/>
      <c r="O271" s="218"/>
    </row>
    <row r="272" spans="2:15">
      <c r="H272" s="363"/>
      <c r="I272" s="363"/>
      <c r="J272" s="363"/>
      <c r="K272" s="334"/>
      <c r="L272" s="335"/>
      <c r="M272" s="334"/>
      <c r="N272" s="334"/>
      <c r="O272" s="334"/>
    </row>
    <row r="273" spans="1:10">
      <c r="H273" s="363"/>
      <c r="I273" s="363"/>
      <c r="J273" s="363"/>
    </row>
    <row r="274" spans="1:10">
      <c r="B274" s="201" t="s">
        <v>206</v>
      </c>
      <c r="H274" s="363"/>
      <c r="I274" s="363"/>
      <c r="J274" s="363"/>
    </row>
    <row r="275" spans="1:10">
      <c r="H275" s="363"/>
      <c r="I275" s="363"/>
      <c r="J275" s="363"/>
    </row>
    <row r="276" spans="1:10">
      <c r="A276" s="188" t="s">
        <v>79</v>
      </c>
      <c r="B276" s="189" t="s">
        <v>140</v>
      </c>
      <c r="C276" s="189" t="s">
        <v>141</v>
      </c>
      <c r="D276" s="201" t="s">
        <v>395</v>
      </c>
      <c r="H276" s="363"/>
      <c r="I276" s="363"/>
      <c r="J276" s="363"/>
    </row>
    <row r="277" spans="1:10">
      <c r="A277" s="188" t="s">
        <v>80</v>
      </c>
      <c r="B277" s="189" t="s">
        <v>142</v>
      </c>
      <c r="C277" s="189" t="s">
        <v>141</v>
      </c>
      <c r="D277" s="201" t="s">
        <v>104</v>
      </c>
      <c r="H277" s="363"/>
      <c r="I277" s="363"/>
      <c r="J277" s="363"/>
    </row>
    <row r="278" spans="1:10">
      <c r="A278" s="188" t="s">
        <v>80</v>
      </c>
      <c r="H278" s="363"/>
      <c r="I278" s="363"/>
      <c r="J278" s="363"/>
    </row>
    <row r="279" spans="1:10">
      <c r="H279" s="363"/>
      <c r="I279" s="363"/>
      <c r="J279" s="363"/>
    </row>
    <row r="280" spans="1:10">
      <c r="B280" s="201" t="s">
        <v>208</v>
      </c>
      <c r="H280" s="363"/>
      <c r="I280" s="363"/>
      <c r="J280" s="363"/>
    </row>
    <row r="281" spans="1:10" ht="15.75" thickBot="1">
      <c r="H281" s="363"/>
      <c r="I281" s="363"/>
      <c r="J281" s="363"/>
    </row>
    <row r="282" spans="1:10" ht="15.75" thickBot="1">
      <c r="B282" s="215" t="s">
        <v>145</v>
      </c>
      <c r="C282" s="215" t="s">
        <v>146</v>
      </c>
      <c r="D282" s="215" t="s">
        <v>147</v>
      </c>
      <c r="E282" s="215" t="s">
        <v>148</v>
      </c>
      <c r="H282" s="363"/>
      <c r="I282" s="363"/>
      <c r="J282" s="363"/>
    </row>
    <row r="283" spans="1:10" ht="15.75" thickBot="1">
      <c r="B283" s="216" t="s">
        <v>395</v>
      </c>
      <c r="C283" s="216" t="s">
        <v>172</v>
      </c>
      <c r="D283" s="216" t="s">
        <v>153</v>
      </c>
      <c r="E283" s="216" t="s">
        <v>149</v>
      </c>
      <c r="H283" s="363"/>
      <c r="I283" s="363"/>
      <c r="J283" s="363"/>
    </row>
    <row r="284" spans="1:10" ht="15.75" thickBot="1">
      <c r="B284" s="217" t="s">
        <v>110</v>
      </c>
      <c r="C284" s="217" t="s">
        <v>150</v>
      </c>
      <c r="D284" s="217" t="s">
        <v>171</v>
      </c>
      <c r="E284" s="217" t="s">
        <v>156</v>
      </c>
      <c r="H284" s="363"/>
      <c r="I284" s="363"/>
      <c r="J284" s="363"/>
    </row>
    <row r="285" spans="1:10" ht="15.75" thickBot="1">
      <c r="B285" s="216" t="s">
        <v>396</v>
      </c>
      <c r="C285" s="216" t="s">
        <v>149</v>
      </c>
      <c r="D285" s="216" t="s">
        <v>150</v>
      </c>
      <c r="E285" s="216" t="s">
        <v>153</v>
      </c>
      <c r="H285" s="363"/>
      <c r="I285" s="363"/>
      <c r="J285" s="363"/>
    </row>
    <row r="286" spans="1:10" ht="15.75" thickBot="1">
      <c r="B286" s="217" t="s">
        <v>104</v>
      </c>
      <c r="C286" s="217" t="s">
        <v>164</v>
      </c>
      <c r="D286" s="217" t="s">
        <v>156</v>
      </c>
      <c r="E286" s="217" t="s">
        <v>149</v>
      </c>
      <c r="H286" s="363"/>
      <c r="I286" s="363"/>
      <c r="J286" s="363"/>
    </row>
    <row r="287" spans="1:10">
      <c r="H287" s="363"/>
      <c r="I287" s="363"/>
      <c r="J287" s="363"/>
    </row>
    <row r="288" spans="1:10">
      <c r="H288" s="363"/>
      <c r="I288" s="363"/>
      <c r="J288" s="363"/>
    </row>
    <row r="289" spans="2:15">
      <c r="B289" s="201" t="s">
        <v>211</v>
      </c>
      <c r="H289" s="363"/>
      <c r="I289" s="363"/>
      <c r="J289" s="363"/>
    </row>
    <row r="290" spans="2:15">
      <c r="B290" s="195"/>
      <c r="H290" s="363"/>
      <c r="I290" s="363"/>
      <c r="J290" s="363"/>
    </row>
    <row r="291" spans="2:15">
      <c r="B291" s="195" t="s">
        <v>212</v>
      </c>
      <c r="H291" s="363"/>
      <c r="I291" s="363"/>
      <c r="J291" s="363"/>
    </row>
    <row r="292" spans="2:15">
      <c r="B292" s="195" t="s">
        <v>213</v>
      </c>
      <c r="H292" s="363"/>
      <c r="I292" s="363"/>
      <c r="J292" s="363"/>
    </row>
    <row r="293" spans="2:15">
      <c r="H293" s="363"/>
      <c r="I293" s="363"/>
      <c r="J293" s="363"/>
    </row>
    <row r="294" spans="2:15">
      <c r="H294" s="363"/>
      <c r="I294" s="363"/>
      <c r="J294" s="363"/>
    </row>
    <row r="295" spans="2:15">
      <c r="B295" s="218"/>
      <c r="C295" s="218"/>
      <c r="D295" s="218"/>
      <c r="E295" s="218"/>
      <c r="F295" s="218"/>
      <c r="G295" s="218"/>
      <c r="H295" s="364"/>
      <c r="I295" s="364"/>
      <c r="J295" s="364"/>
    </row>
    <row r="296" spans="2:15">
      <c r="K296" s="218"/>
      <c r="L296" s="219"/>
      <c r="M296" s="218"/>
      <c r="N296" s="218"/>
      <c r="O296" s="218"/>
    </row>
    <row r="300" spans="2:15">
      <c r="B300" s="189" t="s">
        <v>214</v>
      </c>
      <c r="H300" s="189"/>
      <c r="I300" s="189"/>
      <c r="J300" s="189"/>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5.xml><?xml version="1.0" encoding="utf-8"?>
<worksheet xmlns="http://schemas.openxmlformats.org/spreadsheetml/2006/main" xmlns:r="http://schemas.openxmlformats.org/officeDocument/2006/relationships">
  <sheetPr codeName="Blad14">
    <tabColor rgb="FFFFC000"/>
  </sheetPr>
  <dimension ref="A1:U325"/>
  <sheetViews>
    <sheetView showGridLines="0" zoomScale="80" zoomScaleNormal="80" workbookViewId="0">
      <selection activeCell="F12" sqref="F12"/>
    </sheetView>
  </sheetViews>
  <sheetFormatPr defaultRowHeight="15"/>
  <cols>
    <col min="1" max="1" width="6.7109375" style="188" customWidth="1"/>
    <col min="2" max="2" width="8" style="189" customWidth="1"/>
    <col min="3" max="3" width="8.28515625" style="189" customWidth="1"/>
    <col min="4" max="4" width="12" style="189" customWidth="1"/>
    <col min="5" max="5" width="15.7109375" style="189" customWidth="1"/>
    <col min="6" max="6" width="3.140625" style="189" customWidth="1"/>
    <col min="7" max="7" width="15.7109375" style="189" customWidth="1"/>
    <col min="8" max="10" width="4.42578125"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ustomHeight="1">
      <c r="A1" s="191"/>
      <c r="B1" s="192" t="s">
        <v>492</v>
      </c>
      <c r="L1" s="194"/>
      <c r="P1" s="193">
        <f>SUM(P14:P101)+E11+H11+L7+L11+Q11</f>
        <v>370</v>
      </c>
    </row>
    <row r="2" spans="1:21" s="195" customFormat="1" ht="15" customHeight="1">
      <c r="B2" s="196" t="s">
        <v>86</v>
      </c>
      <c r="G2" s="196" t="s">
        <v>87</v>
      </c>
      <c r="J2" s="196" t="s">
        <v>88</v>
      </c>
      <c r="L2" s="197"/>
      <c r="U2" s="195" t="s">
        <v>464</v>
      </c>
    </row>
    <row r="3" spans="1:21" s="195" customFormat="1" ht="15" customHeight="1">
      <c r="B3" s="224" t="str">
        <f t="shared" ref="B3:B10" si="0">E78</f>
        <v>Mexico</v>
      </c>
      <c r="C3" s="222">
        <f t="shared" ref="C3:C10" si="1">IF(ISNA(MATCH(B3,teams_achtste,0)),0,10)</f>
        <v>10</v>
      </c>
      <c r="D3" s="224" t="str">
        <f t="shared" ref="D3:D10" si="2">G78</f>
        <v>Spanje</v>
      </c>
      <c r="E3" s="222">
        <f t="shared" ref="E3:E10" si="3">IF(ISNA(MATCH(D3,teams_achtste,0)),0,10)</f>
        <v>0</v>
      </c>
      <c r="F3" s="339" t="s">
        <v>449</v>
      </c>
      <c r="G3" s="195" t="str">
        <f>E88</f>
        <v>Spanje</v>
      </c>
      <c r="H3" s="222">
        <f t="shared" ref="H3:H10" si="4">IF(ISNA(MATCH(G3,teams_kwart,0)),0,15)</f>
        <v>0</v>
      </c>
      <c r="I3" s="339" t="s">
        <v>457</v>
      </c>
      <c r="J3" s="195" t="str">
        <f>E94</f>
        <v>Spanje</v>
      </c>
      <c r="L3" s="222">
        <f>IF(ISNA(MATCH(J3,teams_halve,0)),0,20)</f>
        <v>0</v>
      </c>
      <c r="Q3" s="223"/>
    </row>
    <row r="4" spans="1:21" s="195" customFormat="1" ht="15" customHeight="1">
      <c r="B4" s="224" t="str">
        <f t="shared" si="0"/>
        <v>Colombia</v>
      </c>
      <c r="C4" s="222">
        <f t="shared" si="1"/>
        <v>10</v>
      </c>
      <c r="D4" s="224" t="str">
        <f t="shared" si="2"/>
        <v>Italië</v>
      </c>
      <c r="E4" s="222">
        <f t="shared" si="3"/>
        <v>0</v>
      </c>
      <c r="F4" s="339" t="s">
        <v>450</v>
      </c>
      <c r="G4" s="195" t="str">
        <f>G88</f>
        <v>Italië</v>
      </c>
      <c r="H4" s="222">
        <f t="shared" si="4"/>
        <v>0</v>
      </c>
      <c r="I4" s="339" t="s">
        <v>458</v>
      </c>
      <c r="J4" s="195" t="str">
        <f>G94</f>
        <v>Portugal</v>
      </c>
      <c r="L4" s="222">
        <f>IF(ISNA(MATCH(J4,teams_halve,0)),0,20)</f>
        <v>0</v>
      </c>
      <c r="Q4" s="224"/>
    </row>
    <row r="5" spans="1:21" s="195" customFormat="1" ht="15" customHeight="1">
      <c r="B5" s="224" t="str">
        <f t="shared" si="0"/>
        <v>Chili</v>
      </c>
      <c r="C5" s="222">
        <f t="shared" si="1"/>
        <v>10</v>
      </c>
      <c r="D5" s="224" t="str">
        <f t="shared" si="2"/>
        <v>Brazilië</v>
      </c>
      <c r="E5" s="222">
        <f t="shared" si="3"/>
        <v>10</v>
      </c>
      <c r="F5" s="339" t="s">
        <v>451</v>
      </c>
      <c r="G5" s="195" t="str">
        <f>E90</f>
        <v>Brazilië</v>
      </c>
      <c r="H5" s="222">
        <f t="shared" si="4"/>
        <v>15</v>
      </c>
      <c r="I5" s="339" t="s">
        <v>459</v>
      </c>
      <c r="J5" s="195" t="str">
        <f>E95</f>
        <v>Uruguay</v>
      </c>
      <c r="L5" s="222">
        <f>IF(ISNA(MATCH(J5,teams_halve,0)),0,20)</f>
        <v>0</v>
      </c>
    </row>
    <row r="6" spans="1:21" s="195" customFormat="1" ht="15" customHeight="1">
      <c r="B6" s="224" t="str">
        <f t="shared" si="0"/>
        <v>Uruguay</v>
      </c>
      <c r="C6" s="222">
        <f t="shared" si="1"/>
        <v>10</v>
      </c>
      <c r="D6" s="224" t="str">
        <f t="shared" si="2"/>
        <v>Japan</v>
      </c>
      <c r="E6" s="222">
        <f t="shared" si="3"/>
        <v>0</v>
      </c>
      <c r="F6" s="339" t="s">
        <v>452</v>
      </c>
      <c r="G6" s="195" t="str">
        <f>G90</f>
        <v>Uruguay</v>
      </c>
      <c r="H6" s="222">
        <f t="shared" si="4"/>
        <v>0</v>
      </c>
      <c r="I6" s="339" t="s">
        <v>460</v>
      </c>
      <c r="J6" s="195" t="str">
        <f>G95</f>
        <v>Duitsland</v>
      </c>
      <c r="L6" s="222">
        <f>IF(ISNA(MATCH(J6,teams_halve,0)),0,20)</f>
        <v>20</v>
      </c>
    </row>
    <row r="7" spans="1:21" s="195" customFormat="1" ht="15" customHeight="1">
      <c r="B7" s="224" t="str">
        <f t="shared" si="0"/>
        <v>Frankrijk</v>
      </c>
      <c r="C7" s="222">
        <f t="shared" si="1"/>
        <v>10</v>
      </c>
      <c r="D7" s="224" t="str">
        <f t="shared" si="2"/>
        <v>Bosnië en Herzegovina</v>
      </c>
      <c r="E7" s="222">
        <f t="shared" si="3"/>
        <v>0</v>
      </c>
      <c r="F7" s="339" t="s">
        <v>453</v>
      </c>
      <c r="G7" s="195" t="str">
        <f>E89</f>
        <v>Frankrijk</v>
      </c>
      <c r="H7" s="222">
        <f t="shared" si="4"/>
        <v>15</v>
      </c>
      <c r="I7" s="339"/>
      <c r="J7" s="198" t="s">
        <v>83</v>
      </c>
      <c r="K7" s="199"/>
      <c r="L7" s="225">
        <f>SUM(L3:L6)</f>
        <v>20</v>
      </c>
    </row>
    <row r="8" spans="1:21" s="195" customFormat="1" ht="15" customHeight="1">
      <c r="B8" s="224" t="str">
        <f t="shared" si="0"/>
        <v>Portugal</v>
      </c>
      <c r="C8" s="222">
        <f t="shared" si="1"/>
        <v>0</v>
      </c>
      <c r="D8" s="224" t="str">
        <f t="shared" si="2"/>
        <v>Rusland</v>
      </c>
      <c r="E8" s="222">
        <f t="shared" si="3"/>
        <v>0</v>
      </c>
      <c r="F8" s="339" t="s">
        <v>454</v>
      </c>
      <c r="G8" s="195" t="str">
        <f>G89</f>
        <v>Portugal</v>
      </c>
      <c r="H8" s="222">
        <f t="shared" si="4"/>
        <v>0</v>
      </c>
      <c r="I8" s="339"/>
      <c r="J8" s="196" t="s">
        <v>48</v>
      </c>
      <c r="L8" s="197"/>
      <c r="P8" s="196" t="s">
        <v>579</v>
      </c>
    </row>
    <row r="9" spans="1:21" s="195" customFormat="1" ht="15" customHeight="1">
      <c r="B9" s="224" t="str">
        <f t="shared" si="0"/>
        <v>Argentinië</v>
      </c>
      <c r="C9" s="222">
        <f t="shared" si="1"/>
        <v>10</v>
      </c>
      <c r="D9" s="224" t="str">
        <f t="shared" si="2"/>
        <v>Ecuador</v>
      </c>
      <c r="E9" s="222">
        <f t="shared" si="3"/>
        <v>0</v>
      </c>
      <c r="F9" s="339" t="s">
        <v>455</v>
      </c>
      <c r="G9" s="195" t="str">
        <f>E91</f>
        <v>Argentinië</v>
      </c>
      <c r="H9" s="222">
        <f t="shared" si="4"/>
        <v>15</v>
      </c>
      <c r="I9" s="339" t="s">
        <v>461</v>
      </c>
      <c r="J9" s="195" t="str">
        <f>E101</f>
        <v>Portugal</v>
      </c>
      <c r="L9" s="222">
        <f>IF(ISNA(MATCH(J9,teams_fin,0)),0,30)</f>
        <v>0</v>
      </c>
      <c r="P9" s="444" t="str">
        <f>E98</f>
        <v>Spanje</v>
      </c>
      <c r="Q9" s="222">
        <f>IF(ISNA(MATCH(P9,teams_troost,0)),0,25)</f>
        <v>0</v>
      </c>
    </row>
    <row r="10" spans="1:21" s="195" customFormat="1" ht="15" customHeight="1">
      <c r="B10" s="224" t="str">
        <f t="shared" si="0"/>
        <v>België</v>
      </c>
      <c r="C10" s="222">
        <f t="shared" si="1"/>
        <v>10</v>
      </c>
      <c r="D10" s="224" t="str">
        <f t="shared" si="2"/>
        <v>Duitsland</v>
      </c>
      <c r="E10" s="222">
        <f t="shared" si="3"/>
        <v>10</v>
      </c>
      <c r="F10" s="339" t="s">
        <v>456</v>
      </c>
      <c r="G10" s="195" t="str">
        <f>G91</f>
        <v>Duitsland</v>
      </c>
      <c r="H10" s="222">
        <f t="shared" si="4"/>
        <v>15</v>
      </c>
      <c r="I10" s="339" t="s">
        <v>462</v>
      </c>
      <c r="J10" s="195" t="str">
        <f>G101</f>
        <v>Duitsland</v>
      </c>
      <c r="L10" s="222">
        <f>IF(ISNA(MATCH(J10,teams_fin,0)),0,30)</f>
        <v>30</v>
      </c>
      <c r="P10" s="444" t="str">
        <f>G98</f>
        <v>Uruguay</v>
      </c>
      <c r="Q10" s="222">
        <f>IF(ISNA(MATCH(P10,teams_troost,0)),0,25)</f>
        <v>0</v>
      </c>
    </row>
    <row r="11" spans="1:21" s="195" customFormat="1" ht="15" customHeight="1">
      <c r="D11" s="198" t="s">
        <v>89</v>
      </c>
      <c r="E11" s="225">
        <f>SUM(C3:E10)</f>
        <v>90</v>
      </c>
      <c r="G11" s="198" t="s">
        <v>82</v>
      </c>
      <c r="H11" s="225">
        <f>SUM(H3:H10)</f>
        <v>60</v>
      </c>
      <c r="J11" s="198" t="s">
        <v>90</v>
      </c>
      <c r="K11" s="199"/>
      <c r="L11" s="225">
        <f>SUM(L9:L10)</f>
        <v>30</v>
      </c>
      <c r="P11" s="199"/>
      <c r="Q11" s="225">
        <f>SUM(Q9:Q10)</f>
        <v>0</v>
      </c>
    </row>
    <row r="12" spans="1:21">
      <c r="B12" s="201" t="s">
        <v>19</v>
      </c>
      <c r="C12" s="201"/>
      <c r="D12" s="339" t="s">
        <v>463</v>
      </c>
      <c r="E12" s="202" t="s">
        <v>177</v>
      </c>
      <c r="F12" s="226">
        <f>IF(ISNA(MATCH(E12,Invulblad!F104,0)),0,50)</f>
        <v>50</v>
      </c>
      <c r="G12" s="201"/>
      <c r="H12" s="201"/>
      <c r="I12" s="201"/>
      <c r="J12" s="201"/>
      <c r="K12" s="201"/>
      <c r="L12" s="203"/>
      <c r="M12" s="201"/>
      <c r="N12" s="201"/>
      <c r="O12" s="201"/>
    </row>
    <row r="13" spans="1:21" ht="15" customHeight="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c r="Q13" s="206"/>
      <c r="R13" s="206"/>
    </row>
    <row r="14" spans="1:21" ht="15" customHeight="1">
      <c r="A14" s="188">
        <v>1</v>
      </c>
      <c r="B14" s="195">
        <v>1</v>
      </c>
      <c r="C14" s="332">
        <v>41802</v>
      </c>
      <c r="D14" s="333">
        <v>0.91666666666666663</v>
      </c>
      <c r="E14" s="189" t="s">
        <v>557</v>
      </c>
      <c r="F14" s="189" t="s">
        <v>29</v>
      </c>
      <c r="G14" s="189" t="s">
        <v>558</v>
      </c>
      <c r="H14" s="366">
        <v>2</v>
      </c>
      <c r="I14" s="366" t="s">
        <v>29</v>
      </c>
      <c r="J14" s="366">
        <v>1</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ht="15" customHeight="1">
      <c r="A15" s="188">
        <v>2</v>
      </c>
      <c r="B15" s="195">
        <v>2</v>
      </c>
      <c r="C15" s="332">
        <v>41803</v>
      </c>
      <c r="D15" s="333">
        <v>0.75</v>
      </c>
      <c r="E15" s="189" t="s">
        <v>101</v>
      </c>
      <c r="F15" s="189" t="s">
        <v>29</v>
      </c>
      <c r="G15" s="189" t="s">
        <v>119</v>
      </c>
      <c r="H15" s="366">
        <v>3</v>
      </c>
      <c r="I15" s="366" t="s">
        <v>29</v>
      </c>
      <c r="J15" s="366">
        <v>2</v>
      </c>
      <c r="K15" s="212" t="str">
        <f t="shared" si="5"/>
        <v>1</v>
      </c>
      <c r="L15" s="210" t="str">
        <f>VLOOKUP($B15,Invulblad!$A$11:$S$103,13,0)</f>
        <v>1</v>
      </c>
      <c r="M15" s="211">
        <f>IF(L15&lt;&gt;"",VLOOKUP($B15,Invulblad!$A$11:$S$103,7,0),"")</f>
        <v>1</v>
      </c>
      <c r="N15" s="209" t="s">
        <v>29</v>
      </c>
      <c r="O15" s="211">
        <f>IF(L15&lt;&gt;"",VLOOKUP($B15,Invulblad!$A$11:$S$103,9,0),"")</f>
        <v>0</v>
      </c>
      <c r="P15" s="212">
        <f t="shared" si="6"/>
        <v>5</v>
      </c>
    </row>
    <row r="16" spans="1:21" ht="15" customHeight="1">
      <c r="A16" s="188">
        <v>3</v>
      </c>
      <c r="B16" s="195">
        <v>17</v>
      </c>
      <c r="C16" s="332">
        <v>41807</v>
      </c>
      <c r="D16" s="333">
        <v>0.875</v>
      </c>
      <c r="E16" s="189" t="s">
        <v>557</v>
      </c>
      <c r="F16" s="189" t="s">
        <v>29</v>
      </c>
      <c r="G16" s="189" t="s">
        <v>96</v>
      </c>
      <c r="H16" s="366">
        <v>2</v>
      </c>
      <c r="I16" s="366" t="s">
        <v>29</v>
      </c>
      <c r="J16" s="366">
        <v>2</v>
      </c>
      <c r="K16" s="212">
        <f t="shared" si="5"/>
        <v>3</v>
      </c>
      <c r="L16" s="210">
        <f>VLOOKUP($B16,Invulblad!$A$11:$S$103,13,0)</f>
        <v>3</v>
      </c>
      <c r="M16" s="211">
        <f>IF(L16&lt;&gt;"",VLOOKUP($B16,Invulblad!$A$11:$S$103,7,0),"")</f>
        <v>0</v>
      </c>
      <c r="N16" s="209" t="s">
        <v>29</v>
      </c>
      <c r="O16" s="211">
        <f>IF(L16&lt;&gt;"",VLOOKUP($B16,Invulblad!$A$11:$S$103,9,0),"")</f>
        <v>0</v>
      </c>
      <c r="P16" s="212">
        <f t="shared" si="6"/>
        <v>5</v>
      </c>
    </row>
    <row r="17" spans="1:16" ht="15" customHeight="1">
      <c r="A17" s="188">
        <v>4</v>
      </c>
      <c r="B17" s="195">
        <v>18</v>
      </c>
      <c r="C17" s="332">
        <v>41809</v>
      </c>
      <c r="D17" s="333">
        <v>0</v>
      </c>
      <c r="E17" s="189" t="s">
        <v>121</v>
      </c>
      <c r="F17" s="189" t="s">
        <v>29</v>
      </c>
      <c r="G17" s="189" t="s">
        <v>558</v>
      </c>
      <c r="H17" s="366">
        <v>3</v>
      </c>
      <c r="I17" s="366" t="s">
        <v>29</v>
      </c>
      <c r="J17" s="366">
        <v>3</v>
      </c>
      <c r="K17" s="212">
        <f t="shared" si="5"/>
        <v>3</v>
      </c>
      <c r="L17" s="210">
        <f>VLOOKUP($B17,Invulblad!$A$11:$S$103,13,0)</f>
        <v>2</v>
      </c>
      <c r="M17" s="211">
        <f>IF(L17&lt;&gt;"",VLOOKUP($B17,Invulblad!$A$11:$S$103,7,0),"")</f>
        <v>0</v>
      </c>
      <c r="N17" s="209" t="s">
        <v>29</v>
      </c>
      <c r="O17" s="211">
        <f>IF(L17&lt;&gt;"",VLOOKUP($B17,Invulblad!$A$11:$S$103,9,0),"")</f>
        <v>4</v>
      </c>
      <c r="P17" s="212">
        <f t="shared" si="6"/>
        <v>0</v>
      </c>
    </row>
    <row r="18" spans="1:16" ht="15" customHeight="1">
      <c r="A18" s="188">
        <v>5</v>
      </c>
      <c r="B18" s="195">
        <v>33</v>
      </c>
      <c r="C18" s="332">
        <v>41813</v>
      </c>
      <c r="D18" s="333">
        <v>0.91666666666666663</v>
      </c>
      <c r="E18" s="189" t="s">
        <v>121</v>
      </c>
      <c r="F18" s="189" t="s">
        <v>29</v>
      </c>
      <c r="G18" s="189" t="s">
        <v>559</v>
      </c>
      <c r="H18" s="366">
        <v>1</v>
      </c>
      <c r="I18" s="366" t="s">
        <v>29</v>
      </c>
      <c r="J18" s="366">
        <v>3</v>
      </c>
      <c r="K18" s="212">
        <f t="shared" si="5"/>
        <v>2</v>
      </c>
      <c r="L18" s="210">
        <f>VLOOKUP($B18,Invulblad!$A$11:$S$103,13,0)</f>
        <v>2</v>
      </c>
      <c r="M18" s="211">
        <f>IF(L18&lt;&gt;"",VLOOKUP($B18,Invulblad!$A$11:$S$103,7,0),"")</f>
        <v>1</v>
      </c>
      <c r="N18" s="209" t="s">
        <v>29</v>
      </c>
      <c r="O18" s="211">
        <f>IF(L18&lt;&gt;"",VLOOKUP($B18,Invulblad!$A$11:$S$103,9,0),"")</f>
        <v>4</v>
      </c>
      <c r="P18" s="212">
        <f t="shared" si="6"/>
        <v>5</v>
      </c>
    </row>
    <row r="19" spans="1:16" ht="15" customHeight="1">
      <c r="A19" s="188">
        <v>6</v>
      </c>
      <c r="B19" s="195">
        <v>34</v>
      </c>
      <c r="C19" s="332">
        <v>41813</v>
      </c>
      <c r="D19" s="333">
        <v>0.91666666666666663</v>
      </c>
      <c r="E19" s="189" t="s">
        <v>560</v>
      </c>
      <c r="F19" s="189" t="s">
        <v>29</v>
      </c>
      <c r="G19" s="189" t="s">
        <v>96</v>
      </c>
      <c r="H19" s="366">
        <v>2</v>
      </c>
      <c r="I19" s="366" t="s">
        <v>29</v>
      </c>
      <c r="J19" s="366">
        <v>4</v>
      </c>
      <c r="K19" s="212">
        <f t="shared" si="5"/>
        <v>2</v>
      </c>
      <c r="L19" s="210">
        <f>VLOOKUP($B19,Invulblad!$A$11:$S$103,13,0)</f>
        <v>2</v>
      </c>
      <c r="M19" s="211">
        <f>IF(L19&lt;&gt;"",VLOOKUP($B19,Invulblad!$A$11:$S$103,7,0),"")</f>
        <v>1</v>
      </c>
      <c r="N19" s="209" t="s">
        <v>29</v>
      </c>
      <c r="O19" s="211">
        <f>IF(L19&lt;&gt;"",VLOOKUP($B19,Invulblad!$A$11:$S$103,9,0),"")</f>
        <v>3</v>
      </c>
      <c r="P19" s="212">
        <f t="shared" si="6"/>
        <v>5</v>
      </c>
    </row>
    <row r="20" spans="1:16" ht="15" customHeight="1">
      <c r="A20" s="188">
        <v>7</v>
      </c>
      <c r="B20" s="201" t="s">
        <v>30</v>
      </c>
      <c r="H20" s="201"/>
      <c r="I20" s="201"/>
      <c r="J20" s="201"/>
      <c r="K20" s="213" t="str">
        <f t="shared" si="5"/>
        <v/>
      </c>
      <c r="L20" s="210"/>
      <c r="M20" s="211" t="str">
        <f>IF(L20&lt;&gt;"",VLOOKUP($B20,Invulblad!$A$11:$S$103,7,0),"")</f>
        <v/>
      </c>
      <c r="N20" s="201"/>
      <c r="O20" s="211" t="str">
        <f>IF(L20&lt;&gt;"",VLOOKUP($B20,Invulblad!$A$11:$S$103,9,0),"")</f>
        <v/>
      </c>
    </row>
    <row r="21" spans="1:16" ht="15" customHeight="1">
      <c r="B21" s="201" t="s">
        <v>272</v>
      </c>
      <c r="C21" s="189" t="s">
        <v>420</v>
      </c>
      <c r="D21" s="189" t="s">
        <v>421</v>
      </c>
      <c r="E21" s="189" t="s">
        <v>145</v>
      </c>
      <c r="F21" s="189" t="s">
        <v>29</v>
      </c>
      <c r="G21" s="189" t="s">
        <v>145</v>
      </c>
      <c r="H21" s="365" t="s">
        <v>93</v>
      </c>
      <c r="I21" s="365"/>
      <c r="J21" s="365"/>
      <c r="K21" s="213"/>
      <c r="L21" s="210"/>
      <c r="M21" s="211"/>
      <c r="N21" s="201"/>
      <c r="O21" s="211"/>
    </row>
    <row r="22" spans="1:16" ht="15" customHeight="1">
      <c r="A22" s="188">
        <v>9</v>
      </c>
      <c r="B22" s="195">
        <v>3</v>
      </c>
      <c r="C22" s="332">
        <v>41803</v>
      </c>
      <c r="D22" s="333">
        <v>0.875</v>
      </c>
      <c r="E22" s="189" t="s">
        <v>129</v>
      </c>
      <c r="F22" s="189" t="s">
        <v>29</v>
      </c>
      <c r="G22" s="189" t="s">
        <v>122</v>
      </c>
      <c r="H22" s="366">
        <v>2</v>
      </c>
      <c r="I22" s="366" t="s">
        <v>29</v>
      </c>
      <c r="J22" s="366">
        <v>2</v>
      </c>
      <c r="K22" s="212">
        <f t="shared" si="5"/>
        <v>3</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ht="15" customHeight="1">
      <c r="A23" s="188">
        <v>10</v>
      </c>
      <c r="B23" s="195">
        <v>4</v>
      </c>
      <c r="C23" s="332">
        <v>41804</v>
      </c>
      <c r="D23" s="333">
        <v>0</v>
      </c>
      <c r="E23" s="189" t="s">
        <v>131</v>
      </c>
      <c r="F23" s="189" t="s">
        <v>29</v>
      </c>
      <c r="G23" s="189" t="s">
        <v>561</v>
      </c>
      <c r="H23" s="366">
        <v>3</v>
      </c>
      <c r="I23" s="366" t="s">
        <v>29</v>
      </c>
      <c r="J23" s="366">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ht="15" customHeight="1">
      <c r="A24" s="188">
        <v>11</v>
      </c>
      <c r="B24" s="195">
        <v>19</v>
      </c>
      <c r="C24" s="332">
        <v>41808</v>
      </c>
      <c r="D24" s="333">
        <v>0.875</v>
      </c>
      <c r="E24" s="189" t="s">
        <v>129</v>
      </c>
      <c r="F24" s="189" t="s">
        <v>29</v>
      </c>
      <c r="G24" s="189" t="s">
        <v>128</v>
      </c>
      <c r="H24" s="366">
        <v>1</v>
      </c>
      <c r="I24" s="366" t="s">
        <v>29</v>
      </c>
      <c r="J24" s="366">
        <v>1</v>
      </c>
      <c r="K24" s="212">
        <f t="shared" si="5"/>
        <v>3</v>
      </c>
      <c r="L24" s="210">
        <f>VLOOKUP($B24,Invulblad!$A$11:$S$103,13,0)</f>
        <v>2</v>
      </c>
      <c r="M24" s="211">
        <f>IF(L24&lt;&gt;"",VLOOKUP($B24,Invulblad!$A$11:$S$103,7,0),"")</f>
        <v>0</v>
      </c>
      <c r="N24" s="209" t="s">
        <v>29</v>
      </c>
      <c r="O24" s="211">
        <f>IF(L24&lt;&gt;"",VLOOKUP($B24,Invulblad!$A$11:$S$103,9,0),"")</f>
        <v>2</v>
      </c>
      <c r="P24" s="212">
        <f t="shared" si="7"/>
        <v>0</v>
      </c>
    </row>
    <row r="25" spans="1:16" ht="15" customHeight="1">
      <c r="A25" s="188">
        <v>12</v>
      </c>
      <c r="B25" s="195">
        <v>20</v>
      </c>
      <c r="C25" s="332">
        <v>41808</v>
      </c>
      <c r="D25" s="333">
        <v>0.75</v>
      </c>
      <c r="E25" s="189" t="s">
        <v>562</v>
      </c>
      <c r="F25" s="189" t="s">
        <v>29</v>
      </c>
      <c r="G25" s="189" t="s">
        <v>122</v>
      </c>
      <c r="H25" s="366">
        <v>1</v>
      </c>
      <c r="I25" s="366" t="s">
        <v>29</v>
      </c>
      <c r="J25" s="366">
        <v>1</v>
      </c>
      <c r="K25" s="212">
        <f t="shared" si="5"/>
        <v>3</v>
      </c>
      <c r="L25" s="210">
        <f>VLOOKUP($B25,Invulblad!$A$11:$S$103,13,0)</f>
        <v>2</v>
      </c>
      <c r="M25" s="211">
        <f>IF(L25&lt;&gt;"",VLOOKUP($B25,Invulblad!$A$11:$S$103,7,0),"")</f>
        <v>2</v>
      </c>
      <c r="N25" s="209" t="s">
        <v>29</v>
      </c>
      <c r="O25" s="211">
        <f>IF(L25&lt;&gt;"",VLOOKUP($B25,Invulblad!$A$11:$S$103,9,0),"")</f>
        <v>3</v>
      </c>
      <c r="P25" s="212">
        <f t="shared" si="7"/>
        <v>0</v>
      </c>
    </row>
    <row r="26" spans="1:16" ht="15" customHeight="1">
      <c r="A26" s="188">
        <v>13</v>
      </c>
      <c r="B26" s="195">
        <v>35</v>
      </c>
      <c r="C26" s="332">
        <v>41813</v>
      </c>
      <c r="D26" s="333">
        <v>0.75</v>
      </c>
      <c r="E26" s="189" t="s">
        <v>562</v>
      </c>
      <c r="F26" s="189" t="s">
        <v>29</v>
      </c>
      <c r="G26" s="189" t="s">
        <v>133</v>
      </c>
      <c r="H26" s="366">
        <v>0</v>
      </c>
      <c r="I26" s="366" t="s">
        <v>29</v>
      </c>
      <c r="J26" s="366">
        <v>3</v>
      </c>
      <c r="K26" s="212">
        <f t="shared" si="5"/>
        <v>2</v>
      </c>
      <c r="L26" s="210">
        <f>VLOOKUP($B26,Invulblad!$A$11:$S$103,13,0)</f>
        <v>2</v>
      </c>
      <c r="M26" s="211">
        <f>IF(L26&lt;&gt;"",VLOOKUP($B26,Invulblad!$A$11:$S$103,7,0),"")</f>
        <v>0</v>
      </c>
      <c r="N26" s="209" t="s">
        <v>29</v>
      </c>
      <c r="O26" s="211">
        <f>IF(L26&lt;&gt;"",VLOOKUP($B26,Invulblad!$A$11:$S$103,9,0),"")</f>
        <v>3</v>
      </c>
      <c r="P26" s="212">
        <f t="shared" si="7"/>
        <v>10</v>
      </c>
    </row>
    <row r="27" spans="1:16" ht="15" customHeight="1">
      <c r="A27" s="188">
        <v>14</v>
      </c>
      <c r="B27" s="195">
        <v>36</v>
      </c>
      <c r="C27" s="332">
        <v>41813</v>
      </c>
      <c r="D27" s="333">
        <v>0.75</v>
      </c>
      <c r="E27" s="189" t="s">
        <v>117</v>
      </c>
      <c r="F27" s="189" t="s">
        <v>29</v>
      </c>
      <c r="G27" s="189" t="s">
        <v>128</v>
      </c>
      <c r="H27" s="366">
        <v>0</v>
      </c>
      <c r="I27" s="366" t="s">
        <v>29</v>
      </c>
      <c r="J27" s="366">
        <v>2</v>
      </c>
      <c r="K27" s="212">
        <f t="shared" si="5"/>
        <v>2</v>
      </c>
      <c r="L27" s="210" t="str">
        <f>VLOOKUP($B27,Invulblad!$A$11:$S$103,13,0)</f>
        <v>1</v>
      </c>
      <c r="M27" s="211">
        <f>IF(L27&lt;&gt;"",VLOOKUP($B27,Invulblad!$A$11:$S$103,7,0),"")</f>
        <v>2</v>
      </c>
      <c r="N27" s="209" t="s">
        <v>29</v>
      </c>
      <c r="O27" s="211">
        <f>IF(L27&lt;&gt;"",VLOOKUP($B27,Invulblad!$A$11:$S$103,9,0),"")</f>
        <v>0</v>
      </c>
      <c r="P27" s="212">
        <f t="shared" si="7"/>
        <v>0</v>
      </c>
    </row>
    <row r="28" spans="1:16" ht="15" customHeight="1">
      <c r="A28" s="188">
        <v>15</v>
      </c>
      <c r="B28" s="201" t="s">
        <v>31</v>
      </c>
      <c r="H28" s="201"/>
      <c r="I28" s="201"/>
      <c r="J28" s="201"/>
      <c r="K28" s="213" t="str">
        <f t="shared" si="5"/>
        <v/>
      </c>
      <c r="L28" s="210"/>
      <c r="M28" s="211" t="str">
        <f>IF(L28&lt;&gt;"",VLOOKUP($B28,Invulblad!$A$11:$S$103,7,0),"")</f>
        <v/>
      </c>
      <c r="N28" s="209"/>
      <c r="O28" s="211" t="str">
        <f>IF(L28&lt;&gt;"",VLOOKUP($B28,Invulblad!$A$11:$S$103,9,0),"")</f>
        <v/>
      </c>
    </row>
    <row r="29" spans="1:16" ht="15" customHeight="1">
      <c r="B29" s="201" t="s">
        <v>272</v>
      </c>
      <c r="C29" s="189" t="s">
        <v>420</v>
      </c>
      <c r="D29" s="189" t="s">
        <v>421</v>
      </c>
      <c r="E29" s="189" t="s">
        <v>145</v>
      </c>
      <c r="F29" s="189" t="s">
        <v>29</v>
      </c>
      <c r="G29" s="189" t="s">
        <v>145</v>
      </c>
      <c r="H29" s="365" t="s">
        <v>93</v>
      </c>
      <c r="I29" s="365"/>
      <c r="J29" s="365"/>
      <c r="K29" s="213"/>
      <c r="L29" s="210"/>
      <c r="M29" s="211"/>
      <c r="N29" s="209"/>
      <c r="O29" s="211"/>
    </row>
    <row r="30" spans="1:16" ht="15" customHeight="1">
      <c r="A30" s="188">
        <v>17</v>
      </c>
      <c r="B30" s="195">
        <v>5</v>
      </c>
      <c r="C30" s="332">
        <v>41804</v>
      </c>
      <c r="D30" s="333">
        <v>0.75</v>
      </c>
      <c r="E30" s="189" t="s">
        <v>428</v>
      </c>
      <c r="F30" s="189" t="s">
        <v>29</v>
      </c>
      <c r="G30" s="189" t="s">
        <v>105</v>
      </c>
      <c r="H30" s="366">
        <v>2</v>
      </c>
      <c r="I30" s="366" t="s">
        <v>29</v>
      </c>
      <c r="J30" s="366">
        <v>0</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ht="15" customHeight="1">
      <c r="A31" s="188">
        <v>18</v>
      </c>
      <c r="B31" s="195">
        <v>6</v>
      </c>
      <c r="C31" s="332">
        <v>41805</v>
      </c>
      <c r="D31" s="333">
        <v>0.125</v>
      </c>
      <c r="E31" s="189" t="s">
        <v>123</v>
      </c>
      <c r="F31" s="189" t="s">
        <v>29</v>
      </c>
      <c r="G31" s="189" t="s">
        <v>120</v>
      </c>
      <c r="H31" s="366">
        <v>3</v>
      </c>
      <c r="I31" s="366" t="s">
        <v>29</v>
      </c>
      <c r="J31" s="366">
        <v>3</v>
      </c>
      <c r="K31" s="212">
        <f t="shared" si="5"/>
        <v>3</v>
      </c>
      <c r="L31" s="210" t="str">
        <f>VLOOKUP($B31,Invulblad!$A$11:$S$103,13,0)</f>
        <v>1</v>
      </c>
      <c r="M31" s="211">
        <f>IF(L31&lt;&gt;"",VLOOKUP($B31,Invulblad!$A$11:$S$103,7,0),"")</f>
        <v>2</v>
      </c>
      <c r="N31" s="209" t="s">
        <v>29</v>
      </c>
      <c r="O31" s="211">
        <f>IF(L31&lt;&gt;"",VLOOKUP($B31,Invulblad!$A$11:$S$103,9,0),"")</f>
        <v>1</v>
      </c>
      <c r="P31" s="212">
        <f t="shared" si="8"/>
        <v>0</v>
      </c>
    </row>
    <row r="32" spans="1:16" ht="15" customHeight="1">
      <c r="A32" s="188">
        <v>19</v>
      </c>
      <c r="B32" s="195">
        <v>21</v>
      </c>
      <c r="C32" s="332">
        <v>41809</v>
      </c>
      <c r="D32" s="333">
        <v>0.75</v>
      </c>
      <c r="E32" s="189" t="s">
        <v>428</v>
      </c>
      <c r="F32" s="189" t="s">
        <v>29</v>
      </c>
      <c r="G32" s="189" t="s">
        <v>125</v>
      </c>
      <c r="H32" s="366">
        <v>4</v>
      </c>
      <c r="I32" s="366" t="s">
        <v>29</v>
      </c>
      <c r="J32" s="366">
        <v>1</v>
      </c>
      <c r="K32" s="212" t="str">
        <f t="shared" si="5"/>
        <v>1</v>
      </c>
      <c r="L32" s="210" t="str">
        <f>VLOOKUP($B32,Invulblad!$A$11:$S$103,13,0)</f>
        <v>1</v>
      </c>
      <c r="M32" s="211">
        <f>IF(L32&lt;&gt;"",VLOOKUP($B32,Invulblad!$A$11:$S$103,7,0),"")</f>
        <v>2</v>
      </c>
      <c r="N32" s="209" t="s">
        <v>29</v>
      </c>
      <c r="O32" s="211">
        <f>IF(L32&lt;&gt;"",VLOOKUP($B32,Invulblad!$A$11:$S$103,9,0),"")</f>
        <v>1</v>
      </c>
      <c r="P32" s="212">
        <f t="shared" si="8"/>
        <v>5</v>
      </c>
    </row>
    <row r="33" spans="1:16" ht="15" customHeight="1">
      <c r="A33" s="188">
        <v>20</v>
      </c>
      <c r="B33" s="195">
        <v>22</v>
      </c>
      <c r="C33" s="332">
        <v>41810</v>
      </c>
      <c r="D33" s="333">
        <v>0</v>
      </c>
      <c r="E33" s="189" t="s">
        <v>118</v>
      </c>
      <c r="F33" s="189" t="s">
        <v>29</v>
      </c>
      <c r="G33" s="189" t="s">
        <v>105</v>
      </c>
      <c r="H33" s="366">
        <v>1</v>
      </c>
      <c r="I33" s="366" t="s">
        <v>29</v>
      </c>
      <c r="J33" s="366">
        <v>0</v>
      </c>
      <c r="K33" s="212" t="str">
        <f t="shared" si="5"/>
        <v>1</v>
      </c>
      <c r="L33" s="210">
        <f>VLOOKUP($B33,Invulblad!$A$11:$S$103,13,0)</f>
        <v>3</v>
      </c>
      <c r="M33" s="211">
        <f>IF(L33&lt;&gt;"",VLOOKUP($B33,Invulblad!$A$11:$S$103,7,0),"")</f>
        <v>0</v>
      </c>
      <c r="N33" s="209" t="s">
        <v>29</v>
      </c>
      <c r="O33" s="211">
        <f>IF(L33&lt;&gt;"",VLOOKUP($B33,Invulblad!$A$11:$S$103,9,0),"")</f>
        <v>0</v>
      </c>
      <c r="P33" s="212">
        <f t="shared" si="8"/>
        <v>0</v>
      </c>
    </row>
    <row r="34" spans="1:16" ht="15" customHeight="1">
      <c r="A34" s="188">
        <v>21</v>
      </c>
      <c r="B34" s="195">
        <v>37</v>
      </c>
      <c r="C34" s="332">
        <v>41814</v>
      </c>
      <c r="D34" s="333">
        <v>0.91666666666666663</v>
      </c>
      <c r="E34" s="189" t="s">
        <v>118</v>
      </c>
      <c r="F34" s="189" t="s">
        <v>29</v>
      </c>
      <c r="G34" s="189" t="s">
        <v>429</v>
      </c>
      <c r="H34" s="366">
        <v>2</v>
      </c>
      <c r="I34" s="366" t="s">
        <v>29</v>
      </c>
      <c r="J34" s="366">
        <v>3</v>
      </c>
      <c r="K34" s="212">
        <f t="shared" si="5"/>
        <v>2</v>
      </c>
      <c r="L34" s="210">
        <f>VLOOKUP($B34,Invulblad!$A$11:$S$103,13,0)</f>
        <v>2</v>
      </c>
      <c r="M34" s="211">
        <f>IF(L34&lt;&gt;"",VLOOKUP($B34,Invulblad!$A$11:$S$103,7,0),"")</f>
        <v>1</v>
      </c>
      <c r="N34" s="209" t="s">
        <v>29</v>
      </c>
      <c r="O34" s="211">
        <f>IF(L34&lt;&gt;"",VLOOKUP($B34,Invulblad!$A$11:$S$103,9,0),"")</f>
        <v>4</v>
      </c>
      <c r="P34" s="212">
        <f t="shared" si="8"/>
        <v>5</v>
      </c>
    </row>
    <row r="35" spans="1:16" ht="15" customHeight="1">
      <c r="A35" s="188">
        <v>22</v>
      </c>
      <c r="B35" s="195">
        <v>38</v>
      </c>
      <c r="C35" s="332">
        <v>41814</v>
      </c>
      <c r="D35" s="333">
        <v>0.91666666666666663</v>
      </c>
      <c r="E35" s="189" t="s">
        <v>233</v>
      </c>
      <c r="F35" s="189" t="s">
        <v>29</v>
      </c>
      <c r="G35" s="189" t="s">
        <v>125</v>
      </c>
      <c r="H35" s="366">
        <v>1</v>
      </c>
      <c r="I35" s="366" t="s">
        <v>29</v>
      </c>
      <c r="J35" s="366">
        <v>1</v>
      </c>
      <c r="K35" s="212">
        <f t="shared" si="5"/>
        <v>3</v>
      </c>
      <c r="L35" s="210" t="str">
        <f>VLOOKUP($B35,Invulblad!$A$11:$S$103,13,0)</f>
        <v>1</v>
      </c>
      <c r="M35" s="211">
        <f>IF(L35&lt;&gt;"",VLOOKUP($B35,Invulblad!$A$11:$S$103,7,0),"")</f>
        <v>2</v>
      </c>
      <c r="N35" s="209" t="s">
        <v>29</v>
      </c>
      <c r="O35" s="211">
        <f>IF(L35&lt;&gt;"",VLOOKUP($B35,Invulblad!$A$11:$S$103,9,0),"")</f>
        <v>1</v>
      </c>
      <c r="P35" s="212">
        <f t="shared" si="8"/>
        <v>0</v>
      </c>
    </row>
    <row r="36" spans="1:16" ht="15" customHeight="1">
      <c r="A36" s="188">
        <v>23</v>
      </c>
      <c r="B36" s="201" t="s">
        <v>33</v>
      </c>
      <c r="H36" s="201"/>
      <c r="I36" s="201"/>
      <c r="J36" s="201"/>
      <c r="K36" s="213" t="str">
        <f t="shared" si="5"/>
        <v/>
      </c>
      <c r="L36" s="210"/>
      <c r="M36" s="211" t="str">
        <f>IF(L36&lt;&gt;"",VLOOKUP($B36,Invulblad!$A$11:$S$103,7,0),"")</f>
        <v/>
      </c>
      <c r="N36" s="209"/>
      <c r="O36" s="211" t="str">
        <f>IF(L36&lt;&gt;"",VLOOKUP($B36,Invulblad!$A$11:$S$103,9,0),"")</f>
        <v/>
      </c>
    </row>
    <row r="37" spans="1:16" ht="15" customHeight="1">
      <c r="B37" s="201" t="s">
        <v>272</v>
      </c>
      <c r="C37" s="189" t="s">
        <v>420</v>
      </c>
      <c r="D37" s="189" t="s">
        <v>421</v>
      </c>
      <c r="E37" s="189" t="s">
        <v>145</v>
      </c>
      <c r="F37" s="189" t="s">
        <v>29</v>
      </c>
      <c r="G37" s="189" t="s">
        <v>145</v>
      </c>
      <c r="H37" s="365" t="s">
        <v>93</v>
      </c>
      <c r="I37" s="365"/>
      <c r="J37" s="365"/>
      <c r="K37" s="213"/>
      <c r="L37" s="210"/>
      <c r="M37" s="211"/>
      <c r="N37" s="209"/>
      <c r="O37" s="211"/>
    </row>
    <row r="38" spans="1:16" ht="15" customHeight="1">
      <c r="A38" s="188">
        <v>25</v>
      </c>
      <c r="B38" s="195">
        <v>7</v>
      </c>
      <c r="C38" s="332">
        <v>41804</v>
      </c>
      <c r="D38" s="333">
        <v>0.875</v>
      </c>
      <c r="E38" s="189" t="s">
        <v>231</v>
      </c>
      <c r="F38" s="189" t="s">
        <v>29</v>
      </c>
      <c r="G38" s="189" t="s">
        <v>430</v>
      </c>
      <c r="H38" s="366">
        <v>4</v>
      </c>
      <c r="I38" s="366" t="s">
        <v>29</v>
      </c>
      <c r="J38" s="366">
        <v>0</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ht="15" customHeight="1">
      <c r="A39" s="188">
        <v>26</v>
      </c>
      <c r="B39" s="195">
        <v>8</v>
      </c>
      <c r="C39" s="332">
        <v>41805</v>
      </c>
      <c r="D39" s="333">
        <v>0</v>
      </c>
      <c r="E39" s="189" t="s">
        <v>235</v>
      </c>
      <c r="F39" s="189" t="s">
        <v>29</v>
      </c>
      <c r="G39" s="189" t="s">
        <v>563</v>
      </c>
      <c r="H39" s="366">
        <v>1</v>
      </c>
      <c r="I39" s="366" t="s">
        <v>29</v>
      </c>
      <c r="J39" s="366">
        <v>3</v>
      </c>
      <c r="K39" s="212">
        <f t="shared" si="5"/>
        <v>2</v>
      </c>
      <c r="L39" s="210">
        <f>VLOOKUP($B39,Invulblad!$A$11:$S$103,13,0)</f>
        <v>2</v>
      </c>
      <c r="M39" s="211">
        <f>IF(L39&lt;&gt;"",VLOOKUP($B39,Invulblad!$A$11:$S$103,7,0),"")</f>
        <v>1</v>
      </c>
      <c r="N39" s="209" t="s">
        <v>29</v>
      </c>
      <c r="O39" s="211">
        <f>IF(L39&lt;&gt;"",VLOOKUP($B39,Invulblad!$A$11:$S$103,9,0),"")</f>
        <v>2</v>
      </c>
      <c r="P39" s="212">
        <f t="shared" si="9"/>
        <v>5</v>
      </c>
    </row>
    <row r="40" spans="1:16" ht="15" customHeight="1">
      <c r="A40" s="188">
        <v>27</v>
      </c>
      <c r="B40" s="195">
        <v>23</v>
      </c>
      <c r="C40" s="332">
        <v>41809</v>
      </c>
      <c r="D40" s="333">
        <v>0.875</v>
      </c>
      <c r="E40" s="189" t="s">
        <v>231</v>
      </c>
      <c r="F40" s="189" t="s">
        <v>29</v>
      </c>
      <c r="G40" s="189" t="s">
        <v>112</v>
      </c>
      <c r="H40" s="366">
        <v>3</v>
      </c>
      <c r="I40" s="366" t="s">
        <v>29</v>
      </c>
      <c r="J40" s="366">
        <v>0</v>
      </c>
      <c r="K40" s="212" t="str">
        <f t="shared" si="5"/>
        <v>1</v>
      </c>
      <c r="L40" s="210" t="str">
        <f>VLOOKUP($B40,Invulblad!$A$11:$S$103,13,0)</f>
        <v>1</v>
      </c>
      <c r="M40" s="211">
        <f>IF(L40&lt;&gt;"",VLOOKUP($B40,Invulblad!$A$11:$S$103,7,0),"")</f>
        <v>2</v>
      </c>
      <c r="N40" s="209" t="s">
        <v>29</v>
      </c>
      <c r="O40" s="211">
        <f>IF(L40&lt;&gt;"",VLOOKUP($B40,Invulblad!$A$11:$S$103,9,0),"")</f>
        <v>1</v>
      </c>
      <c r="P40" s="212">
        <f t="shared" si="9"/>
        <v>5</v>
      </c>
    </row>
    <row r="41" spans="1:16" ht="15" customHeight="1">
      <c r="A41" s="188">
        <v>28</v>
      </c>
      <c r="B41" s="195">
        <v>24</v>
      </c>
      <c r="C41" s="332">
        <v>41810</v>
      </c>
      <c r="D41" s="333">
        <v>0.75</v>
      </c>
      <c r="E41" s="189" t="s">
        <v>564</v>
      </c>
      <c r="F41" s="189" t="s">
        <v>29</v>
      </c>
      <c r="G41" s="189" t="s">
        <v>430</v>
      </c>
      <c r="H41" s="366">
        <v>4</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ht="15" customHeight="1">
      <c r="A42" s="188">
        <v>29</v>
      </c>
      <c r="B42" s="195">
        <v>39</v>
      </c>
      <c r="C42" s="332">
        <v>41814</v>
      </c>
      <c r="D42" s="333">
        <v>0.75</v>
      </c>
      <c r="E42" s="189" t="s">
        <v>564</v>
      </c>
      <c r="F42" s="189" t="s">
        <v>29</v>
      </c>
      <c r="G42" s="189" t="s">
        <v>99</v>
      </c>
      <c r="H42" s="366">
        <v>0</v>
      </c>
      <c r="I42" s="366" t="s">
        <v>29</v>
      </c>
      <c r="J42" s="366">
        <v>0</v>
      </c>
      <c r="K42" s="212">
        <f t="shared" si="5"/>
        <v>3</v>
      </c>
      <c r="L42" s="210">
        <f>VLOOKUP($B42,Invulblad!$A$11:$S$103,13,0)</f>
        <v>2</v>
      </c>
      <c r="M42" s="211">
        <f>IF(L42&lt;&gt;"",VLOOKUP($B42,Invulblad!$A$11:$S$103,7,0),"")</f>
        <v>0</v>
      </c>
      <c r="N42" s="209" t="s">
        <v>29</v>
      </c>
      <c r="O42" s="211">
        <f>IF(L42&lt;&gt;"",VLOOKUP($B42,Invulblad!$A$11:$S$103,9,0),"")</f>
        <v>1</v>
      </c>
      <c r="P42" s="212">
        <f t="shared" si="9"/>
        <v>0</v>
      </c>
    </row>
    <row r="43" spans="1:16" ht="15" customHeight="1">
      <c r="A43" s="188">
        <v>30</v>
      </c>
      <c r="B43" s="195">
        <v>40</v>
      </c>
      <c r="C43" s="332">
        <v>41814</v>
      </c>
      <c r="D43" s="333">
        <v>0.75</v>
      </c>
      <c r="E43" s="189" t="s">
        <v>433</v>
      </c>
      <c r="F43" s="189" t="s">
        <v>29</v>
      </c>
      <c r="G43" s="189" t="s">
        <v>112</v>
      </c>
      <c r="H43" s="366">
        <v>1</v>
      </c>
      <c r="I43" s="366" t="s">
        <v>29</v>
      </c>
      <c r="J43" s="366">
        <v>2</v>
      </c>
      <c r="K43" s="212">
        <f t="shared" si="5"/>
        <v>2</v>
      </c>
      <c r="L43" s="210">
        <f>VLOOKUP($B43,Invulblad!$A$11:$S$103,13,0)</f>
        <v>3</v>
      </c>
      <c r="M43" s="211">
        <f>IF(L43&lt;&gt;"",VLOOKUP($B43,Invulblad!$A$11:$S$103,7,0),"")</f>
        <v>0</v>
      </c>
      <c r="N43" s="209" t="s">
        <v>29</v>
      </c>
      <c r="O43" s="211">
        <f>IF(L43&lt;&gt;"",VLOOKUP($B43,Invulblad!$A$11:$S$103,9,0),"")</f>
        <v>0</v>
      </c>
      <c r="P43" s="212">
        <f t="shared" si="9"/>
        <v>0</v>
      </c>
    </row>
    <row r="44" spans="1:16" ht="15" customHeight="1">
      <c r="A44" s="188">
        <v>31</v>
      </c>
      <c r="B44" s="201" t="s">
        <v>34</v>
      </c>
      <c r="H44" s="201"/>
      <c r="I44" s="201"/>
      <c r="J44" s="201"/>
      <c r="K44" s="213" t="str">
        <f t="shared" si="5"/>
        <v/>
      </c>
      <c r="L44" s="210"/>
      <c r="M44" s="211" t="str">
        <f>IF(L44&lt;&gt;"",VLOOKUP($B44,Invulblad!$A$11:$S$103,7,0),"")</f>
        <v/>
      </c>
      <c r="N44" s="209"/>
      <c r="O44" s="211" t="str">
        <f>IF(L44&lt;&gt;"",VLOOKUP($B44,Invulblad!$A$11:$S$103,9,0),"")</f>
        <v/>
      </c>
    </row>
    <row r="45" spans="1:16" ht="15" customHeight="1">
      <c r="B45" s="201" t="s">
        <v>272</v>
      </c>
      <c r="C45" s="189" t="s">
        <v>420</v>
      </c>
      <c r="D45" s="189" t="s">
        <v>421</v>
      </c>
      <c r="E45" s="189" t="s">
        <v>145</v>
      </c>
      <c r="F45" s="189" t="s">
        <v>29</v>
      </c>
      <c r="G45" s="189" t="s">
        <v>145</v>
      </c>
      <c r="H45" s="365" t="s">
        <v>93</v>
      </c>
      <c r="I45" s="365"/>
      <c r="J45" s="365"/>
      <c r="K45" s="213"/>
      <c r="L45" s="210"/>
      <c r="M45" s="211"/>
      <c r="N45" s="209"/>
      <c r="O45" s="211"/>
    </row>
    <row r="46" spans="1:16" ht="15" customHeight="1">
      <c r="A46" s="188">
        <v>33</v>
      </c>
      <c r="B46" s="195">
        <v>9</v>
      </c>
      <c r="C46" s="332">
        <v>41805</v>
      </c>
      <c r="D46" s="333">
        <v>0.75</v>
      </c>
      <c r="E46" s="189" t="s">
        <v>134</v>
      </c>
      <c r="F46" s="189" t="s">
        <v>29</v>
      </c>
      <c r="G46" s="189" t="s">
        <v>434</v>
      </c>
      <c r="H46" s="366">
        <v>2</v>
      </c>
      <c r="I46" s="366" t="s">
        <v>29</v>
      </c>
      <c r="J46" s="366">
        <v>3</v>
      </c>
      <c r="K46" s="212">
        <f t="shared" si="5"/>
        <v>2</v>
      </c>
      <c r="L46" s="210" t="str">
        <f>VLOOKUP($B46,Invulblad!$A$11:$S$103,13,0)</f>
        <v>1</v>
      </c>
      <c r="M46" s="211">
        <f>IF(L46&lt;&gt;"",VLOOKUP($B46,Invulblad!$A$11:$S$103,7,0),"")</f>
        <v>2</v>
      </c>
      <c r="N46" s="209" t="s">
        <v>29</v>
      </c>
      <c r="O46" s="211">
        <f>IF(L46&lt;&gt;"",VLOOKUP($B46,Invulblad!$A$11:$S$103,9,0),"")</f>
        <v>1</v>
      </c>
      <c r="P46" s="212">
        <f t="shared" ref="P46:P51" si="10">IF(L46&lt;&gt;"",IF(AND(M46=H46,O46=J46),10,IF(K46=L46,5,0)),"")</f>
        <v>0</v>
      </c>
    </row>
    <row r="47" spans="1:16" ht="15" customHeight="1">
      <c r="A47" s="188">
        <v>34</v>
      </c>
      <c r="B47" s="195">
        <v>10</v>
      </c>
      <c r="C47" s="332">
        <v>41805</v>
      </c>
      <c r="D47" s="333">
        <v>0.875</v>
      </c>
      <c r="E47" s="189" t="s">
        <v>100</v>
      </c>
      <c r="F47" s="189" t="s">
        <v>29</v>
      </c>
      <c r="G47" s="189" t="s">
        <v>132</v>
      </c>
      <c r="H47" s="366">
        <v>3</v>
      </c>
      <c r="I47" s="366" t="s">
        <v>29</v>
      </c>
      <c r="J47" s="366">
        <v>1</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ht="15" customHeight="1">
      <c r="A48" s="188">
        <v>35</v>
      </c>
      <c r="B48" s="195">
        <v>25</v>
      </c>
      <c r="C48" s="332">
        <v>41810</v>
      </c>
      <c r="D48" s="333">
        <v>0.875</v>
      </c>
      <c r="E48" s="189" t="s">
        <v>134</v>
      </c>
      <c r="F48" s="189" t="s">
        <v>29</v>
      </c>
      <c r="G48" s="189" t="s">
        <v>98</v>
      </c>
      <c r="H48" s="366">
        <v>0</v>
      </c>
      <c r="I48" s="366" t="s">
        <v>29</v>
      </c>
      <c r="J48" s="366">
        <v>3</v>
      </c>
      <c r="K48" s="212">
        <f t="shared" si="5"/>
        <v>2</v>
      </c>
      <c r="L48" s="210">
        <f>VLOOKUP($B48,Invulblad!$A$11:$S$103,13,0)</f>
        <v>2</v>
      </c>
      <c r="M48" s="211">
        <f>IF(L48&lt;&gt;"",VLOOKUP($B48,Invulblad!$A$11:$S$103,7,0),"")</f>
        <v>2</v>
      </c>
      <c r="N48" s="209" t="s">
        <v>29</v>
      </c>
      <c r="O48" s="211">
        <f>IF(L48&lt;&gt;"",VLOOKUP($B48,Invulblad!$A$11:$S$103,9,0),"")</f>
        <v>5</v>
      </c>
      <c r="P48" s="212">
        <f t="shared" si="10"/>
        <v>5</v>
      </c>
    </row>
    <row r="49" spans="1:16" ht="15" customHeight="1">
      <c r="A49" s="188">
        <v>36</v>
      </c>
      <c r="B49" s="195">
        <v>26</v>
      </c>
      <c r="C49" s="332">
        <v>41811</v>
      </c>
      <c r="D49" s="333">
        <v>0</v>
      </c>
      <c r="E49" s="189" t="s">
        <v>127</v>
      </c>
      <c r="F49" s="189" t="s">
        <v>29</v>
      </c>
      <c r="G49" s="189" t="s">
        <v>434</v>
      </c>
      <c r="H49" s="366">
        <v>3</v>
      </c>
      <c r="I49" s="366" t="s">
        <v>29</v>
      </c>
      <c r="J49" s="366">
        <v>3</v>
      </c>
      <c r="K49" s="212">
        <f t="shared" si="5"/>
        <v>3</v>
      </c>
      <c r="L49" s="210">
        <f>VLOOKUP($B49,Invulblad!$A$11:$S$103,13,0)</f>
        <v>2</v>
      </c>
      <c r="M49" s="211">
        <f>IF(L49&lt;&gt;"",VLOOKUP($B49,Invulblad!$A$11:$S$103,7,0),"")</f>
        <v>1</v>
      </c>
      <c r="N49" s="209" t="s">
        <v>29</v>
      </c>
      <c r="O49" s="211">
        <f>IF(L49&lt;&gt;"",VLOOKUP($B49,Invulblad!$A$11:$S$103,9,0),"")</f>
        <v>2</v>
      </c>
      <c r="P49" s="212">
        <f t="shared" si="10"/>
        <v>0</v>
      </c>
    </row>
    <row r="50" spans="1:16" ht="15" customHeight="1">
      <c r="A50" s="188">
        <v>37</v>
      </c>
      <c r="B50" s="195">
        <v>41</v>
      </c>
      <c r="C50" s="332">
        <v>41815</v>
      </c>
      <c r="D50" s="333">
        <v>0.91666666666666663</v>
      </c>
      <c r="E50" s="189" t="s">
        <v>127</v>
      </c>
      <c r="F50" s="189" t="s">
        <v>29</v>
      </c>
      <c r="G50" s="189" t="s">
        <v>130</v>
      </c>
      <c r="H50" s="366">
        <v>2</v>
      </c>
      <c r="I50" s="366" t="s">
        <v>29</v>
      </c>
      <c r="J50" s="366">
        <v>3</v>
      </c>
      <c r="K50" s="212">
        <f t="shared" ref="K50:K85" si="11">IF(AND(H50="",J50=""),"",IF(OR(H50="",J50=""),"FOUT",IF(H50&gt;J50,"1",IF(H50=J50,3,2))))</f>
        <v>2</v>
      </c>
      <c r="L50" s="210">
        <f>VLOOKUP($B50,Invulblad!$A$11:$S$103,13,0)</f>
        <v>2</v>
      </c>
      <c r="M50" s="211">
        <f>IF(L50&lt;&gt;"",VLOOKUP($B50,Invulblad!$A$11:$S$103,7,0),"")</f>
        <v>0</v>
      </c>
      <c r="N50" s="209" t="s">
        <v>29</v>
      </c>
      <c r="O50" s="211">
        <f>IF(L50&lt;&gt;"",VLOOKUP($B50,Invulblad!$A$11:$S$103,9,0),"")</f>
        <v>3</v>
      </c>
      <c r="P50" s="212">
        <f t="shared" si="10"/>
        <v>5</v>
      </c>
    </row>
    <row r="51" spans="1:16" ht="15" customHeight="1">
      <c r="A51" s="188">
        <v>38</v>
      </c>
      <c r="B51" s="195">
        <v>42</v>
      </c>
      <c r="C51" s="332">
        <v>41815</v>
      </c>
      <c r="D51" s="333">
        <v>0.91666666666666663</v>
      </c>
      <c r="E51" s="189" t="s">
        <v>435</v>
      </c>
      <c r="F51" s="189" t="s">
        <v>29</v>
      </c>
      <c r="G51" s="189" t="s">
        <v>98</v>
      </c>
      <c r="H51" s="366">
        <v>1</v>
      </c>
      <c r="I51" s="366" t="s">
        <v>29</v>
      </c>
      <c r="J51" s="366">
        <v>2</v>
      </c>
      <c r="K51" s="212">
        <f t="shared" si="11"/>
        <v>2</v>
      </c>
      <c r="L51" s="210">
        <f>VLOOKUP($B51,Invulblad!$A$11:$S$103,13,0)</f>
        <v>3</v>
      </c>
      <c r="M51" s="211">
        <f>IF(L51&lt;&gt;"",VLOOKUP($B51,Invulblad!$A$11:$S$103,7,0),"")</f>
        <v>0</v>
      </c>
      <c r="N51" s="209" t="s">
        <v>29</v>
      </c>
      <c r="O51" s="211">
        <f>IF(L51&lt;&gt;"",VLOOKUP($B51,Invulblad!$A$11:$S$103,9,0),"")</f>
        <v>0</v>
      </c>
      <c r="P51" s="212">
        <f t="shared" si="10"/>
        <v>0</v>
      </c>
    </row>
    <row r="52" spans="1:16" ht="15" customHeight="1">
      <c r="A52" s="188">
        <v>39</v>
      </c>
      <c r="B52" s="201" t="s">
        <v>35</v>
      </c>
      <c r="H52" s="201"/>
      <c r="I52" s="201"/>
      <c r="J52" s="201"/>
      <c r="K52" s="213" t="str">
        <f t="shared" si="11"/>
        <v/>
      </c>
      <c r="L52" s="210"/>
      <c r="M52" s="211" t="str">
        <f>IF(L52&lt;&gt;"",VLOOKUP($B52,Invulblad!$A$11:$S$103,7,0),"")</f>
        <v/>
      </c>
      <c r="N52" s="209"/>
      <c r="O52" s="211" t="str">
        <f>IF(L52&lt;&gt;"",VLOOKUP($B52,Invulblad!$A$11:$S$103,9,0),"")</f>
        <v/>
      </c>
    </row>
    <row r="53" spans="1:16" ht="15" customHeight="1">
      <c r="B53" s="201" t="s">
        <v>272</v>
      </c>
      <c r="C53" s="189" t="s">
        <v>420</v>
      </c>
      <c r="D53" s="189" t="s">
        <v>421</v>
      </c>
      <c r="E53" s="189" t="s">
        <v>145</v>
      </c>
      <c r="F53" s="189" t="s">
        <v>29</v>
      </c>
      <c r="G53" s="189" t="s">
        <v>145</v>
      </c>
      <c r="H53" s="365" t="s">
        <v>93</v>
      </c>
      <c r="I53" s="365"/>
      <c r="J53" s="365"/>
      <c r="K53" s="213"/>
      <c r="L53" s="210"/>
      <c r="M53" s="211"/>
      <c r="N53" s="209"/>
      <c r="O53" s="211"/>
    </row>
    <row r="54" spans="1:16" ht="15" customHeight="1">
      <c r="A54" s="188">
        <v>41</v>
      </c>
      <c r="B54" s="195">
        <v>11</v>
      </c>
      <c r="C54" s="332">
        <v>41806</v>
      </c>
      <c r="D54" s="333">
        <v>0</v>
      </c>
      <c r="E54" s="189" t="s">
        <v>565</v>
      </c>
      <c r="F54" s="189" t="s">
        <v>29</v>
      </c>
      <c r="G54" s="189" t="s">
        <v>566</v>
      </c>
      <c r="H54" s="366">
        <v>6</v>
      </c>
      <c r="I54" s="366" t="s">
        <v>29</v>
      </c>
      <c r="J54" s="366">
        <v>1</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ht="15" customHeight="1">
      <c r="A55" s="188">
        <v>42</v>
      </c>
      <c r="B55" s="195">
        <v>12</v>
      </c>
      <c r="C55" s="332">
        <v>41806</v>
      </c>
      <c r="D55" s="333">
        <v>0.875</v>
      </c>
      <c r="E55" s="189" t="s">
        <v>438</v>
      </c>
      <c r="F55" s="189" t="s">
        <v>29</v>
      </c>
      <c r="G55" s="189" t="s">
        <v>103</v>
      </c>
      <c r="H55" s="366">
        <v>1</v>
      </c>
      <c r="I55" s="366" t="s">
        <v>29</v>
      </c>
      <c r="J55" s="366">
        <v>2</v>
      </c>
      <c r="K55" s="212">
        <f t="shared" si="11"/>
        <v>2</v>
      </c>
      <c r="L55" s="210">
        <f>VLOOKUP($B55,Invulblad!$A$11:$S$103,13,0)</f>
        <v>3</v>
      </c>
      <c r="M55" s="211">
        <f>IF(L55&lt;&gt;"",VLOOKUP($B55,Invulblad!$A$11:$S$103,7,0),"")</f>
        <v>0</v>
      </c>
      <c r="N55" s="209" t="s">
        <v>29</v>
      </c>
      <c r="O55" s="211">
        <f>IF(L55&lt;&gt;"",VLOOKUP($B55,Invulblad!$A$11:$S$103,9,0),"")</f>
        <v>0</v>
      </c>
      <c r="P55" s="212">
        <f t="shared" si="12"/>
        <v>0</v>
      </c>
    </row>
    <row r="56" spans="1:16" ht="15" customHeight="1">
      <c r="A56" s="188">
        <v>43</v>
      </c>
      <c r="B56" s="195">
        <v>27</v>
      </c>
      <c r="C56" s="332">
        <v>41811</v>
      </c>
      <c r="D56" s="333">
        <v>0.75</v>
      </c>
      <c r="E56" s="189" t="s">
        <v>565</v>
      </c>
      <c r="F56" s="189" t="s">
        <v>29</v>
      </c>
      <c r="G56" s="189" t="s">
        <v>439</v>
      </c>
      <c r="H56" s="366">
        <v>4</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ht="15" customHeight="1">
      <c r="A57" s="188">
        <v>44</v>
      </c>
      <c r="B57" s="195">
        <v>28</v>
      </c>
      <c r="C57" s="332">
        <v>41812</v>
      </c>
      <c r="D57" s="333">
        <v>0</v>
      </c>
      <c r="E57" s="189" t="s">
        <v>234</v>
      </c>
      <c r="F57" s="189" t="s">
        <v>29</v>
      </c>
      <c r="G57" s="189" t="s">
        <v>566</v>
      </c>
      <c r="H57" s="366">
        <v>3</v>
      </c>
      <c r="I57" s="366" t="s">
        <v>29</v>
      </c>
      <c r="J57" s="366">
        <v>4</v>
      </c>
      <c r="K57" s="212">
        <f t="shared" si="11"/>
        <v>2</v>
      </c>
      <c r="L57" s="210" t="str">
        <f>VLOOKUP($B57,Invulblad!$A$11:$S$103,13,0)</f>
        <v>1</v>
      </c>
      <c r="M57" s="211">
        <f>IF(L57&lt;&gt;"",VLOOKUP($B57,Invulblad!$A$11:$S$103,7,0),"")</f>
        <v>1</v>
      </c>
      <c r="N57" s="209" t="s">
        <v>29</v>
      </c>
      <c r="O57" s="211">
        <f>IF(L57&lt;&gt;"",VLOOKUP($B57,Invulblad!$A$11:$S$103,9,0),"")</f>
        <v>0</v>
      </c>
      <c r="P57" s="212">
        <f t="shared" si="12"/>
        <v>0</v>
      </c>
    </row>
    <row r="58" spans="1:16" ht="15" customHeight="1">
      <c r="A58" s="188">
        <v>45</v>
      </c>
      <c r="B58" s="195">
        <v>43</v>
      </c>
      <c r="C58" s="332">
        <v>41815</v>
      </c>
      <c r="D58" s="333">
        <v>0.75</v>
      </c>
      <c r="E58" s="189" t="s">
        <v>234</v>
      </c>
      <c r="F58" s="189" t="s">
        <v>29</v>
      </c>
      <c r="G58" s="189" t="s">
        <v>567</v>
      </c>
      <c r="H58" s="366">
        <v>0</v>
      </c>
      <c r="I58" s="366" t="s">
        <v>29</v>
      </c>
      <c r="J58" s="366">
        <v>4</v>
      </c>
      <c r="K58" s="212">
        <f t="shared" si="11"/>
        <v>2</v>
      </c>
      <c r="L58" s="210">
        <f>VLOOKUP($B58,Invulblad!$A$11:$S$103,13,0)</f>
        <v>2</v>
      </c>
      <c r="M58" s="211">
        <f>IF(L58&lt;&gt;"",VLOOKUP($B58,Invulblad!$A$11:$S$103,7,0),"")</f>
        <v>2</v>
      </c>
      <c r="N58" s="209" t="s">
        <v>29</v>
      </c>
      <c r="O58" s="211">
        <f>IF(L58&lt;&gt;"",VLOOKUP($B58,Invulblad!$A$11:$S$103,9,0),"")</f>
        <v>3</v>
      </c>
      <c r="P58" s="212">
        <f t="shared" si="12"/>
        <v>5</v>
      </c>
    </row>
    <row r="59" spans="1:16" ht="15" customHeight="1">
      <c r="A59" s="188">
        <v>46</v>
      </c>
      <c r="B59" s="195">
        <v>44</v>
      </c>
      <c r="C59" s="332">
        <v>41815</v>
      </c>
      <c r="D59" s="333">
        <v>0.75</v>
      </c>
      <c r="E59" s="189" t="s">
        <v>568</v>
      </c>
      <c r="F59" s="189" t="s">
        <v>29</v>
      </c>
      <c r="G59" s="189" t="s">
        <v>439</v>
      </c>
      <c r="H59" s="366">
        <v>3</v>
      </c>
      <c r="I59" s="366" t="s">
        <v>29</v>
      </c>
      <c r="J59" s="366">
        <v>2</v>
      </c>
      <c r="K59" s="212" t="str">
        <f t="shared" si="11"/>
        <v>1</v>
      </c>
      <c r="L59" s="210" t="str">
        <f>VLOOKUP($B59,Invulblad!$A$11:$S$103,13,0)</f>
        <v>1</v>
      </c>
      <c r="M59" s="211">
        <f>IF(L59&lt;&gt;"",VLOOKUP($B59,Invulblad!$A$11:$S$103,7,0),"")</f>
        <v>3</v>
      </c>
      <c r="N59" s="209" t="s">
        <v>29</v>
      </c>
      <c r="O59" s="211">
        <f>IF(L59&lt;&gt;"",VLOOKUP($B59,Invulblad!$A$11:$S$103,9,0),"")</f>
        <v>1</v>
      </c>
      <c r="P59" s="212">
        <f t="shared" si="12"/>
        <v>5</v>
      </c>
    </row>
    <row r="60" spans="1:16" ht="15" customHeight="1">
      <c r="A60" s="188">
        <v>47</v>
      </c>
      <c r="B60" s="201" t="s">
        <v>36</v>
      </c>
      <c r="H60" s="201"/>
      <c r="I60" s="201"/>
      <c r="J60" s="201"/>
      <c r="K60" s="213" t="str">
        <f t="shared" si="11"/>
        <v/>
      </c>
      <c r="L60" s="210"/>
      <c r="M60" s="211" t="str">
        <f>IF(L60&lt;&gt;"",VLOOKUP($B60,Invulblad!$A$11:$S$103,7,0),"")</f>
        <v/>
      </c>
      <c r="N60" s="209"/>
      <c r="O60" s="211" t="str">
        <f>IF(L60&lt;&gt;"",VLOOKUP($B60,Invulblad!$A$11:$S$103,9,0),"")</f>
        <v/>
      </c>
    </row>
    <row r="61" spans="1:16" ht="15" customHeight="1">
      <c r="B61" s="201" t="s">
        <v>272</v>
      </c>
      <c r="C61" s="189" t="s">
        <v>420</v>
      </c>
      <c r="D61" s="189" t="s">
        <v>421</v>
      </c>
      <c r="E61" s="189" t="s">
        <v>145</v>
      </c>
      <c r="F61" s="189" t="s">
        <v>29</v>
      </c>
      <c r="G61" s="189" t="s">
        <v>145</v>
      </c>
      <c r="H61" s="365" t="s">
        <v>93</v>
      </c>
      <c r="I61" s="365"/>
      <c r="J61" s="365"/>
      <c r="K61" s="213"/>
      <c r="L61" s="210"/>
      <c r="M61" s="211"/>
      <c r="N61" s="209"/>
      <c r="O61" s="211"/>
    </row>
    <row r="62" spans="1:16" ht="15" customHeight="1">
      <c r="A62" s="188">
        <v>49</v>
      </c>
      <c r="B62" s="195">
        <v>13</v>
      </c>
      <c r="C62" s="332">
        <v>41806</v>
      </c>
      <c r="D62" s="333">
        <v>0.75</v>
      </c>
      <c r="E62" s="189" t="s">
        <v>113</v>
      </c>
      <c r="F62" s="189" t="s">
        <v>29</v>
      </c>
      <c r="G62" s="189" t="s">
        <v>124</v>
      </c>
      <c r="H62" s="366">
        <v>1</v>
      </c>
      <c r="I62" s="366" t="s">
        <v>29</v>
      </c>
      <c r="J62" s="366">
        <v>1</v>
      </c>
      <c r="K62" s="212">
        <f t="shared" si="11"/>
        <v>3</v>
      </c>
      <c r="L62" s="210" t="str">
        <f>VLOOKUP($B62,Invulblad!$A$11:$S$103,13,0)</f>
        <v>1</v>
      </c>
      <c r="M62" s="211">
        <f>IF(L62&lt;&gt;"",VLOOKUP($B62,Invulblad!$A$11:$S$103,7,0),"")</f>
        <v>4</v>
      </c>
      <c r="N62" s="209" t="s">
        <v>29</v>
      </c>
      <c r="O62" s="211">
        <f>IF(L62&lt;&gt;"",VLOOKUP($B62,Invulblad!$A$11:$S$103,9,0),"")</f>
        <v>0</v>
      </c>
      <c r="P62" s="212">
        <f t="shared" ref="P62:P67" si="13">IF(L62&lt;&gt;"",IF(AND(M62=H62,O62=J62),10,IF(K62=L62,5,0)),"")</f>
        <v>0</v>
      </c>
    </row>
    <row r="63" spans="1:16" ht="15" customHeight="1">
      <c r="A63" s="188">
        <v>50</v>
      </c>
      <c r="B63" s="195">
        <v>14</v>
      </c>
      <c r="C63" s="332">
        <v>41807</v>
      </c>
      <c r="D63" s="333">
        <v>0</v>
      </c>
      <c r="E63" s="189" t="s">
        <v>115</v>
      </c>
      <c r="F63" s="189" t="s">
        <v>29</v>
      </c>
      <c r="G63" s="189" t="s">
        <v>577</v>
      </c>
      <c r="H63" s="366">
        <v>1</v>
      </c>
      <c r="I63" s="366" t="s">
        <v>29</v>
      </c>
      <c r="J63" s="366">
        <v>2</v>
      </c>
      <c r="K63" s="212">
        <f t="shared" si="11"/>
        <v>2</v>
      </c>
      <c r="L63" s="210">
        <f>VLOOKUP($B63,Invulblad!$A$11:$S$103,13,0)</f>
        <v>2</v>
      </c>
      <c r="M63" s="211">
        <f>IF(L63&lt;&gt;"",VLOOKUP($B63,Invulblad!$A$11:$S$103,7,0),"")</f>
        <v>1</v>
      </c>
      <c r="N63" s="209" t="s">
        <v>29</v>
      </c>
      <c r="O63" s="211">
        <f>IF(L63&lt;&gt;"",VLOOKUP($B63,Invulblad!$A$11:$S$103,9,0),"")</f>
        <v>2</v>
      </c>
      <c r="P63" s="212">
        <f t="shared" si="13"/>
        <v>10</v>
      </c>
    </row>
    <row r="64" spans="1:16" ht="15" customHeight="1">
      <c r="A64" s="188">
        <v>51</v>
      </c>
      <c r="B64" s="195">
        <v>29</v>
      </c>
      <c r="C64" s="332">
        <v>41811</v>
      </c>
      <c r="D64" s="333">
        <v>0.875</v>
      </c>
      <c r="E64" s="189" t="s">
        <v>113</v>
      </c>
      <c r="F64" s="189" t="s">
        <v>29</v>
      </c>
      <c r="G64" s="189" t="s">
        <v>114</v>
      </c>
      <c r="H64" s="366">
        <v>3</v>
      </c>
      <c r="I64" s="366" t="s">
        <v>29</v>
      </c>
      <c r="J64" s="366">
        <v>1</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ht="15" customHeight="1">
      <c r="A65" s="188">
        <v>52</v>
      </c>
      <c r="B65" s="195">
        <v>30</v>
      </c>
      <c r="C65" s="332">
        <v>41813</v>
      </c>
      <c r="D65" s="333">
        <v>0</v>
      </c>
      <c r="E65" s="189" t="s">
        <v>578</v>
      </c>
      <c r="F65" s="189" t="s">
        <v>29</v>
      </c>
      <c r="G65" s="189" t="s">
        <v>124</v>
      </c>
      <c r="H65" s="366">
        <v>2</v>
      </c>
      <c r="I65" s="366" t="s">
        <v>29</v>
      </c>
      <c r="J65" s="366">
        <v>4</v>
      </c>
      <c r="K65" s="212">
        <f t="shared" si="11"/>
        <v>2</v>
      </c>
      <c r="L65" s="210">
        <f>VLOOKUP($B65,Invulblad!$A$11:$S$103,13,0)</f>
        <v>3</v>
      </c>
      <c r="M65" s="211">
        <f>IF(L65&lt;&gt;"",VLOOKUP($B65,Invulblad!$A$11:$S$103,7,0),"")</f>
        <v>2</v>
      </c>
      <c r="N65" s="209" t="s">
        <v>29</v>
      </c>
      <c r="O65" s="211">
        <f>IF(L65&lt;&gt;"",VLOOKUP($B65,Invulblad!$A$11:$S$103,9,0),"")</f>
        <v>2</v>
      </c>
      <c r="P65" s="212">
        <f t="shared" si="13"/>
        <v>0</v>
      </c>
    </row>
    <row r="66" spans="1:16" ht="15" customHeight="1">
      <c r="A66" s="188">
        <v>53</v>
      </c>
      <c r="B66" s="195">
        <v>45</v>
      </c>
      <c r="C66" s="332">
        <v>41816</v>
      </c>
      <c r="D66" s="333">
        <v>0.75</v>
      </c>
      <c r="E66" s="189" t="s">
        <v>578</v>
      </c>
      <c r="F66" s="189" t="s">
        <v>29</v>
      </c>
      <c r="G66" s="189" t="s">
        <v>116</v>
      </c>
      <c r="H66" s="366">
        <v>0</v>
      </c>
      <c r="I66" s="366" t="s">
        <v>29</v>
      </c>
      <c r="J66" s="366">
        <v>2</v>
      </c>
      <c r="K66" s="212">
        <f t="shared" si="11"/>
        <v>2</v>
      </c>
      <c r="L66" s="210">
        <f>VLOOKUP($B66,Invulblad!$A$11:$S$103,13,0)</f>
        <v>2</v>
      </c>
      <c r="M66" s="211">
        <f>IF(L66&lt;&gt;"",VLOOKUP($B66,Invulblad!$A$11:$S$103,7,0),"")</f>
        <v>0</v>
      </c>
      <c r="N66" s="209" t="s">
        <v>29</v>
      </c>
      <c r="O66" s="211">
        <f>IF(L66&lt;&gt;"",VLOOKUP($B66,Invulblad!$A$11:$S$103,9,0),"")</f>
        <v>1</v>
      </c>
      <c r="P66" s="212">
        <f t="shared" si="13"/>
        <v>5</v>
      </c>
    </row>
    <row r="67" spans="1:16" ht="15" customHeight="1">
      <c r="A67" s="188">
        <v>54</v>
      </c>
      <c r="B67" s="195">
        <v>46</v>
      </c>
      <c r="C67" s="332">
        <v>41816</v>
      </c>
      <c r="D67" s="333">
        <v>0.75</v>
      </c>
      <c r="E67" s="189" t="s">
        <v>126</v>
      </c>
      <c r="F67" s="189" t="s">
        <v>29</v>
      </c>
      <c r="G67" s="189" t="s">
        <v>114</v>
      </c>
      <c r="H67" s="366">
        <v>4</v>
      </c>
      <c r="I67" s="366" t="s">
        <v>29</v>
      </c>
      <c r="J67" s="366">
        <v>2</v>
      </c>
      <c r="K67" s="212" t="str">
        <f t="shared" si="11"/>
        <v>1</v>
      </c>
      <c r="L67" s="210" t="str">
        <f>VLOOKUP($B67,Invulblad!$A$11:$S$103,13,0)</f>
        <v>1</v>
      </c>
      <c r="M67" s="211">
        <f>IF(L67&lt;&gt;"",VLOOKUP($B67,Invulblad!$A$11:$S$103,7,0),"")</f>
        <v>2</v>
      </c>
      <c r="N67" s="209" t="s">
        <v>29</v>
      </c>
      <c r="O67" s="211">
        <f>IF(L67&lt;&gt;"",VLOOKUP($B67,Invulblad!$A$11:$S$103,9,0),"")</f>
        <v>1</v>
      </c>
      <c r="P67" s="212">
        <f t="shared" si="13"/>
        <v>5</v>
      </c>
    </row>
    <row r="68" spans="1:16" ht="15" customHeight="1">
      <c r="A68" s="188">
        <v>55</v>
      </c>
      <c r="B68" s="201" t="s">
        <v>37</v>
      </c>
      <c r="H68" s="201"/>
      <c r="I68" s="201"/>
      <c r="J68" s="201"/>
      <c r="K68" s="213" t="str">
        <f t="shared" si="11"/>
        <v/>
      </c>
      <c r="L68" s="210"/>
      <c r="M68" s="211" t="str">
        <f>IF(L68&lt;&gt;"",VLOOKUP($B68,Invulblad!$A$11:$S$103,7,0),"")</f>
        <v/>
      </c>
      <c r="N68" s="209"/>
      <c r="O68" s="211" t="str">
        <f>IF(L68&lt;&gt;"",VLOOKUP($B68,Invulblad!$A$11:$S$103,9,0),"")</f>
        <v/>
      </c>
    </row>
    <row r="69" spans="1:16" ht="15" customHeight="1">
      <c r="B69" s="201" t="s">
        <v>272</v>
      </c>
      <c r="C69" s="189" t="s">
        <v>420</v>
      </c>
      <c r="D69" s="189" t="s">
        <v>421</v>
      </c>
      <c r="E69" s="189" t="s">
        <v>145</v>
      </c>
      <c r="F69" s="189" t="s">
        <v>29</v>
      </c>
      <c r="G69" s="189" t="s">
        <v>145</v>
      </c>
      <c r="H69" s="365" t="s">
        <v>93</v>
      </c>
      <c r="I69" s="365"/>
      <c r="J69" s="365"/>
      <c r="K69" s="213"/>
      <c r="L69" s="210"/>
      <c r="M69" s="211"/>
      <c r="N69" s="209"/>
      <c r="O69" s="211"/>
    </row>
    <row r="70" spans="1:16" ht="15" customHeight="1">
      <c r="A70" s="188">
        <v>57</v>
      </c>
      <c r="B70" s="195">
        <v>15</v>
      </c>
      <c r="C70" s="332">
        <v>41807</v>
      </c>
      <c r="D70" s="333">
        <v>0.75</v>
      </c>
      <c r="E70" s="189" t="s">
        <v>569</v>
      </c>
      <c r="F70" s="189" t="s">
        <v>29</v>
      </c>
      <c r="G70" s="189" t="s">
        <v>111</v>
      </c>
      <c r="H70" s="366">
        <v>4</v>
      </c>
      <c r="I70" s="366" t="s">
        <v>29</v>
      </c>
      <c r="J70" s="366">
        <v>0</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ht="15" customHeight="1">
      <c r="A71" s="188">
        <v>58</v>
      </c>
      <c r="B71" s="195">
        <v>16</v>
      </c>
      <c r="C71" s="332">
        <v>41808</v>
      </c>
      <c r="D71" s="333">
        <v>0</v>
      </c>
      <c r="E71" s="189" t="s">
        <v>445</v>
      </c>
      <c r="F71" s="189" t="s">
        <v>29</v>
      </c>
      <c r="G71" s="189" t="s">
        <v>107</v>
      </c>
      <c r="H71" s="366">
        <v>2</v>
      </c>
      <c r="I71" s="366" t="s">
        <v>29</v>
      </c>
      <c r="J71" s="366">
        <v>0</v>
      </c>
      <c r="K71" s="212" t="str">
        <f t="shared" si="11"/>
        <v>1</v>
      </c>
      <c r="L71" s="210">
        <f>VLOOKUP($B71,Invulblad!$A$11:$S$103,13,0)</f>
        <v>3</v>
      </c>
      <c r="M71" s="211">
        <f>IF(L71&lt;&gt;"",VLOOKUP($B71,Invulblad!$A$11:$S$103,7,0),"")</f>
        <v>1</v>
      </c>
      <c r="N71" s="209" t="s">
        <v>29</v>
      </c>
      <c r="O71" s="211">
        <f>IF(L71&lt;&gt;"",VLOOKUP($B71,Invulblad!$A$11:$S$103,9,0),"")</f>
        <v>1</v>
      </c>
      <c r="P71" s="212">
        <f t="shared" si="14"/>
        <v>0</v>
      </c>
    </row>
    <row r="72" spans="1:16" ht="15" customHeight="1">
      <c r="A72" s="188">
        <v>59</v>
      </c>
      <c r="B72" s="195">
        <v>31</v>
      </c>
      <c r="C72" s="332">
        <v>41812</v>
      </c>
      <c r="D72" s="333">
        <v>0.75</v>
      </c>
      <c r="E72" s="189" t="s">
        <v>569</v>
      </c>
      <c r="F72" s="189" t="s">
        <v>29</v>
      </c>
      <c r="G72" s="189" t="s">
        <v>446</v>
      </c>
      <c r="H72" s="366">
        <v>2</v>
      </c>
      <c r="I72" s="366" t="s">
        <v>29</v>
      </c>
      <c r="J72" s="366">
        <v>1</v>
      </c>
      <c r="K72" s="212" t="str">
        <f t="shared" si="11"/>
        <v>1</v>
      </c>
      <c r="L72" s="210" t="str">
        <f>VLOOKUP($B72,Invulblad!$A$11:$S$103,13,0)</f>
        <v>1</v>
      </c>
      <c r="M72" s="211">
        <f>IF(L72&lt;&gt;"",VLOOKUP($B72,Invulblad!$A$11:$S$103,7,0),"")</f>
        <v>1</v>
      </c>
      <c r="N72" s="209" t="s">
        <v>29</v>
      </c>
      <c r="O72" s="211">
        <f>IF(L72&lt;&gt;"",VLOOKUP($B72,Invulblad!$A$11:$S$103,9,0),"")</f>
        <v>0</v>
      </c>
      <c r="P72" s="212">
        <f t="shared" si="14"/>
        <v>5</v>
      </c>
    </row>
    <row r="73" spans="1:16" ht="15" customHeight="1">
      <c r="A73" s="188">
        <v>60</v>
      </c>
      <c r="B73" s="195">
        <v>32</v>
      </c>
      <c r="C73" s="332">
        <v>41812</v>
      </c>
      <c r="D73" s="333">
        <v>0.875</v>
      </c>
      <c r="E73" s="189" t="s">
        <v>232</v>
      </c>
      <c r="F73" s="189" t="s">
        <v>29</v>
      </c>
      <c r="G73" s="189" t="s">
        <v>111</v>
      </c>
      <c r="H73" s="366">
        <v>2</v>
      </c>
      <c r="I73" s="366" t="s">
        <v>29</v>
      </c>
      <c r="J73" s="366">
        <v>1</v>
      </c>
      <c r="K73" s="212" t="str">
        <f t="shared" si="11"/>
        <v>1</v>
      </c>
      <c r="L73" s="210">
        <f>VLOOKUP($B73,Invulblad!$A$11:$S$103,13,0)</f>
        <v>2</v>
      </c>
      <c r="M73" s="211">
        <f>IF(L73&lt;&gt;"",VLOOKUP($B73,Invulblad!$A$11:$S$103,7,0),"")</f>
        <v>2</v>
      </c>
      <c r="N73" s="209" t="s">
        <v>29</v>
      </c>
      <c r="O73" s="211">
        <f>IF(L73&lt;&gt;"",VLOOKUP($B73,Invulblad!$A$11:$S$103,9,0),"")</f>
        <v>4</v>
      </c>
      <c r="P73" s="212">
        <f t="shared" si="14"/>
        <v>0</v>
      </c>
    </row>
    <row r="74" spans="1:16" ht="15" customHeight="1">
      <c r="A74" s="188">
        <v>61</v>
      </c>
      <c r="B74" s="195">
        <v>47</v>
      </c>
      <c r="C74" s="332">
        <v>41816</v>
      </c>
      <c r="D74" s="333">
        <v>0.91666666666666663</v>
      </c>
      <c r="E74" s="189" t="s">
        <v>232</v>
      </c>
      <c r="F74" s="189" t="s">
        <v>29</v>
      </c>
      <c r="G74" s="189" t="s">
        <v>570</v>
      </c>
      <c r="H74" s="366">
        <v>0</v>
      </c>
      <c r="I74" s="366" t="s">
        <v>29</v>
      </c>
      <c r="J74" s="366">
        <v>3</v>
      </c>
      <c r="K74" s="212">
        <f t="shared" si="11"/>
        <v>2</v>
      </c>
      <c r="L74" s="210">
        <f>VLOOKUP($B74,Invulblad!$A$11:$S$103,13,0)</f>
        <v>2</v>
      </c>
      <c r="M74" s="211">
        <f>IF(L74&lt;&gt;"",VLOOKUP($B74,Invulblad!$A$11:$S$103,7,0),"")</f>
        <v>0</v>
      </c>
      <c r="N74" s="209" t="s">
        <v>29</v>
      </c>
      <c r="O74" s="211">
        <f>IF(L74&lt;&gt;"",VLOOKUP($B74,Invulblad!$A$11:$S$103,9,0),"")</f>
        <v>1</v>
      </c>
      <c r="P74" s="212">
        <f t="shared" si="14"/>
        <v>5</v>
      </c>
    </row>
    <row r="75" spans="1:16" ht="15" customHeight="1">
      <c r="A75" s="188">
        <v>62</v>
      </c>
      <c r="B75" s="195">
        <v>48</v>
      </c>
      <c r="C75" s="332">
        <v>41816</v>
      </c>
      <c r="D75" s="333">
        <v>0.91666666666666663</v>
      </c>
      <c r="E75" s="189" t="s">
        <v>236</v>
      </c>
      <c r="F75" s="189" t="s">
        <v>29</v>
      </c>
      <c r="G75" s="189" t="s">
        <v>446</v>
      </c>
      <c r="H75" s="366">
        <v>0</v>
      </c>
      <c r="I75" s="366" t="s">
        <v>29</v>
      </c>
      <c r="J75" s="366">
        <v>2</v>
      </c>
      <c r="K75" s="212">
        <f t="shared" si="11"/>
        <v>2</v>
      </c>
      <c r="L75" s="210">
        <f>VLOOKUP($B75,Invulblad!$A$11:$S$103,13,0)</f>
        <v>3</v>
      </c>
      <c r="M75" s="211">
        <f>IF(L75&lt;&gt;"",VLOOKUP($B75,Invulblad!$A$11:$S$103,7,0),"")</f>
        <v>1</v>
      </c>
      <c r="N75" s="209" t="s">
        <v>29</v>
      </c>
      <c r="O75" s="211">
        <f>IF(L75&lt;&gt;"",VLOOKUP($B75,Invulblad!$A$11:$S$103,9,0),"")</f>
        <v>1</v>
      </c>
      <c r="P75" s="212">
        <f t="shared" si="14"/>
        <v>0</v>
      </c>
    </row>
    <row r="76" spans="1:16" ht="15" customHeight="1">
      <c r="A76" s="188">
        <v>63</v>
      </c>
      <c r="B76" s="201" t="s">
        <v>86</v>
      </c>
      <c r="H76" s="201"/>
      <c r="I76" s="201"/>
      <c r="J76" s="201"/>
      <c r="K76" s="213" t="str">
        <f t="shared" si="11"/>
        <v/>
      </c>
      <c r="L76" s="210"/>
      <c r="M76" s="211" t="str">
        <f>IF(L76&lt;&gt;"",VLOOKUP($B76,Invulblad!$A$11:$S$103,7,0),"")</f>
        <v/>
      </c>
      <c r="N76" s="209"/>
      <c r="O76" s="211" t="str">
        <f>IF(L76&lt;&gt;"",VLOOKUP($B76,Invulblad!$A$11:$S$103,9,0),"")</f>
        <v/>
      </c>
    </row>
    <row r="77" spans="1:16" ht="15" customHeight="1">
      <c r="B77" s="201" t="s">
        <v>272</v>
      </c>
      <c r="C77" s="189" t="s">
        <v>420</v>
      </c>
      <c r="D77" s="189" t="s">
        <v>421</v>
      </c>
      <c r="E77" s="189" t="s">
        <v>145</v>
      </c>
      <c r="F77" s="189" t="s">
        <v>29</v>
      </c>
      <c r="G77" s="189" t="s">
        <v>145</v>
      </c>
      <c r="H77" s="365" t="s">
        <v>93</v>
      </c>
      <c r="I77" s="365"/>
      <c r="J77" s="365"/>
      <c r="K77" s="213"/>
      <c r="L77" s="210"/>
      <c r="M77" s="211"/>
      <c r="N77" s="209"/>
      <c r="O77" s="211"/>
    </row>
    <row r="78" spans="1:16" ht="15" customHeight="1">
      <c r="A78" s="188">
        <v>65</v>
      </c>
      <c r="B78" s="195">
        <v>49</v>
      </c>
      <c r="C78" s="332">
        <v>41818</v>
      </c>
      <c r="D78" s="333">
        <v>0.75</v>
      </c>
      <c r="E78" s="189" t="s">
        <v>152</v>
      </c>
      <c r="F78" s="189" t="s">
        <v>29</v>
      </c>
      <c r="G78" s="189" t="s">
        <v>138</v>
      </c>
      <c r="H78" s="366">
        <v>1</v>
      </c>
      <c r="I78" s="366" t="s">
        <v>29</v>
      </c>
      <c r="J78" s="366">
        <v>3</v>
      </c>
      <c r="K78" s="212">
        <f t="shared" si="11"/>
        <v>2</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ht="15" customHeight="1">
      <c r="A79" s="188">
        <v>66</v>
      </c>
      <c r="B79" s="195">
        <v>50</v>
      </c>
      <c r="C79" s="332">
        <v>41818</v>
      </c>
      <c r="D79" s="333">
        <v>0.91666666666666663</v>
      </c>
      <c r="E79" s="189" t="s">
        <v>390</v>
      </c>
      <c r="F79" s="189" t="s">
        <v>29</v>
      </c>
      <c r="G79" s="189" t="s">
        <v>193</v>
      </c>
      <c r="H79" s="366">
        <v>1</v>
      </c>
      <c r="I79" s="366" t="s">
        <v>29</v>
      </c>
      <c r="J79" s="366">
        <v>3</v>
      </c>
      <c r="K79" s="212">
        <f t="shared" si="11"/>
        <v>2</v>
      </c>
      <c r="L79" s="210" t="str">
        <f>VLOOKUP($B79,Invulblad!$A$11:$S$103,13,0)</f>
        <v>1</v>
      </c>
      <c r="M79" s="211">
        <f>IF(L79&lt;&gt;"",VLOOKUP($B79,Invulblad!$A$11:$S$103,7,0),"")</f>
        <v>2</v>
      </c>
      <c r="N79" s="209" t="s">
        <v>29</v>
      </c>
      <c r="O79" s="211">
        <f>IF(L79&lt;&gt;"",VLOOKUP($B79,Invulblad!$A$11:$S$103,9,0),"")</f>
        <v>0</v>
      </c>
      <c r="P79" s="212">
        <f t="shared" si="15"/>
        <v>0</v>
      </c>
    </row>
    <row r="80" spans="1:16" ht="15" customHeight="1">
      <c r="A80" s="188">
        <v>67</v>
      </c>
      <c r="B80" s="195">
        <v>51</v>
      </c>
      <c r="C80" s="332">
        <v>41819</v>
      </c>
      <c r="D80" s="333">
        <v>0.75</v>
      </c>
      <c r="E80" s="189" t="s">
        <v>207</v>
      </c>
      <c r="F80" s="189" t="s">
        <v>29</v>
      </c>
      <c r="G80" s="189" t="s">
        <v>199</v>
      </c>
      <c r="H80" s="366">
        <v>1</v>
      </c>
      <c r="I80" s="366" t="s">
        <v>29</v>
      </c>
      <c r="J80" s="366">
        <v>2</v>
      </c>
      <c r="K80" s="212">
        <f t="shared" si="11"/>
        <v>2</v>
      </c>
      <c r="L80" s="210" t="str">
        <f>VLOOKUP($B80,Invulblad!$A$11:$S$103,13,0)</f>
        <v>1</v>
      </c>
      <c r="M80" s="211">
        <f>IF(L80&lt;&gt;"",VLOOKUP($B80,Invulblad!$A$11:$S$103,7,0),"")</f>
        <v>2</v>
      </c>
      <c r="N80" s="209" t="s">
        <v>29</v>
      </c>
      <c r="O80" s="211">
        <f>IF(L80&lt;&gt;"",VLOOKUP($B80,Invulblad!$A$11:$S$103,9,0),"")</f>
        <v>1</v>
      </c>
      <c r="P80" s="212">
        <f t="shared" si="15"/>
        <v>0</v>
      </c>
    </row>
    <row r="81" spans="1:16" ht="15" customHeight="1">
      <c r="A81" s="188">
        <v>68</v>
      </c>
      <c r="B81" s="195">
        <v>52</v>
      </c>
      <c r="C81" s="332">
        <v>41819</v>
      </c>
      <c r="D81" s="333">
        <v>0.91666666666666663</v>
      </c>
      <c r="E81" s="189" t="s">
        <v>97</v>
      </c>
      <c r="F81" s="189" t="s">
        <v>29</v>
      </c>
      <c r="G81" s="189" t="s">
        <v>187</v>
      </c>
      <c r="H81" s="366">
        <v>2</v>
      </c>
      <c r="I81" s="366" t="s">
        <v>29</v>
      </c>
      <c r="J81" s="366">
        <v>0</v>
      </c>
      <c r="K81" s="212" t="str">
        <f t="shared" si="11"/>
        <v>1</v>
      </c>
      <c r="L81" s="210">
        <f>VLOOKUP($B81,Invulblad!$A$11:$S$103,13,0)</f>
        <v>3</v>
      </c>
      <c r="M81" s="211">
        <f>IF(L81&lt;&gt;"",VLOOKUP($B81,Invulblad!$A$11:$S$103,7,0),"")</f>
        <v>1</v>
      </c>
      <c r="N81" s="209" t="s">
        <v>29</v>
      </c>
      <c r="O81" s="211">
        <f>IF(L81&lt;&gt;"",VLOOKUP($B81,Invulblad!$A$11:$S$103,9,0),"")</f>
        <v>1</v>
      </c>
      <c r="P81" s="212">
        <f t="shared" si="15"/>
        <v>0</v>
      </c>
    </row>
    <row r="82" spans="1:16" ht="15" customHeight="1">
      <c r="A82" s="188">
        <v>69</v>
      </c>
      <c r="B82" s="195">
        <v>53</v>
      </c>
      <c r="C82" s="332">
        <v>41820</v>
      </c>
      <c r="D82" s="333">
        <v>0.75</v>
      </c>
      <c r="E82" s="189" t="s">
        <v>143</v>
      </c>
      <c r="F82" s="189" t="s">
        <v>29</v>
      </c>
      <c r="G82" s="189" t="s">
        <v>572</v>
      </c>
      <c r="H82" s="366">
        <v>3</v>
      </c>
      <c r="I82" s="366" t="s">
        <v>29</v>
      </c>
      <c r="J82" s="366">
        <v>0</v>
      </c>
      <c r="K82" s="212" t="str">
        <f t="shared" si="11"/>
        <v>1</v>
      </c>
      <c r="L82" s="210" t="str">
        <f>VLOOKUP($B82,Invulblad!$A$11:$S$103,13,0)</f>
        <v>1</v>
      </c>
      <c r="M82" s="211">
        <f>IF(L82&lt;&gt;"",VLOOKUP($B82,Invulblad!$A$11:$S$103,7,0),"")</f>
        <v>2</v>
      </c>
      <c r="N82" s="209" t="s">
        <v>29</v>
      </c>
      <c r="O82" s="211">
        <f>IF(L82&lt;&gt;"",VLOOKUP($B82,Invulblad!$A$11:$S$103,9,0),"")</f>
        <v>0</v>
      </c>
      <c r="P82" s="212">
        <f t="shared" si="15"/>
        <v>5</v>
      </c>
    </row>
    <row r="83" spans="1:16" ht="15" customHeight="1">
      <c r="A83" s="188">
        <v>70</v>
      </c>
      <c r="B83" s="195">
        <v>54</v>
      </c>
      <c r="C83" s="332">
        <v>41820</v>
      </c>
      <c r="D83" s="333">
        <v>0.91666666666666663</v>
      </c>
      <c r="E83" s="189" t="s">
        <v>202</v>
      </c>
      <c r="F83" s="189" t="s">
        <v>29</v>
      </c>
      <c r="G83" s="189" t="s">
        <v>396</v>
      </c>
      <c r="H83" s="366">
        <v>2</v>
      </c>
      <c r="I83" s="366" t="s">
        <v>29</v>
      </c>
      <c r="J83" s="366">
        <v>2</v>
      </c>
      <c r="K83" s="212">
        <f t="shared" si="11"/>
        <v>3</v>
      </c>
      <c r="L83" s="210" t="str">
        <f>VLOOKUP($B83,Invulblad!$A$11:$S$103,13,0)</f>
        <v>1</v>
      </c>
      <c r="M83" s="211">
        <f>IF(L83&lt;&gt;"",VLOOKUP($B83,Invulblad!$A$11:$S$103,7,0),"")</f>
        <v>2</v>
      </c>
      <c r="N83" s="209" t="s">
        <v>29</v>
      </c>
      <c r="O83" s="211">
        <f>IF(L83&lt;&gt;"",VLOOKUP($B83,Invulblad!$A$11:$S$103,9,0),"")</f>
        <v>1</v>
      </c>
      <c r="P83" s="212">
        <f t="shared" si="15"/>
        <v>0</v>
      </c>
    </row>
    <row r="84" spans="1:16" ht="15" customHeight="1">
      <c r="A84" s="188">
        <v>71</v>
      </c>
      <c r="B84" s="195">
        <v>55</v>
      </c>
      <c r="C84" s="332">
        <v>41821</v>
      </c>
      <c r="D84" s="333">
        <v>0.75</v>
      </c>
      <c r="E84" s="189" t="s">
        <v>102</v>
      </c>
      <c r="F84" s="189" t="s">
        <v>29</v>
      </c>
      <c r="G84" s="189" t="s">
        <v>392</v>
      </c>
      <c r="H84" s="366">
        <v>2</v>
      </c>
      <c r="I84" s="366" t="s">
        <v>29</v>
      </c>
      <c r="J84" s="366">
        <v>0</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ht="15" customHeight="1">
      <c r="A85" s="188">
        <v>72</v>
      </c>
      <c r="B85" s="195">
        <v>56</v>
      </c>
      <c r="C85" s="332">
        <v>41821</v>
      </c>
      <c r="D85" s="333">
        <v>0.91666666666666663</v>
      </c>
      <c r="E85" s="189" t="s">
        <v>395</v>
      </c>
      <c r="F85" s="189" t="s">
        <v>29</v>
      </c>
      <c r="G85" s="189" t="s">
        <v>177</v>
      </c>
      <c r="H85" s="366">
        <v>1</v>
      </c>
      <c r="I85" s="366" t="s">
        <v>29</v>
      </c>
      <c r="J85" s="366">
        <v>1</v>
      </c>
      <c r="K85" s="212">
        <f t="shared" si="11"/>
        <v>3</v>
      </c>
      <c r="L85" s="210" t="str">
        <f>VLOOKUP($B85,Invulblad!$A$11:$S$103,13,0)</f>
        <v>1</v>
      </c>
      <c r="M85" s="211">
        <f>IF(L85&lt;&gt;"",VLOOKUP($B85,Invulblad!$A$11:$S$103,7,0),"")</f>
        <v>2</v>
      </c>
      <c r="N85" s="209" t="s">
        <v>29</v>
      </c>
      <c r="O85" s="211">
        <f>IF(L85&lt;&gt;"",VLOOKUP($B85,Invulblad!$A$11:$S$103,9,0),"")</f>
        <v>1</v>
      </c>
      <c r="P85" s="212">
        <f t="shared" si="15"/>
        <v>0</v>
      </c>
    </row>
    <row r="86" spans="1:16" ht="15" customHeight="1">
      <c r="A86" s="188">
        <v>73</v>
      </c>
      <c r="B86" s="201" t="s">
        <v>136</v>
      </c>
      <c r="H86" s="201"/>
      <c r="I86" s="201"/>
      <c r="J86" s="201"/>
      <c r="K86" s="213" t="str">
        <f t="shared" ref="K86:K101" si="16">IF(AND(H86="",J86=""),"",IF(OR(H86="",J86=""),"FOUT",IF(H86&gt;J86,"1",IF(H86=J86,3,2))))</f>
        <v/>
      </c>
      <c r="L86" s="210"/>
      <c r="M86" s="211" t="str">
        <f>IF(L86&lt;&gt;"",VLOOKUP($B86,Invulblad!$A$11:$S$103,7,0),"")</f>
        <v/>
      </c>
      <c r="N86" s="209"/>
      <c r="O86" s="211" t="str">
        <f>IF(L86&lt;&gt;"",VLOOKUP($B86,Invulblad!$A$11:$S$103,9,0),"")</f>
        <v/>
      </c>
    </row>
    <row r="87" spans="1:16" ht="15" customHeight="1">
      <c r="B87" s="201" t="s">
        <v>272</v>
      </c>
      <c r="C87" s="189" t="s">
        <v>420</v>
      </c>
      <c r="D87" s="189" t="s">
        <v>421</v>
      </c>
      <c r="E87" s="189" t="s">
        <v>145</v>
      </c>
      <c r="F87" s="189" t="s">
        <v>29</v>
      </c>
      <c r="G87" s="189" t="s">
        <v>145</v>
      </c>
      <c r="H87" s="365" t="s">
        <v>93</v>
      </c>
      <c r="I87" s="365"/>
      <c r="J87" s="365"/>
      <c r="K87" s="213"/>
      <c r="L87" s="210"/>
      <c r="M87" s="211"/>
      <c r="N87" s="209"/>
      <c r="O87" s="211"/>
    </row>
    <row r="88" spans="1:16" ht="15" customHeight="1">
      <c r="A88" s="188">
        <v>75</v>
      </c>
      <c r="B88" s="195">
        <v>57</v>
      </c>
      <c r="C88" s="332">
        <v>41824</v>
      </c>
      <c r="D88" s="333">
        <v>0.91666666666666663</v>
      </c>
      <c r="E88" s="189" t="s">
        <v>138</v>
      </c>
      <c r="F88" s="189" t="s">
        <v>29</v>
      </c>
      <c r="G88" s="189" t="s">
        <v>193</v>
      </c>
      <c r="H88" s="366">
        <v>2</v>
      </c>
      <c r="I88" s="366" t="s">
        <v>29</v>
      </c>
      <c r="J88" s="366">
        <v>2</v>
      </c>
      <c r="K88" s="212">
        <f t="shared" si="16"/>
        <v>3</v>
      </c>
      <c r="L88" s="210" t="str">
        <f>VLOOKUP($B88,Invulblad!$A$11:$S$103,13,0)</f>
        <v>1</v>
      </c>
      <c r="M88" s="211">
        <f>IF(L88&lt;&gt;"",VLOOKUP($B88,Invulblad!$A$11:$S$103,7,0),"")</f>
        <v>2</v>
      </c>
      <c r="N88" s="209" t="s">
        <v>29</v>
      </c>
      <c r="O88" s="211">
        <f>IF(L88&lt;&gt;"",VLOOKUP($B88,Invulblad!$A$11:$S$103,9,0),"")</f>
        <v>1</v>
      </c>
      <c r="P88" s="212">
        <f>IF(L88&lt;&gt;"",IF(AND(M88=H88,O88=J88),10,IF(K88=L88,5,0)),"")</f>
        <v>0</v>
      </c>
    </row>
    <row r="89" spans="1:16" ht="15" customHeight="1">
      <c r="A89" s="188">
        <v>76</v>
      </c>
      <c r="B89" s="195">
        <v>58</v>
      </c>
      <c r="C89" s="332">
        <v>41824</v>
      </c>
      <c r="D89" s="333">
        <v>0.75</v>
      </c>
      <c r="E89" s="189" t="s">
        <v>143</v>
      </c>
      <c r="F89" s="189" t="s">
        <v>29</v>
      </c>
      <c r="G89" s="189" t="s">
        <v>202</v>
      </c>
      <c r="H89" s="366">
        <v>1</v>
      </c>
      <c r="I89" s="366" t="s">
        <v>29</v>
      </c>
      <c r="J89" s="366">
        <v>2</v>
      </c>
      <c r="K89" s="212">
        <f t="shared" si="16"/>
        <v>2</v>
      </c>
      <c r="L89" s="210">
        <f>VLOOKUP($B89,Invulblad!$A$11:$S$103,13,0)</f>
        <v>2</v>
      </c>
      <c r="M89" s="211">
        <f>IF(L89&lt;&gt;"",VLOOKUP($B89,Invulblad!$A$11:$S$103,7,0),"")</f>
        <v>0</v>
      </c>
      <c r="N89" s="209" t="s">
        <v>29</v>
      </c>
      <c r="O89" s="211">
        <f>IF(L89&lt;&gt;"",VLOOKUP($B89,Invulblad!$A$11:$S$103,9,0),"")</f>
        <v>1</v>
      </c>
      <c r="P89" s="212">
        <f>IF(L89&lt;&gt;"",IF(AND(M89=H89,O89=J89),10,IF(K89=L89,5,0)),"")</f>
        <v>5</v>
      </c>
    </row>
    <row r="90" spans="1:16" ht="15" customHeight="1">
      <c r="A90" s="188">
        <v>77</v>
      </c>
      <c r="B90" s="195">
        <v>59</v>
      </c>
      <c r="C90" s="332">
        <v>41825</v>
      </c>
      <c r="D90" s="333">
        <v>0.91666666666666663</v>
      </c>
      <c r="E90" s="189" t="s">
        <v>199</v>
      </c>
      <c r="F90" s="189" t="s">
        <v>29</v>
      </c>
      <c r="G90" s="189" t="s">
        <v>97</v>
      </c>
      <c r="H90" s="366">
        <v>1</v>
      </c>
      <c r="I90" s="366" t="s">
        <v>29</v>
      </c>
      <c r="J90" s="366">
        <v>1</v>
      </c>
      <c r="K90" s="212">
        <f t="shared" si="16"/>
        <v>3</v>
      </c>
      <c r="L90" s="210">
        <f>VLOOKUP($B90,Invulblad!$A$11:$S$103,13,0)</f>
        <v>3</v>
      </c>
      <c r="M90" s="211">
        <f>IF(L90&lt;&gt;"",VLOOKUP($B90,Invulblad!$A$11:$S$103,7,0),"")</f>
        <v>0</v>
      </c>
      <c r="N90" s="209" t="s">
        <v>29</v>
      </c>
      <c r="O90" s="211">
        <f>IF(L90&lt;&gt;"",VLOOKUP($B90,Invulblad!$A$11:$S$103,9,0),"")</f>
        <v>0</v>
      </c>
      <c r="P90" s="212">
        <f>IF(L90&lt;&gt;"",IF(AND(M90=H90,O90=J90),10,IF(K90=L90,5,0)),"")</f>
        <v>5</v>
      </c>
    </row>
    <row r="91" spans="1:16" ht="15" customHeight="1">
      <c r="A91" s="188">
        <v>78</v>
      </c>
      <c r="B91" s="195">
        <v>60</v>
      </c>
      <c r="C91" s="332">
        <v>41825</v>
      </c>
      <c r="D91" s="333">
        <v>0.75</v>
      </c>
      <c r="E91" s="189" t="s">
        <v>102</v>
      </c>
      <c r="F91" s="189" t="s">
        <v>29</v>
      </c>
      <c r="G91" s="189" t="s">
        <v>177</v>
      </c>
      <c r="H91" s="366">
        <v>2</v>
      </c>
      <c r="I91" s="366" t="s">
        <v>29</v>
      </c>
      <c r="J91" s="366">
        <v>3</v>
      </c>
      <c r="K91" s="212">
        <f t="shared" si="16"/>
        <v>2</v>
      </c>
      <c r="L91" s="210" t="str">
        <f>VLOOKUP($B91,Invulblad!$A$11:$S$103,13,0)</f>
        <v>1</v>
      </c>
      <c r="M91" s="211">
        <f>IF(L91&lt;&gt;"",VLOOKUP($B91,Invulblad!$A$11:$S$103,7,0),"")</f>
        <v>1</v>
      </c>
      <c r="N91" s="209" t="s">
        <v>29</v>
      </c>
      <c r="O91" s="211">
        <f>IF(L91&lt;&gt;"",VLOOKUP($B91,Invulblad!$A$11:$S$103,9,0),"")</f>
        <v>0</v>
      </c>
      <c r="P91" s="212">
        <f>IF(L91&lt;&gt;"",IF(AND(M91=H91,O91=J91),10,IF(K91=L91,5,0)),"")</f>
        <v>0</v>
      </c>
    </row>
    <row r="92" spans="1:16" ht="15" customHeight="1">
      <c r="A92" s="188">
        <v>79</v>
      </c>
      <c r="B92" s="201" t="s">
        <v>88</v>
      </c>
      <c r="H92" s="201"/>
      <c r="I92" s="201"/>
      <c r="J92" s="201"/>
      <c r="K92" s="213" t="str">
        <f t="shared" si="16"/>
        <v/>
      </c>
      <c r="L92" s="210"/>
      <c r="M92" s="211" t="str">
        <f>IF(L92&lt;&gt;"",VLOOKUP($B92,Invulblad!$A$11:$S$103,7,0),"")</f>
        <v/>
      </c>
      <c r="O92" s="211" t="str">
        <f>IF(L92&lt;&gt;"",VLOOKUP($B92,Invulblad!$A$11:$S$103,9,0),"")</f>
        <v/>
      </c>
    </row>
    <row r="93" spans="1:16" ht="15" customHeight="1">
      <c r="B93" s="201" t="s">
        <v>272</v>
      </c>
      <c r="C93" s="189" t="s">
        <v>420</v>
      </c>
      <c r="D93" s="189" t="s">
        <v>421</v>
      </c>
      <c r="E93" s="189" t="s">
        <v>145</v>
      </c>
      <c r="F93" s="189" t="s">
        <v>29</v>
      </c>
      <c r="G93" s="189" t="s">
        <v>145</v>
      </c>
      <c r="H93" s="365" t="s">
        <v>93</v>
      </c>
      <c r="I93" s="365"/>
      <c r="J93" s="365"/>
      <c r="K93" s="213"/>
      <c r="L93" s="210"/>
      <c r="M93" s="211"/>
      <c r="O93" s="211"/>
    </row>
    <row r="94" spans="1:16" ht="15" customHeight="1">
      <c r="A94" s="188">
        <v>81</v>
      </c>
      <c r="B94" s="195">
        <v>61</v>
      </c>
      <c r="C94" s="332">
        <v>41828</v>
      </c>
      <c r="D94" s="333">
        <v>0.91666666666666663</v>
      </c>
      <c r="E94" s="189" t="s">
        <v>138</v>
      </c>
      <c r="F94" s="189" t="s">
        <v>29</v>
      </c>
      <c r="G94" s="189" t="s">
        <v>202</v>
      </c>
      <c r="H94" s="366">
        <v>1</v>
      </c>
      <c r="I94" s="366" t="s">
        <v>29</v>
      </c>
      <c r="J94" s="366">
        <v>3</v>
      </c>
      <c r="K94" s="212">
        <f t="shared" si="16"/>
        <v>2</v>
      </c>
      <c r="L94" s="210">
        <f>VLOOKUP($B94,Invulblad!$A$11:$S$103,13,0)</f>
        <v>2</v>
      </c>
      <c r="M94" s="211">
        <f>IF(L94&lt;&gt;"",VLOOKUP($B94,Invulblad!$A$11:$S$103,7,0),"")</f>
        <v>1</v>
      </c>
      <c r="N94" s="209" t="s">
        <v>29</v>
      </c>
      <c r="O94" s="211">
        <f>IF(L94&lt;&gt;"",VLOOKUP($B94,Invulblad!$A$11:$S$103,9,0),"")</f>
        <v>7</v>
      </c>
      <c r="P94" s="212">
        <f>IF(L94&lt;&gt;"",IF(AND(M94=H94,O94=J94),10,IF(K94=L94,5,0)),"")</f>
        <v>5</v>
      </c>
    </row>
    <row r="95" spans="1:16" ht="15" customHeight="1">
      <c r="A95" s="188">
        <v>82</v>
      </c>
      <c r="B95" s="195">
        <v>62</v>
      </c>
      <c r="C95" s="332">
        <v>41829</v>
      </c>
      <c r="D95" s="333">
        <v>0.91666666666666663</v>
      </c>
      <c r="E95" s="189" t="s">
        <v>97</v>
      </c>
      <c r="F95" s="189" t="s">
        <v>29</v>
      </c>
      <c r="G95" s="189" t="s">
        <v>177</v>
      </c>
      <c r="H95" s="366">
        <v>1</v>
      </c>
      <c r="I95" s="366" t="s">
        <v>29</v>
      </c>
      <c r="J95" s="366">
        <v>1</v>
      </c>
      <c r="K95" s="212">
        <f t="shared" si="16"/>
        <v>3</v>
      </c>
      <c r="L95" s="210">
        <f>VLOOKUP($B95,Invulblad!$A$11:$S$103,13,0)</f>
        <v>3</v>
      </c>
      <c r="M95" s="211">
        <f>IF(L95&lt;&gt;"",VLOOKUP($B95,Invulblad!$A$11:$S$103,7,0),"")</f>
        <v>0</v>
      </c>
      <c r="N95" s="209" t="s">
        <v>29</v>
      </c>
      <c r="O95" s="211">
        <f>IF(L95&lt;&gt;"",VLOOKUP($B95,Invulblad!$A$11:$S$103,9,0),"")</f>
        <v>0</v>
      </c>
      <c r="P95" s="212">
        <f>IF(L95&lt;&gt;"",IF(AND(M95=H95,O95=J95),10,IF(K95=L95,5,0)),"")</f>
        <v>5</v>
      </c>
    </row>
    <row r="96" spans="1:16" ht="15" customHeight="1">
      <c r="A96" s="188">
        <v>83</v>
      </c>
      <c r="B96" s="201" t="s">
        <v>571</v>
      </c>
      <c r="H96" s="201"/>
      <c r="I96" s="201"/>
      <c r="J96" s="201"/>
      <c r="K96" s="213" t="str">
        <f t="shared" si="16"/>
        <v/>
      </c>
      <c r="L96" s="210"/>
      <c r="M96" s="211" t="str">
        <f>IF(L96&lt;&gt;"",VLOOKUP($B96,Invulblad!$A$11:$S$103,7,0),"")</f>
        <v/>
      </c>
      <c r="N96" s="209"/>
      <c r="O96" s="211" t="str">
        <f>IF(L96&lt;&gt;"",VLOOKUP($B96,Invulblad!$A$11:$S$103,9,0),"")</f>
        <v/>
      </c>
    </row>
    <row r="97" spans="1:16" ht="15" customHeight="1">
      <c r="B97" s="201" t="s">
        <v>272</v>
      </c>
      <c r="C97" s="189" t="s">
        <v>420</v>
      </c>
      <c r="D97" s="189" t="s">
        <v>421</v>
      </c>
      <c r="E97" s="189" t="s">
        <v>145</v>
      </c>
      <c r="F97" s="189" t="s">
        <v>29</v>
      </c>
      <c r="G97" s="189" t="s">
        <v>145</v>
      </c>
      <c r="H97" s="365" t="s">
        <v>93</v>
      </c>
      <c r="I97" s="365"/>
      <c r="J97" s="365"/>
      <c r="K97" s="213"/>
      <c r="L97" s="210"/>
      <c r="M97" s="211"/>
      <c r="N97" s="209"/>
      <c r="O97" s="211"/>
    </row>
    <row r="98" spans="1:16" ht="15" customHeight="1">
      <c r="A98" s="188">
        <v>85</v>
      </c>
      <c r="B98" s="195">
        <v>63</v>
      </c>
      <c r="C98" s="332">
        <v>41832</v>
      </c>
      <c r="D98" s="333">
        <v>0.91666666666666663</v>
      </c>
      <c r="E98" s="189" t="s">
        <v>138</v>
      </c>
      <c r="F98" s="189" t="s">
        <v>29</v>
      </c>
      <c r="G98" s="189" t="s">
        <v>97</v>
      </c>
      <c r="H98" s="366">
        <v>1</v>
      </c>
      <c r="I98" s="366" t="s">
        <v>29</v>
      </c>
      <c r="J98" s="366">
        <v>3</v>
      </c>
      <c r="K98" s="212">
        <f t="shared" si="16"/>
        <v>2</v>
      </c>
      <c r="L98" s="210">
        <f>VLOOKUP($B98,Invulblad!$A$11:$S$103,13,0)</f>
        <v>2</v>
      </c>
      <c r="M98" s="211">
        <f>IF(L98&lt;&gt;"",VLOOKUP($B98,Invulblad!$A$11:$S$103,7,0),"")</f>
        <v>0</v>
      </c>
      <c r="N98" s="209" t="s">
        <v>29</v>
      </c>
      <c r="O98" s="211">
        <f>IF(L98&lt;&gt;"",VLOOKUP($B98,Invulblad!$A$11:$S$103,9,0),"")</f>
        <v>3</v>
      </c>
      <c r="P98" s="212">
        <f>IF(L98&lt;&gt;"",IF(AND(M98=H98,O98=J98),10,IF(K98=L98,5,0)),"")</f>
        <v>5</v>
      </c>
    </row>
    <row r="99" spans="1:16" ht="15" customHeight="1">
      <c r="A99" s="188">
        <v>86</v>
      </c>
      <c r="B99" s="201" t="s">
        <v>48</v>
      </c>
      <c r="H99" s="201"/>
      <c r="I99" s="201"/>
      <c r="J99" s="201"/>
      <c r="K99" s="213" t="str">
        <f t="shared" si="16"/>
        <v/>
      </c>
      <c r="L99" s="210"/>
      <c r="M99" s="211" t="str">
        <f>IF(L99&lt;&gt;"",VLOOKUP($B99,Invulblad!$A$11:$S$103,7,0),"")</f>
        <v/>
      </c>
      <c r="N99" s="209"/>
      <c r="O99" s="211" t="str">
        <f>IF(L99&lt;&gt;"",VLOOKUP($B99,Invulblad!$A$11:$S$103,9,0),"")</f>
        <v/>
      </c>
    </row>
    <row r="100" spans="1:16" ht="15" customHeight="1">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ht="15" customHeight="1">
      <c r="A101" s="188">
        <v>88</v>
      </c>
      <c r="B101" s="195">
        <v>64</v>
      </c>
      <c r="C101" s="332">
        <v>41833</v>
      </c>
      <c r="D101" s="333">
        <v>0.875</v>
      </c>
      <c r="E101" s="189" t="s">
        <v>202</v>
      </c>
      <c r="F101" s="189" t="s">
        <v>29</v>
      </c>
      <c r="G101" s="189" t="s">
        <v>177</v>
      </c>
      <c r="H101" s="366">
        <v>1</v>
      </c>
      <c r="I101" s="366" t="s">
        <v>29</v>
      </c>
      <c r="J101" s="366">
        <v>2</v>
      </c>
      <c r="K101" s="212">
        <f t="shared" si="16"/>
        <v>2</v>
      </c>
      <c r="L101" s="210" t="str">
        <f>VLOOKUP($B101,Invulblad!$A$11:$S$103,13,0)</f>
        <v>1</v>
      </c>
      <c r="M101" s="211">
        <f>IF(L101&lt;&gt;"",VLOOKUP($B101,Invulblad!$A$11:$S$103,7,0),"")</f>
        <v>1</v>
      </c>
      <c r="N101" s="209" t="s">
        <v>29</v>
      </c>
      <c r="O101" s="211">
        <f>IF(L101&lt;&gt;"",VLOOKUP($B101,Invulblad!$A$11:$S$103,9,0),"")</f>
        <v>0</v>
      </c>
      <c r="P101" s="212">
        <f>IF(L101&lt;&gt;"",IF(AND(M101=H101,O101=J101),10,IF(K101=L101,5,0)),"")</f>
        <v>0</v>
      </c>
    </row>
    <row r="102" spans="1:16">
      <c r="B102" s="189" t="s">
        <v>517</v>
      </c>
      <c r="H102" s="189"/>
      <c r="I102" s="189"/>
      <c r="J102" s="189"/>
      <c r="K102" s="208"/>
      <c r="L102" s="214"/>
      <c r="M102" s="211"/>
      <c r="N102" s="209"/>
      <c r="O102" s="211"/>
    </row>
    <row r="103" spans="1:16">
      <c r="H103" s="363"/>
      <c r="I103" s="363"/>
      <c r="J103" s="363"/>
      <c r="M103" s="211"/>
      <c r="N103" s="209"/>
      <c r="O103" s="211"/>
    </row>
    <row r="104" spans="1:16">
      <c r="H104" s="363"/>
      <c r="I104" s="363"/>
      <c r="J104" s="363"/>
      <c r="M104" s="211"/>
      <c r="N104" s="209"/>
      <c r="O104" s="211"/>
    </row>
    <row r="105" spans="1:16">
      <c r="H105" s="363"/>
      <c r="I105" s="363"/>
      <c r="J105" s="363"/>
      <c r="M105" s="211"/>
      <c r="N105" s="209"/>
      <c r="O105" s="211"/>
    </row>
    <row r="106" spans="1:16">
      <c r="B106" s="201" t="s">
        <v>139</v>
      </c>
      <c r="H106" s="363"/>
      <c r="I106" s="363"/>
      <c r="J106" s="363"/>
      <c r="M106" s="211"/>
      <c r="N106" s="209"/>
      <c r="O106" s="211"/>
    </row>
    <row r="107" spans="1:16">
      <c r="H107" s="363"/>
      <c r="I107" s="363"/>
      <c r="J107" s="363"/>
    </row>
    <row r="108" spans="1:16">
      <c r="A108" s="188" t="s">
        <v>65</v>
      </c>
      <c r="B108" s="189" t="s">
        <v>140</v>
      </c>
      <c r="C108" s="189" t="s">
        <v>141</v>
      </c>
      <c r="D108" s="201" t="s">
        <v>152</v>
      </c>
      <c r="H108" s="363"/>
      <c r="I108" s="363"/>
      <c r="J108" s="363"/>
      <c r="M108" s="211"/>
      <c r="N108" s="209"/>
      <c r="O108" s="211"/>
    </row>
    <row r="109" spans="1:16">
      <c r="A109" s="188" t="s">
        <v>66</v>
      </c>
      <c r="B109" s="189" t="s">
        <v>142</v>
      </c>
      <c r="C109" s="189" t="s">
        <v>141</v>
      </c>
      <c r="D109" s="201" t="s">
        <v>199</v>
      </c>
      <c r="H109" s="363"/>
      <c r="I109" s="363"/>
      <c r="J109" s="363"/>
    </row>
    <row r="110" spans="1:16">
      <c r="H110" s="363"/>
      <c r="I110" s="363"/>
      <c r="J110" s="363"/>
    </row>
    <row r="111" spans="1:16">
      <c r="H111" s="363"/>
      <c r="I111" s="363"/>
      <c r="J111" s="363"/>
    </row>
    <row r="112" spans="1:16">
      <c r="B112" s="201" t="s">
        <v>144</v>
      </c>
      <c r="H112" s="363"/>
      <c r="I112" s="363"/>
      <c r="J112" s="363"/>
    </row>
    <row r="113" spans="2:18" ht="15.75" thickBot="1">
      <c r="H113" s="363"/>
      <c r="I113" s="363"/>
      <c r="J113" s="363"/>
    </row>
    <row r="114" spans="2:18" ht="15.75" thickBot="1">
      <c r="B114" s="215" t="s">
        <v>145</v>
      </c>
      <c r="C114" s="215" t="s">
        <v>146</v>
      </c>
      <c r="D114" s="215" t="s">
        <v>147</v>
      </c>
      <c r="E114" s="215" t="s">
        <v>148</v>
      </c>
      <c r="H114" s="363"/>
      <c r="I114" s="363"/>
      <c r="J114" s="363"/>
    </row>
    <row r="115" spans="2:18" ht="15.75" thickBot="1">
      <c r="B115" s="216" t="s">
        <v>199</v>
      </c>
      <c r="C115" s="216" t="s">
        <v>172</v>
      </c>
      <c r="D115" s="216" t="s">
        <v>151</v>
      </c>
      <c r="E115" s="216" t="s">
        <v>172</v>
      </c>
      <c r="H115" s="363"/>
      <c r="I115" s="363"/>
      <c r="J115" s="363"/>
    </row>
    <row r="116" spans="2:18" ht="15.75" thickBot="1">
      <c r="B116" s="217" t="s">
        <v>389</v>
      </c>
      <c r="C116" s="217" t="s">
        <v>156</v>
      </c>
      <c r="D116" s="217" t="s">
        <v>171</v>
      </c>
      <c r="E116" s="217" t="s">
        <v>164</v>
      </c>
      <c r="H116" s="363"/>
      <c r="I116" s="363"/>
      <c r="J116" s="363"/>
    </row>
    <row r="117" spans="2:18" ht="15.75" thickBot="1">
      <c r="B117" s="216" t="s">
        <v>152</v>
      </c>
      <c r="C117" s="216" t="s">
        <v>172</v>
      </c>
      <c r="D117" s="216" t="s">
        <v>151</v>
      </c>
      <c r="E117" s="216" t="s">
        <v>163</v>
      </c>
      <c r="H117" s="363"/>
      <c r="I117" s="363"/>
      <c r="J117" s="363"/>
    </row>
    <row r="118" spans="2:18" ht="15.75" thickBot="1">
      <c r="B118" s="217" t="s">
        <v>185</v>
      </c>
      <c r="C118" s="217" t="s">
        <v>156</v>
      </c>
      <c r="D118" s="217" t="s">
        <v>171</v>
      </c>
      <c r="E118" s="217" t="s">
        <v>164</v>
      </c>
      <c r="H118" s="363"/>
      <c r="I118" s="363"/>
      <c r="J118" s="363"/>
    </row>
    <row r="119" spans="2:18">
      <c r="H119" s="363"/>
      <c r="I119" s="363"/>
      <c r="J119" s="363"/>
    </row>
    <row r="120" spans="2:18">
      <c r="H120" s="363"/>
      <c r="I120" s="363"/>
      <c r="J120" s="363"/>
    </row>
    <row r="121" spans="2:18">
      <c r="B121" s="201" t="s">
        <v>157</v>
      </c>
      <c r="H121" s="363"/>
      <c r="I121" s="363"/>
      <c r="J121" s="363"/>
    </row>
    <row r="122" spans="2:18">
      <c r="B122" s="195"/>
      <c r="H122" s="363"/>
      <c r="I122" s="363"/>
      <c r="J122" s="363"/>
    </row>
    <row r="123" spans="2:18">
      <c r="B123" s="195" t="s">
        <v>237</v>
      </c>
      <c r="H123" s="363"/>
      <c r="I123" s="363"/>
      <c r="J123" s="363"/>
    </row>
    <row r="124" spans="2:18">
      <c r="B124" s="195"/>
      <c r="H124" s="363"/>
      <c r="I124" s="363"/>
      <c r="J124" s="363"/>
    </row>
    <row r="125" spans="2:18">
      <c r="H125" s="363"/>
      <c r="I125" s="363"/>
      <c r="J125" s="363"/>
    </row>
    <row r="126" spans="2:18">
      <c r="H126" s="363"/>
      <c r="I126" s="363"/>
      <c r="J126" s="363"/>
    </row>
    <row r="127" spans="2:18">
      <c r="B127" s="218"/>
      <c r="C127" s="218"/>
      <c r="D127" s="218"/>
      <c r="E127" s="218"/>
      <c r="F127" s="218"/>
      <c r="G127" s="218"/>
      <c r="H127" s="364"/>
      <c r="I127" s="364"/>
      <c r="J127" s="364"/>
      <c r="K127" s="218"/>
      <c r="L127" s="219"/>
      <c r="M127" s="218"/>
      <c r="N127" s="218"/>
      <c r="O127" s="218"/>
      <c r="Q127" s="218"/>
      <c r="R127" s="218"/>
    </row>
    <row r="128" spans="2:18">
      <c r="H128" s="363"/>
      <c r="I128" s="363"/>
      <c r="J128" s="363"/>
    </row>
    <row r="129" spans="1:10">
      <c r="H129" s="363"/>
      <c r="I129" s="363"/>
      <c r="J129" s="363"/>
    </row>
    <row r="130" spans="1:10">
      <c r="B130" s="201" t="s">
        <v>160</v>
      </c>
      <c r="H130" s="363"/>
      <c r="I130" s="363"/>
      <c r="J130" s="363"/>
    </row>
    <row r="131" spans="1:10">
      <c r="H131" s="363"/>
      <c r="I131" s="363"/>
      <c r="J131" s="363"/>
    </row>
    <row r="132" spans="1:10">
      <c r="A132" s="227" t="s">
        <v>67</v>
      </c>
      <c r="B132" s="189" t="s">
        <v>140</v>
      </c>
      <c r="C132" s="189" t="s">
        <v>141</v>
      </c>
      <c r="D132" s="201" t="s">
        <v>207</v>
      </c>
      <c r="H132" s="363"/>
      <c r="I132" s="363"/>
      <c r="J132" s="363"/>
    </row>
    <row r="133" spans="1:10">
      <c r="A133" s="188" t="s">
        <v>68</v>
      </c>
      <c r="B133" s="189" t="s">
        <v>142</v>
      </c>
      <c r="C133" s="189" t="s">
        <v>141</v>
      </c>
      <c r="D133" s="201" t="s">
        <v>138</v>
      </c>
      <c r="H133" s="363"/>
      <c r="I133" s="363"/>
      <c r="J133" s="363"/>
    </row>
    <row r="134" spans="1:10">
      <c r="H134" s="363"/>
      <c r="I134" s="363"/>
      <c r="J134" s="363"/>
    </row>
    <row r="135" spans="1:10">
      <c r="H135" s="363"/>
      <c r="I135" s="363"/>
      <c r="J135" s="363"/>
    </row>
    <row r="136" spans="1:10">
      <c r="B136" s="201" t="s">
        <v>161</v>
      </c>
      <c r="H136" s="363"/>
      <c r="I136" s="363"/>
      <c r="J136" s="363"/>
    </row>
    <row r="137" spans="1:10" ht="15.75" thickBot="1">
      <c r="H137" s="363"/>
      <c r="I137" s="363"/>
      <c r="J137" s="363"/>
    </row>
    <row r="138" spans="1:10" ht="15.75" thickBot="1">
      <c r="B138" s="215" t="s">
        <v>145</v>
      </c>
      <c r="C138" s="215" t="s">
        <v>146</v>
      </c>
      <c r="D138" s="215" t="s">
        <v>147</v>
      </c>
      <c r="E138" s="215" t="s">
        <v>148</v>
      </c>
      <c r="H138" s="363"/>
      <c r="I138" s="363"/>
      <c r="J138" s="363"/>
    </row>
    <row r="139" spans="1:10" ht="15.75" thickBot="1">
      <c r="B139" s="216" t="s">
        <v>138</v>
      </c>
      <c r="C139" s="216" t="s">
        <v>155</v>
      </c>
      <c r="D139" s="216" t="s">
        <v>151</v>
      </c>
      <c r="E139" s="216" t="s">
        <v>164</v>
      </c>
      <c r="H139" s="363"/>
      <c r="I139" s="363"/>
      <c r="J139" s="363"/>
    </row>
    <row r="140" spans="1:10" ht="15.75" thickBot="1">
      <c r="B140" s="217" t="s">
        <v>135</v>
      </c>
      <c r="C140" s="217" t="s">
        <v>153</v>
      </c>
      <c r="D140" s="217" t="s">
        <v>165</v>
      </c>
      <c r="E140" s="217" t="s">
        <v>151</v>
      </c>
      <c r="H140" s="363"/>
      <c r="I140" s="363"/>
      <c r="J140" s="363"/>
    </row>
    <row r="141" spans="1:10" ht="15.75" thickBot="1">
      <c r="B141" s="216" t="s">
        <v>207</v>
      </c>
      <c r="C141" s="216" t="s">
        <v>172</v>
      </c>
      <c r="D141" s="216" t="s">
        <v>155</v>
      </c>
      <c r="E141" s="216" t="s">
        <v>164</v>
      </c>
      <c r="H141" s="363"/>
      <c r="I141" s="363"/>
      <c r="J141" s="363"/>
    </row>
    <row r="142" spans="1:10" ht="15.75" thickBot="1">
      <c r="B142" s="217" t="s">
        <v>179</v>
      </c>
      <c r="C142" s="217" t="s">
        <v>156</v>
      </c>
      <c r="D142" s="217" t="s">
        <v>241</v>
      </c>
      <c r="E142" s="217" t="s">
        <v>156</v>
      </c>
      <c r="H142" s="363"/>
      <c r="I142" s="363"/>
      <c r="J142" s="363"/>
    </row>
    <row r="143" spans="1:10">
      <c r="H143" s="363"/>
      <c r="I143" s="363"/>
      <c r="J143" s="363"/>
    </row>
    <row r="144" spans="1:10">
      <c r="H144" s="363"/>
      <c r="I144" s="363"/>
      <c r="J144" s="363"/>
    </row>
    <row r="145" spans="1:18">
      <c r="B145" s="201" t="s">
        <v>166</v>
      </c>
      <c r="H145" s="363"/>
      <c r="I145" s="363"/>
      <c r="J145" s="363"/>
    </row>
    <row r="146" spans="1:18">
      <c r="B146" s="195"/>
      <c r="H146" s="363"/>
      <c r="I146" s="363"/>
      <c r="J146" s="363"/>
    </row>
    <row r="147" spans="1:18">
      <c r="B147" s="195" t="s">
        <v>167</v>
      </c>
      <c r="H147" s="363"/>
      <c r="I147" s="363"/>
      <c r="J147" s="363"/>
    </row>
    <row r="148" spans="1:18">
      <c r="B148" s="195" t="s">
        <v>168</v>
      </c>
      <c r="H148" s="363"/>
      <c r="I148" s="363"/>
      <c r="J148" s="363"/>
    </row>
    <row r="149" spans="1:18">
      <c r="H149" s="363"/>
      <c r="I149" s="363"/>
      <c r="J149" s="363"/>
    </row>
    <row r="150" spans="1:18">
      <c r="H150" s="363"/>
      <c r="I150" s="363"/>
      <c r="J150" s="363"/>
    </row>
    <row r="151" spans="1:18">
      <c r="B151" s="218"/>
      <c r="C151" s="218"/>
      <c r="D151" s="218"/>
      <c r="E151" s="218"/>
      <c r="F151" s="218"/>
      <c r="G151" s="218"/>
      <c r="H151" s="364"/>
      <c r="I151" s="364"/>
      <c r="J151" s="364"/>
      <c r="K151" s="218"/>
      <c r="L151" s="219"/>
      <c r="M151" s="218"/>
      <c r="N151" s="218"/>
      <c r="O151" s="218"/>
      <c r="Q151" s="218"/>
      <c r="R151" s="218"/>
    </row>
    <row r="152" spans="1:18">
      <c r="H152" s="363"/>
      <c r="I152" s="363"/>
      <c r="J152" s="363"/>
    </row>
    <row r="153" spans="1:18">
      <c r="H153" s="363"/>
      <c r="I153" s="363"/>
      <c r="J153" s="363"/>
    </row>
    <row r="154" spans="1:18">
      <c r="B154" s="201" t="s">
        <v>169</v>
      </c>
      <c r="H154" s="363"/>
      <c r="I154" s="363"/>
      <c r="J154" s="363"/>
    </row>
    <row r="155" spans="1:18">
      <c r="H155" s="363"/>
      <c r="I155" s="363"/>
      <c r="J155" s="363"/>
    </row>
    <row r="156" spans="1:18">
      <c r="A156" s="188" t="s">
        <v>69</v>
      </c>
      <c r="B156" s="189" t="s">
        <v>140</v>
      </c>
      <c r="C156" s="189" t="s">
        <v>141</v>
      </c>
      <c r="D156" s="201" t="s">
        <v>390</v>
      </c>
      <c r="H156" s="363"/>
      <c r="I156" s="363"/>
      <c r="J156" s="363"/>
    </row>
    <row r="157" spans="1:18">
      <c r="A157" s="188" t="s">
        <v>70</v>
      </c>
      <c r="B157" s="189" t="s">
        <v>142</v>
      </c>
      <c r="C157" s="189" t="s">
        <v>141</v>
      </c>
      <c r="D157" s="201" t="s">
        <v>187</v>
      </c>
      <c r="H157" s="363"/>
      <c r="I157" s="363"/>
      <c r="J157" s="363"/>
    </row>
    <row r="158" spans="1:18">
      <c r="H158" s="363"/>
      <c r="I158" s="363"/>
      <c r="J158" s="363"/>
    </row>
    <row r="159" spans="1:18">
      <c r="H159" s="363"/>
      <c r="I159" s="363"/>
      <c r="J159" s="363"/>
    </row>
    <row r="160" spans="1:18">
      <c r="B160" s="201" t="s">
        <v>170</v>
      </c>
      <c r="H160" s="363"/>
      <c r="I160" s="363"/>
      <c r="J160" s="363"/>
    </row>
    <row r="161" spans="2:18" ht="15.75" thickBot="1">
      <c r="H161" s="363"/>
      <c r="I161" s="363"/>
      <c r="J161" s="363"/>
    </row>
    <row r="162" spans="2:18" ht="15.75" thickBot="1">
      <c r="B162" s="215" t="s">
        <v>145</v>
      </c>
      <c r="C162" s="215" t="s">
        <v>146</v>
      </c>
      <c r="D162" s="215" t="s">
        <v>147</v>
      </c>
      <c r="E162" s="215" t="s">
        <v>148</v>
      </c>
      <c r="H162" s="363"/>
      <c r="I162" s="363"/>
      <c r="J162" s="363"/>
    </row>
    <row r="163" spans="2:18" ht="15.75" thickBot="1">
      <c r="B163" s="216" t="s">
        <v>390</v>
      </c>
      <c r="C163" s="216" t="s">
        <v>163</v>
      </c>
      <c r="D163" s="216" t="s">
        <v>164</v>
      </c>
      <c r="E163" s="216" t="s">
        <v>163</v>
      </c>
      <c r="H163" s="363"/>
      <c r="I163" s="363"/>
      <c r="J163" s="363"/>
    </row>
    <row r="164" spans="2:18" ht="15.75" thickBot="1">
      <c r="B164" s="217" t="s">
        <v>106</v>
      </c>
      <c r="C164" s="217" t="s">
        <v>156</v>
      </c>
      <c r="D164" s="217" t="s">
        <v>171</v>
      </c>
      <c r="E164" s="217" t="s">
        <v>156</v>
      </c>
      <c r="H164" s="363"/>
      <c r="I164" s="363"/>
      <c r="J164" s="363"/>
    </row>
    <row r="165" spans="2:18" ht="15.75" thickBot="1">
      <c r="B165" s="216" t="s">
        <v>200</v>
      </c>
      <c r="C165" s="216" t="s">
        <v>153</v>
      </c>
      <c r="D165" s="216" t="s">
        <v>171</v>
      </c>
      <c r="E165" s="216" t="s">
        <v>155</v>
      </c>
      <c r="H165" s="363"/>
      <c r="I165" s="363"/>
      <c r="J165" s="363"/>
    </row>
    <row r="166" spans="2:18" ht="15.75" thickBot="1">
      <c r="B166" s="217" t="s">
        <v>187</v>
      </c>
      <c r="C166" s="217" t="s">
        <v>149</v>
      </c>
      <c r="D166" s="217" t="s">
        <v>150</v>
      </c>
      <c r="E166" s="217" t="s">
        <v>164</v>
      </c>
      <c r="H166" s="363"/>
      <c r="I166" s="363"/>
      <c r="J166" s="363"/>
    </row>
    <row r="167" spans="2:18">
      <c r="H167" s="363"/>
      <c r="I167" s="363"/>
      <c r="J167" s="363"/>
    </row>
    <row r="168" spans="2:18">
      <c r="H168" s="363"/>
      <c r="I168" s="363"/>
      <c r="J168" s="363"/>
    </row>
    <row r="169" spans="2:18">
      <c r="B169" s="201" t="s">
        <v>173</v>
      </c>
      <c r="H169" s="363"/>
      <c r="I169" s="363"/>
      <c r="J169" s="363"/>
    </row>
    <row r="170" spans="2:18">
      <c r="B170" s="195"/>
      <c r="H170" s="363"/>
      <c r="I170" s="363"/>
      <c r="J170" s="363"/>
    </row>
    <row r="171" spans="2:18">
      <c r="B171" s="195" t="s">
        <v>174</v>
      </c>
      <c r="H171" s="363"/>
      <c r="I171" s="363"/>
      <c r="J171" s="363"/>
    </row>
    <row r="172" spans="2:18">
      <c r="B172" s="195" t="s">
        <v>175</v>
      </c>
      <c r="H172" s="363"/>
      <c r="I172" s="363"/>
      <c r="J172" s="363"/>
    </row>
    <row r="173" spans="2:18">
      <c r="H173" s="363"/>
      <c r="I173" s="363"/>
      <c r="J173" s="363"/>
    </row>
    <row r="174" spans="2:18">
      <c r="H174" s="363"/>
      <c r="I174" s="363"/>
      <c r="J174" s="363"/>
    </row>
    <row r="175" spans="2:18">
      <c r="B175" s="218"/>
      <c r="C175" s="218"/>
      <c r="D175" s="218"/>
      <c r="E175" s="218"/>
      <c r="F175" s="218"/>
      <c r="G175" s="218"/>
      <c r="H175" s="364"/>
      <c r="I175" s="364"/>
      <c r="J175" s="364"/>
      <c r="K175" s="218"/>
      <c r="L175" s="219"/>
      <c r="M175" s="218"/>
      <c r="N175" s="218"/>
      <c r="O175" s="218"/>
      <c r="Q175" s="218"/>
      <c r="R175" s="218"/>
    </row>
    <row r="176" spans="2:18">
      <c r="H176" s="363"/>
      <c r="I176" s="363"/>
      <c r="J176" s="363"/>
    </row>
    <row r="177" spans="1:10">
      <c r="H177" s="363"/>
      <c r="I177" s="363"/>
      <c r="J177" s="363"/>
    </row>
    <row r="178" spans="1:10">
      <c r="B178" s="201" t="s">
        <v>176</v>
      </c>
      <c r="H178" s="363"/>
      <c r="I178" s="363"/>
      <c r="J178" s="363"/>
    </row>
    <row r="179" spans="1:10">
      <c r="H179" s="363"/>
      <c r="I179" s="363"/>
      <c r="J179" s="363"/>
    </row>
    <row r="180" spans="1:10">
      <c r="A180" s="188" t="s">
        <v>71</v>
      </c>
      <c r="B180" s="189" t="s">
        <v>140</v>
      </c>
      <c r="C180" s="189" t="s">
        <v>141</v>
      </c>
      <c r="D180" s="201" t="s">
        <v>97</v>
      </c>
      <c r="H180" s="363"/>
      <c r="I180" s="363"/>
      <c r="J180" s="363"/>
    </row>
    <row r="181" spans="1:10">
      <c r="A181" s="188" t="s">
        <v>72</v>
      </c>
      <c r="B181" s="189" t="s">
        <v>142</v>
      </c>
      <c r="C181" s="189" t="s">
        <v>141</v>
      </c>
      <c r="D181" s="201" t="s">
        <v>193</v>
      </c>
      <c r="H181" s="363"/>
      <c r="I181" s="363"/>
      <c r="J181" s="363"/>
    </row>
    <row r="182" spans="1:10">
      <c r="H182" s="363"/>
      <c r="I182" s="363"/>
      <c r="J182" s="363"/>
    </row>
    <row r="183" spans="1:10">
      <c r="H183" s="363"/>
      <c r="I183" s="363"/>
      <c r="J183" s="363"/>
    </row>
    <row r="184" spans="1:10">
      <c r="B184" s="201" t="s">
        <v>178</v>
      </c>
      <c r="H184" s="363"/>
      <c r="I184" s="363"/>
      <c r="J184" s="363"/>
    </row>
    <row r="185" spans="1:10" ht="15.75" thickBot="1">
      <c r="H185" s="363"/>
      <c r="I185" s="363"/>
      <c r="J185" s="363"/>
    </row>
    <row r="186" spans="1:10" ht="15.75" thickBot="1">
      <c r="B186" s="215" t="s">
        <v>145</v>
      </c>
      <c r="C186" s="215" t="s">
        <v>146</v>
      </c>
      <c r="D186" s="215" t="s">
        <v>147</v>
      </c>
      <c r="E186" s="215" t="s">
        <v>148</v>
      </c>
      <c r="H186" s="363"/>
      <c r="I186" s="363"/>
      <c r="J186" s="363"/>
    </row>
    <row r="187" spans="1:10" ht="15.75" thickBot="1">
      <c r="B187" s="216" t="s">
        <v>97</v>
      </c>
      <c r="C187" s="216" t="s">
        <v>172</v>
      </c>
      <c r="D187" s="216" t="s">
        <v>172</v>
      </c>
      <c r="E187" s="216" t="s">
        <v>172</v>
      </c>
      <c r="H187" s="363"/>
      <c r="I187" s="363"/>
      <c r="J187" s="363"/>
    </row>
    <row r="188" spans="1:10" ht="15.75" thickBot="1">
      <c r="B188" s="217" t="s">
        <v>391</v>
      </c>
      <c r="C188" s="217" t="s">
        <v>150</v>
      </c>
      <c r="D188" s="217" t="s">
        <v>252</v>
      </c>
      <c r="E188" s="217" t="s">
        <v>156</v>
      </c>
      <c r="H188" s="363"/>
      <c r="I188" s="363"/>
      <c r="J188" s="363"/>
    </row>
    <row r="189" spans="1:10" ht="15.75" thickBot="1">
      <c r="B189" s="216" t="s">
        <v>109</v>
      </c>
      <c r="C189" s="216" t="s">
        <v>151</v>
      </c>
      <c r="D189" s="216" t="s">
        <v>180</v>
      </c>
      <c r="E189" s="216" t="s">
        <v>151</v>
      </c>
      <c r="H189" s="363"/>
      <c r="I189" s="363"/>
      <c r="J189" s="363"/>
    </row>
    <row r="190" spans="1:10" ht="15.75" thickBot="1">
      <c r="B190" s="217" t="s">
        <v>193</v>
      </c>
      <c r="C190" s="217" t="s">
        <v>172</v>
      </c>
      <c r="D190" s="217" t="s">
        <v>164</v>
      </c>
      <c r="E190" s="217" t="s">
        <v>172</v>
      </c>
      <c r="H190" s="363"/>
      <c r="I190" s="363"/>
      <c r="J190" s="363"/>
    </row>
    <row r="191" spans="1:10">
      <c r="H191" s="363"/>
      <c r="I191" s="363"/>
      <c r="J191" s="363"/>
    </row>
    <row r="192" spans="1:10">
      <c r="H192" s="363"/>
      <c r="I192" s="363"/>
      <c r="J192" s="363"/>
    </row>
    <row r="193" spans="1:18">
      <c r="B193" s="201" t="s">
        <v>182</v>
      </c>
      <c r="H193" s="363"/>
      <c r="I193" s="363"/>
      <c r="J193" s="363"/>
    </row>
    <row r="194" spans="1:18">
      <c r="B194" s="195"/>
      <c r="H194" s="363"/>
      <c r="I194" s="363"/>
      <c r="J194" s="363"/>
    </row>
    <row r="195" spans="1:18">
      <c r="B195" s="195" t="s">
        <v>183</v>
      </c>
      <c r="H195" s="363"/>
      <c r="I195" s="363"/>
      <c r="J195" s="363"/>
    </row>
    <row r="196" spans="1:18">
      <c r="B196" s="195"/>
      <c r="H196" s="363"/>
      <c r="I196" s="363"/>
      <c r="J196" s="363"/>
    </row>
    <row r="197" spans="1:18">
      <c r="H197" s="363"/>
      <c r="I197" s="363"/>
      <c r="J197" s="363"/>
    </row>
    <row r="198" spans="1:18">
      <c r="H198" s="363"/>
      <c r="I198" s="363"/>
      <c r="J198" s="363"/>
      <c r="K198" s="218"/>
      <c r="L198" s="219"/>
      <c r="M198" s="218"/>
      <c r="N198" s="218"/>
      <c r="O198" s="218"/>
    </row>
    <row r="199" spans="1:18">
      <c r="B199" s="218"/>
      <c r="C199" s="218"/>
      <c r="D199" s="218"/>
      <c r="E199" s="218"/>
      <c r="F199" s="218"/>
      <c r="G199" s="218"/>
      <c r="H199" s="364"/>
      <c r="I199" s="364"/>
      <c r="J199" s="364"/>
      <c r="Q199" s="218"/>
      <c r="R199" s="218"/>
    </row>
    <row r="200" spans="1:18">
      <c r="H200" s="363"/>
      <c r="I200" s="363"/>
      <c r="J200" s="363"/>
    </row>
    <row r="201" spans="1:18">
      <c r="H201" s="363"/>
      <c r="I201" s="363"/>
      <c r="J201" s="363"/>
    </row>
    <row r="202" spans="1:18">
      <c r="B202" s="201" t="s">
        <v>184</v>
      </c>
      <c r="H202" s="363"/>
      <c r="I202" s="363"/>
      <c r="J202" s="363"/>
    </row>
    <row r="203" spans="1:18">
      <c r="H203" s="363"/>
      <c r="I203" s="363"/>
      <c r="J203" s="363"/>
    </row>
    <row r="204" spans="1:18">
      <c r="A204" s="188" t="s">
        <v>73</v>
      </c>
      <c r="B204" s="189" t="s">
        <v>140</v>
      </c>
      <c r="C204" s="189" t="s">
        <v>141</v>
      </c>
      <c r="D204" s="201" t="s">
        <v>143</v>
      </c>
      <c r="H204" s="363"/>
      <c r="I204" s="363"/>
      <c r="J204" s="363"/>
    </row>
    <row r="205" spans="1:18">
      <c r="A205" s="188" t="s">
        <v>74</v>
      </c>
      <c r="B205" s="189" t="s">
        <v>142</v>
      </c>
      <c r="C205" s="189" t="s">
        <v>141</v>
      </c>
      <c r="D205" s="201" t="s">
        <v>392</v>
      </c>
      <c r="H205" s="363"/>
      <c r="I205" s="363"/>
      <c r="J205" s="363"/>
    </row>
    <row r="206" spans="1:18">
      <c r="H206" s="363"/>
      <c r="I206" s="363"/>
      <c r="J206" s="363"/>
    </row>
    <row r="207" spans="1:18">
      <c r="H207" s="363"/>
      <c r="I207" s="363"/>
      <c r="J207" s="363"/>
    </row>
    <row r="208" spans="1:18">
      <c r="B208" s="201" t="s">
        <v>186</v>
      </c>
      <c r="H208" s="363"/>
      <c r="I208" s="363"/>
      <c r="J208" s="363"/>
    </row>
    <row r="209" spans="2:18" ht="15.75" thickBot="1">
      <c r="H209" s="363"/>
      <c r="I209" s="363"/>
      <c r="J209" s="363"/>
    </row>
    <row r="210" spans="2:18" ht="15.75" thickBot="1">
      <c r="B210" s="215" t="s">
        <v>145</v>
      </c>
      <c r="C210" s="215" t="s">
        <v>146</v>
      </c>
      <c r="D210" s="215" t="s">
        <v>147</v>
      </c>
      <c r="E210" s="215" t="s">
        <v>148</v>
      </c>
      <c r="H210" s="363"/>
      <c r="I210" s="363"/>
      <c r="J210" s="363"/>
    </row>
    <row r="211" spans="2:18" ht="15.75" thickBot="1">
      <c r="B211" s="216" t="s">
        <v>209</v>
      </c>
      <c r="C211" s="216" t="s">
        <v>151</v>
      </c>
      <c r="D211" s="216" t="s">
        <v>171</v>
      </c>
      <c r="E211" s="216" t="s">
        <v>155</v>
      </c>
      <c r="H211" s="363"/>
      <c r="I211" s="363"/>
      <c r="J211" s="363"/>
    </row>
    <row r="212" spans="2:18" ht="15.75" thickBot="1">
      <c r="B212" s="217" t="s">
        <v>392</v>
      </c>
      <c r="C212" s="217" t="s">
        <v>149</v>
      </c>
      <c r="D212" s="217" t="s">
        <v>150</v>
      </c>
      <c r="E212" s="217" t="s">
        <v>172</v>
      </c>
      <c r="H212" s="363"/>
      <c r="I212" s="363"/>
      <c r="J212" s="363"/>
    </row>
    <row r="213" spans="2:18" ht="15.75" thickBot="1">
      <c r="B213" s="216" t="s">
        <v>143</v>
      </c>
      <c r="C213" s="216" t="s">
        <v>163</v>
      </c>
      <c r="D213" s="216" t="s">
        <v>164</v>
      </c>
      <c r="E213" s="216" t="s">
        <v>243</v>
      </c>
      <c r="H213" s="363"/>
      <c r="I213" s="363"/>
      <c r="J213" s="363"/>
    </row>
    <row r="214" spans="2:18" ht="15.75" thickBot="1">
      <c r="B214" s="217" t="s">
        <v>210</v>
      </c>
      <c r="C214" s="217" t="s">
        <v>156</v>
      </c>
      <c r="D214" s="217" t="s">
        <v>171</v>
      </c>
      <c r="E214" s="217" t="s">
        <v>164</v>
      </c>
      <c r="H214" s="363"/>
      <c r="I214" s="363"/>
      <c r="J214" s="363"/>
    </row>
    <row r="215" spans="2:18">
      <c r="H215" s="363"/>
      <c r="I215" s="363"/>
      <c r="J215" s="363"/>
    </row>
    <row r="216" spans="2:18">
      <c r="H216" s="363"/>
      <c r="I216" s="363"/>
      <c r="J216" s="363"/>
    </row>
    <row r="217" spans="2:18">
      <c r="B217" s="201" t="s">
        <v>189</v>
      </c>
      <c r="H217" s="363"/>
      <c r="I217" s="363"/>
      <c r="J217" s="363"/>
    </row>
    <row r="218" spans="2:18">
      <c r="B218" s="195"/>
      <c r="H218" s="363"/>
      <c r="I218" s="363"/>
      <c r="J218" s="363"/>
    </row>
    <row r="219" spans="2:18">
      <c r="B219" s="195" t="s">
        <v>190</v>
      </c>
      <c r="H219" s="363"/>
      <c r="I219" s="363"/>
      <c r="J219" s="363"/>
    </row>
    <row r="220" spans="2:18">
      <c r="B220" s="195" t="s">
        <v>191</v>
      </c>
      <c r="H220" s="363"/>
      <c r="I220" s="363"/>
      <c r="J220" s="363"/>
    </row>
    <row r="221" spans="2:18">
      <c r="H221" s="363"/>
      <c r="I221" s="363"/>
      <c r="J221" s="363"/>
    </row>
    <row r="222" spans="2:18">
      <c r="H222" s="363"/>
      <c r="I222" s="363"/>
      <c r="J222" s="363"/>
      <c r="K222" s="218"/>
      <c r="L222" s="219"/>
      <c r="M222" s="218"/>
      <c r="N222" s="218"/>
      <c r="O222" s="218"/>
    </row>
    <row r="223" spans="2:18">
      <c r="B223" s="218"/>
      <c r="C223" s="218"/>
      <c r="D223" s="218"/>
      <c r="E223" s="218"/>
      <c r="F223" s="218"/>
      <c r="G223" s="218"/>
      <c r="H223" s="364"/>
      <c r="I223" s="364"/>
      <c r="J223" s="364"/>
      <c r="Q223" s="218"/>
      <c r="R223" s="218"/>
    </row>
    <row r="224" spans="2:18">
      <c r="H224" s="363"/>
      <c r="I224" s="363"/>
      <c r="J224" s="363"/>
    </row>
    <row r="225" spans="1:10">
      <c r="H225" s="363"/>
      <c r="I225" s="363"/>
      <c r="J225" s="363"/>
    </row>
    <row r="226" spans="1:10">
      <c r="B226" s="201" t="s">
        <v>192</v>
      </c>
      <c r="H226" s="363"/>
      <c r="I226" s="363"/>
      <c r="J226" s="363"/>
    </row>
    <row r="227" spans="1:10">
      <c r="H227" s="363"/>
      <c r="I227" s="363"/>
      <c r="J227" s="363"/>
    </row>
    <row r="228" spans="1:10">
      <c r="A228" s="188" t="s">
        <v>75</v>
      </c>
      <c r="B228" s="189" t="s">
        <v>140</v>
      </c>
      <c r="C228" s="189" t="s">
        <v>141</v>
      </c>
      <c r="D228" s="201" t="s">
        <v>102</v>
      </c>
      <c r="H228" s="363"/>
      <c r="I228" s="363"/>
      <c r="J228" s="363"/>
    </row>
    <row r="229" spans="1:10">
      <c r="A229" s="188" t="s">
        <v>76</v>
      </c>
      <c r="B229" s="189" t="s">
        <v>142</v>
      </c>
      <c r="C229" s="189" t="s">
        <v>141</v>
      </c>
      <c r="D229" s="201" t="s">
        <v>572</v>
      </c>
      <c r="H229" s="363"/>
      <c r="I229" s="363"/>
      <c r="J229" s="363"/>
    </row>
    <row r="230" spans="1:10">
      <c r="H230" s="363"/>
      <c r="I230" s="363"/>
      <c r="J230" s="363"/>
    </row>
    <row r="231" spans="1:10">
      <c r="H231" s="363"/>
      <c r="I231" s="363"/>
      <c r="J231" s="363"/>
    </row>
    <row r="232" spans="1:10">
      <c r="B232" s="201" t="s">
        <v>194</v>
      </c>
      <c r="H232" s="363"/>
      <c r="I232" s="363"/>
      <c r="J232" s="363"/>
    </row>
    <row r="233" spans="1:10" ht="15.75" thickBot="1">
      <c r="H233" s="363"/>
      <c r="I233" s="363"/>
      <c r="J233" s="363"/>
    </row>
    <row r="234" spans="1:10" ht="15.75" thickBot="1">
      <c r="B234" s="215" t="s">
        <v>145</v>
      </c>
      <c r="C234" s="215" t="s">
        <v>146</v>
      </c>
      <c r="D234" s="215" t="s">
        <v>147</v>
      </c>
      <c r="E234" s="215" t="s">
        <v>148</v>
      </c>
      <c r="H234" s="363"/>
      <c r="I234" s="363"/>
      <c r="J234" s="363"/>
    </row>
    <row r="235" spans="1:10" ht="15.75" thickBot="1">
      <c r="B235" s="216" t="s">
        <v>102</v>
      </c>
      <c r="C235" s="216" t="s">
        <v>163</v>
      </c>
      <c r="D235" s="216" t="s">
        <v>519</v>
      </c>
      <c r="E235" s="216" t="s">
        <v>520</v>
      </c>
      <c r="H235" s="363"/>
      <c r="I235" s="363"/>
      <c r="J235" s="363"/>
    </row>
    <row r="236" spans="1:10" ht="15.75" thickBot="1">
      <c r="B236" s="217" t="s">
        <v>572</v>
      </c>
      <c r="C236" s="217" t="s">
        <v>164</v>
      </c>
      <c r="D236" s="217" t="s">
        <v>171</v>
      </c>
      <c r="E236" s="217" t="s">
        <v>243</v>
      </c>
      <c r="H236" s="363"/>
      <c r="I236" s="363"/>
      <c r="J236" s="363"/>
    </row>
    <row r="237" spans="1:10" ht="15.75" thickBot="1">
      <c r="B237" s="216" t="s">
        <v>394</v>
      </c>
      <c r="C237" s="216" t="s">
        <v>150</v>
      </c>
      <c r="D237" s="216" t="s">
        <v>241</v>
      </c>
      <c r="E237" s="216" t="s">
        <v>151</v>
      </c>
      <c r="H237" s="363"/>
      <c r="I237" s="363"/>
      <c r="J237" s="363"/>
    </row>
    <row r="238" spans="1:10" ht="15.75" thickBot="1">
      <c r="B238" s="217" t="s">
        <v>108</v>
      </c>
      <c r="C238" s="217" t="s">
        <v>151</v>
      </c>
      <c r="D238" s="217" t="s">
        <v>180</v>
      </c>
      <c r="E238" s="217" t="s">
        <v>155</v>
      </c>
      <c r="H238" s="363"/>
      <c r="I238" s="363"/>
      <c r="J238" s="363"/>
    </row>
    <row r="239" spans="1:10">
      <c r="H239" s="363"/>
      <c r="I239" s="363"/>
      <c r="J239" s="363"/>
    </row>
    <row r="240" spans="1:10">
      <c r="H240" s="363"/>
      <c r="I240" s="363"/>
      <c r="J240" s="363"/>
    </row>
    <row r="241" spans="1:18">
      <c r="B241" s="201" t="s">
        <v>195</v>
      </c>
      <c r="H241" s="363"/>
      <c r="I241" s="363"/>
      <c r="J241" s="363"/>
    </row>
    <row r="242" spans="1:18">
      <c r="B242" s="195"/>
      <c r="H242" s="363"/>
      <c r="I242" s="363"/>
      <c r="J242" s="363"/>
    </row>
    <row r="243" spans="1:18">
      <c r="B243" s="195" t="s">
        <v>196</v>
      </c>
      <c r="H243" s="363"/>
      <c r="I243" s="363"/>
      <c r="J243" s="363"/>
    </row>
    <row r="244" spans="1:18">
      <c r="B244" s="195" t="s">
        <v>197</v>
      </c>
      <c r="H244" s="363"/>
      <c r="I244" s="363"/>
      <c r="J244" s="363"/>
    </row>
    <row r="245" spans="1:18">
      <c r="H245" s="363"/>
      <c r="I245" s="363"/>
      <c r="J245" s="363"/>
    </row>
    <row r="246" spans="1:18">
      <c r="H246" s="363"/>
      <c r="I246" s="363"/>
      <c r="J246" s="363"/>
      <c r="K246" s="218"/>
      <c r="L246" s="219"/>
      <c r="M246" s="218"/>
      <c r="N246" s="218"/>
      <c r="O246" s="218"/>
    </row>
    <row r="247" spans="1:18">
      <c r="B247" s="218"/>
      <c r="C247" s="218"/>
      <c r="D247" s="218"/>
      <c r="E247" s="218"/>
      <c r="F247" s="218"/>
      <c r="G247" s="218"/>
      <c r="H247" s="364"/>
      <c r="I247" s="364"/>
      <c r="J247" s="364"/>
      <c r="Q247" s="218"/>
      <c r="R247" s="218"/>
    </row>
    <row r="248" spans="1:18">
      <c r="H248" s="363"/>
      <c r="I248" s="363"/>
      <c r="J248" s="363"/>
    </row>
    <row r="249" spans="1:18">
      <c r="H249" s="363"/>
      <c r="I249" s="363"/>
      <c r="J249" s="363"/>
    </row>
    <row r="250" spans="1:18">
      <c r="B250" s="201" t="s">
        <v>198</v>
      </c>
      <c r="H250" s="363"/>
      <c r="I250" s="363"/>
      <c r="J250" s="363"/>
    </row>
    <row r="251" spans="1:18">
      <c r="H251" s="363"/>
      <c r="I251" s="363"/>
      <c r="J251" s="363"/>
    </row>
    <row r="252" spans="1:18">
      <c r="A252" s="188" t="s">
        <v>77</v>
      </c>
      <c r="B252" s="189" t="s">
        <v>140</v>
      </c>
      <c r="C252" s="189" t="s">
        <v>141</v>
      </c>
      <c r="D252" s="201" t="s">
        <v>202</v>
      </c>
      <c r="H252" s="363"/>
      <c r="I252" s="363"/>
      <c r="J252" s="363"/>
    </row>
    <row r="253" spans="1:18">
      <c r="A253" s="188" t="s">
        <v>78</v>
      </c>
      <c r="B253" s="189" t="s">
        <v>142</v>
      </c>
      <c r="C253" s="189" t="s">
        <v>141</v>
      </c>
      <c r="D253" s="201" t="s">
        <v>177</v>
      </c>
      <c r="H253" s="363"/>
      <c r="I253" s="363"/>
      <c r="J253" s="363"/>
    </row>
    <row r="254" spans="1:18">
      <c r="H254" s="363"/>
      <c r="I254" s="363"/>
      <c r="J254" s="363"/>
    </row>
    <row r="255" spans="1:18">
      <c r="H255" s="363"/>
      <c r="I255" s="363"/>
      <c r="J255" s="363"/>
    </row>
    <row r="256" spans="1:18">
      <c r="B256" s="201" t="s">
        <v>201</v>
      </c>
      <c r="H256" s="363"/>
      <c r="I256" s="363"/>
      <c r="J256" s="363"/>
    </row>
    <row r="257" spans="2:18" ht="15.75" thickBot="1">
      <c r="H257" s="363"/>
      <c r="I257" s="363"/>
      <c r="J257" s="363"/>
    </row>
    <row r="258" spans="2:18" ht="15.75" thickBot="1">
      <c r="B258" s="215" t="s">
        <v>145</v>
      </c>
      <c r="C258" s="215" t="s">
        <v>146</v>
      </c>
      <c r="D258" s="215" t="s">
        <v>147</v>
      </c>
      <c r="E258" s="215" t="s">
        <v>148</v>
      </c>
      <c r="H258" s="363"/>
      <c r="I258" s="363"/>
      <c r="J258" s="363"/>
    </row>
    <row r="259" spans="2:18" ht="15.75" thickBot="1">
      <c r="B259" s="216" t="s">
        <v>177</v>
      </c>
      <c r="C259" s="216" t="s">
        <v>172</v>
      </c>
      <c r="D259" s="216" t="s">
        <v>149</v>
      </c>
      <c r="E259" s="216" t="s">
        <v>164</v>
      </c>
      <c r="H259" s="363"/>
      <c r="I259" s="363"/>
      <c r="J259" s="363"/>
    </row>
    <row r="260" spans="2:18" ht="15.75" thickBot="1">
      <c r="B260" s="217" t="s">
        <v>202</v>
      </c>
      <c r="C260" s="217" t="s">
        <v>172</v>
      </c>
      <c r="D260" s="217" t="s">
        <v>149</v>
      </c>
      <c r="E260" s="217" t="s">
        <v>163</v>
      </c>
      <c r="H260" s="363"/>
      <c r="I260" s="363"/>
      <c r="J260" s="363"/>
    </row>
    <row r="261" spans="2:18" ht="15.75" thickBot="1">
      <c r="B261" s="216" t="s">
        <v>181</v>
      </c>
      <c r="C261" s="216" t="s">
        <v>150</v>
      </c>
      <c r="D261" s="216" t="s">
        <v>162</v>
      </c>
      <c r="E261" s="216" t="s">
        <v>149</v>
      </c>
      <c r="H261" s="363"/>
      <c r="I261" s="363"/>
      <c r="J261" s="363"/>
    </row>
    <row r="262" spans="2:18" ht="15.75" thickBot="1">
      <c r="B262" s="217" t="s">
        <v>32</v>
      </c>
      <c r="C262" s="217" t="s">
        <v>151</v>
      </c>
      <c r="D262" s="217" t="s">
        <v>171</v>
      </c>
      <c r="E262" s="217" t="s">
        <v>149</v>
      </c>
      <c r="H262" s="363"/>
      <c r="I262" s="363"/>
      <c r="J262" s="363"/>
    </row>
    <row r="263" spans="2:18">
      <c r="H263" s="363"/>
      <c r="I263" s="363"/>
      <c r="J263" s="363"/>
    </row>
    <row r="264" spans="2:18">
      <c r="H264" s="363"/>
      <c r="I264" s="363"/>
      <c r="J264" s="363"/>
    </row>
    <row r="265" spans="2:18">
      <c r="B265" s="201" t="s">
        <v>203</v>
      </c>
      <c r="H265" s="363"/>
      <c r="I265" s="363"/>
      <c r="J265" s="363"/>
    </row>
    <row r="266" spans="2:18">
      <c r="B266" s="195"/>
      <c r="H266" s="363"/>
      <c r="I266" s="363"/>
      <c r="J266" s="363"/>
    </row>
    <row r="267" spans="2:18">
      <c r="B267" s="195" t="s">
        <v>257</v>
      </c>
      <c r="H267" s="363"/>
      <c r="I267" s="363"/>
      <c r="J267" s="363"/>
    </row>
    <row r="268" spans="2:18">
      <c r="B268" s="195"/>
      <c r="H268" s="363"/>
      <c r="I268" s="363"/>
      <c r="J268" s="363"/>
    </row>
    <row r="269" spans="2:18">
      <c r="H269" s="363"/>
      <c r="I269" s="363"/>
      <c r="J269" s="363"/>
    </row>
    <row r="270" spans="2:18">
      <c r="B270" s="218"/>
      <c r="C270" s="218"/>
      <c r="D270" s="218"/>
      <c r="E270" s="218"/>
      <c r="F270" s="218"/>
      <c r="G270" s="218"/>
      <c r="H270" s="363"/>
      <c r="I270" s="363"/>
      <c r="J270" s="363"/>
      <c r="Q270" s="218"/>
      <c r="R270" s="218"/>
    </row>
    <row r="271" spans="2:18">
      <c r="H271" s="364"/>
      <c r="I271" s="364"/>
      <c r="J271" s="364"/>
    </row>
    <row r="272" spans="2:18">
      <c r="H272" s="363"/>
      <c r="I272" s="363"/>
      <c r="J272" s="363"/>
    </row>
    <row r="273" spans="1:10">
      <c r="H273" s="363"/>
      <c r="I273" s="363"/>
      <c r="J273" s="363"/>
    </row>
    <row r="274" spans="1:10">
      <c r="B274" s="201" t="s">
        <v>206</v>
      </c>
      <c r="H274" s="363"/>
      <c r="I274" s="363"/>
      <c r="J274" s="363"/>
    </row>
    <row r="275" spans="1:10">
      <c r="H275" s="363"/>
      <c r="I275" s="363"/>
      <c r="J275" s="363"/>
    </row>
    <row r="276" spans="1:10">
      <c r="A276" s="188" t="s">
        <v>79</v>
      </c>
      <c r="B276" s="189" t="s">
        <v>140</v>
      </c>
      <c r="C276" s="189" t="s">
        <v>141</v>
      </c>
      <c r="D276" s="201" t="s">
        <v>395</v>
      </c>
      <c r="H276" s="363"/>
      <c r="I276" s="363"/>
      <c r="J276" s="363"/>
    </row>
    <row r="277" spans="1:10">
      <c r="A277" s="188" t="s">
        <v>80</v>
      </c>
      <c r="B277" s="189" t="s">
        <v>142</v>
      </c>
      <c r="C277" s="189" t="s">
        <v>141</v>
      </c>
      <c r="D277" s="201" t="s">
        <v>396</v>
      </c>
      <c r="H277" s="363"/>
      <c r="I277" s="363"/>
      <c r="J277" s="363"/>
    </row>
    <row r="278" spans="1:10">
      <c r="H278" s="363"/>
      <c r="I278" s="363"/>
      <c r="J278" s="363"/>
    </row>
    <row r="279" spans="1:10">
      <c r="H279" s="363"/>
      <c r="I279" s="363"/>
      <c r="J279" s="363"/>
    </row>
    <row r="280" spans="1:10">
      <c r="B280" s="201" t="s">
        <v>208</v>
      </c>
      <c r="H280" s="363"/>
      <c r="I280" s="363"/>
      <c r="J280" s="363"/>
    </row>
    <row r="281" spans="1:10" ht="15.75" thickBot="1">
      <c r="H281" s="363"/>
      <c r="I281" s="363"/>
      <c r="J281" s="363"/>
    </row>
    <row r="282" spans="1:10" ht="15.75" thickBot="1">
      <c r="B282" s="215" t="s">
        <v>145</v>
      </c>
      <c r="C282" s="215" t="s">
        <v>146</v>
      </c>
      <c r="D282" s="215" t="s">
        <v>147</v>
      </c>
      <c r="E282" s="215" t="s">
        <v>148</v>
      </c>
      <c r="H282" s="363"/>
      <c r="I282" s="363"/>
      <c r="J282" s="363"/>
    </row>
    <row r="283" spans="1:10" ht="15.75" thickBot="1">
      <c r="B283" s="216" t="s">
        <v>395</v>
      </c>
      <c r="C283" s="216" t="s">
        <v>163</v>
      </c>
      <c r="D283" s="216" t="s">
        <v>243</v>
      </c>
      <c r="E283" s="216" t="s">
        <v>163</v>
      </c>
      <c r="H283" s="363"/>
      <c r="I283" s="363"/>
      <c r="J283" s="363"/>
    </row>
    <row r="284" spans="1:10" ht="15.75" thickBot="1">
      <c r="B284" s="217" t="s">
        <v>110</v>
      </c>
      <c r="C284" s="217" t="s">
        <v>150</v>
      </c>
      <c r="D284" s="217" t="s">
        <v>188</v>
      </c>
      <c r="E284" s="217" t="s">
        <v>156</v>
      </c>
      <c r="H284" s="363"/>
      <c r="I284" s="363"/>
      <c r="J284" s="363"/>
    </row>
    <row r="285" spans="1:10" ht="15.75" thickBot="1">
      <c r="B285" s="216" t="s">
        <v>396</v>
      </c>
      <c r="C285" s="216" t="s">
        <v>164</v>
      </c>
      <c r="D285" s="216" t="s">
        <v>151</v>
      </c>
      <c r="E285" s="216" t="s">
        <v>155</v>
      </c>
      <c r="H285" s="363"/>
      <c r="I285" s="363"/>
      <c r="J285" s="363"/>
    </row>
    <row r="286" spans="1:10" ht="15.75" thickBot="1">
      <c r="B286" s="217" t="s">
        <v>104</v>
      </c>
      <c r="C286" s="217" t="s">
        <v>151</v>
      </c>
      <c r="D286" s="217" t="s">
        <v>180</v>
      </c>
      <c r="E286" s="217" t="s">
        <v>153</v>
      </c>
      <c r="H286" s="363"/>
      <c r="I286" s="363"/>
      <c r="J286" s="363"/>
    </row>
    <row r="287" spans="1:10">
      <c r="H287" s="363"/>
      <c r="I287" s="363"/>
      <c r="J287" s="363"/>
    </row>
    <row r="288" spans="1:10">
      <c r="H288" s="363"/>
      <c r="I288" s="363"/>
      <c r="J288" s="363"/>
    </row>
    <row r="289" spans="2:18">
      <c r="B289" s="201" t="s">
        <v>211</v>
      </c>
      <c r="H289" s="363"/>
      <c r="I289" s="363"/>
      <c r="J289" s="363"/>
    </row>
    <row r="290" spans="2:18">
      <c r="B290" s="195"/>
      <c r="H290" s="363"/>
      <c r="I290" s="363"/>
      <c r="J290" s="363"/>
    </row>
    <row r="291" spans="2:18">
      <c r="B291" s="195" t="s">
        <v>212</v>
      </c>
      <c r="H291" s="363"/>
      <c r="I291" s="363"/>
      <c r="J291" s="363"/>
    </row>
    <row r="292" spans="2:18">
      <c r="B292" s="195" t="s">
        <v>213</v>
      </c>
      <c r="H292" s="363"/>
      <c r="I292" s="363"/>
      <c r="J292" s="363"/>
    </row>
    <row r="293" spans="2:18">
      <c r="H293" s="363"/>
      <c r="I293" s="363"/>
      <c r="J293" s="363"/>
    </row>
    <row r="294" spans="2:18">
      <c r="H294" s="363"/>
      <c r="I294" s="363"/>
      <c r="J294" s="363"/>
      <c r="K294" s="218"/>
      <c r="L294" s="219"/>
      <c r="M294" s="218"/>
      <c r="N294" s="218"/>
      <c r="O294" s="218"/>
    </row>
    <row r="295" spans="2:18">
      <c r="B295" s="218"/>
      <c r="C295" s="218"/>
      <c r="D295" s="218"/>
      <c r="E295" s="218"/>
      <c r="F295" s="218"/>
      <c r="G295" s="218"/>
      <c r="H295" s="364"/>
      <c r="I295" s="364"/>
      <c r="J295" s="364"/>
      <c r="Q295" s="218"/>
      <c r="R295" s="218"/>
    </row>
    <row r="298" spans="2:18" ht="45" customHeight="1"/>
    <row r="300" spans="2:18">
      <c r="B300" s="189" t="s">
        <v>214</v>
      </c>
      <c r="H300" s="189"/>
      <c r="I300" s="189"/>
      <c r="J300" s="189"/>
    </row>
    <row r="302" spans="2:18">
      <c r="B302" s="220" t="s">
        <v>573</v>
      </c>
    </row>
    <row r="303" spans="2:18">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hyperlinks>
    <hyperlink ref="B323" r:id="rId1"/>
    <hyperlink ref="B321" r:id="rId2"/>
    <hyperlink ref="B320" r:id="rId3"/>
    <hyperlink ref="B319" r:id="rId4"/>
    <hyperlink ref="B317" r:id="rId5"/>
    <hyperlink ref="B316" r:id="rId6"/>
    <hyperlink ref="B315" r:id="rId7"/>
    <hyperlink ref="B313" r:id="rId8"/>
    <hyperlink ref="B312" r:id="rId9"/>
    <hyperlink ref="B311" r:id="rId10"/>
    <hyperlink ref="B310" r:id="rId11"/>
  </hyperlinks>
  <pageMargins left="0.75" right="0.75" top="1" bottom="1" header="0.51180555555555551" footer="0.51180555555555551"/>
  <pageSetup firstPageNumber="0" orientation="portrait" horizontalDpi="300" verticalDpi="300"/>
  <headerFooter alignWithMargins="0"/>
  <drawing r:id="rId12"/>
</worksheet>
</file>

<file path=xl/worksheets/sheet16.xml><?xml version="1.0" encoding="utf-8"?>
<worksheet xmlns="http://schemas.openxmlformats.org/spreadsheetml/2006/main" xmlns:r="http://schemas.openxmlformats.org/officeDocument/2006/relationships">
  <sheetPr codeName="Blad21">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275</v>
      </c>
      <c r="L1" s="194"/>
      <c r="P1" s="193">
        <f>SUM(P14:P101)+E11+H11+L7+L11+Q11</f>
        <v>375</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Spanje</v>
      </c>
      <c r="E3" s="222">
        <f t="shared" ref="E3:E10" si="3">IF(ISNA(MATCH(D3,teams_achtste,0)),0,10)</f>
        <v>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Griekenland</v>
      </c>
      <c r="C4" s="222">
        <f t="shared" si="1"/>
        <v>10</v>
      </c>
      <c r="D4" s="224" t="str">
        <f t="shared" si="2"/>
        <v>Engeland</v>
      </c>
      <c r="E4" s="222">
        <f t="shared" si="3"/>
        <v>0</v>
      </c>
      <c r="F4" s="339" t="s">
        <v>450</v>
      </c>
      <c r="G4" s="195" t="str">
        <f>G88</f>
        <v>Griekenland</v>
      </c>
      <c r="H4" s="222">
        <f t="shared" si="4"/>
        <v>0</v>
      </c>
      <c r="I4" s="339" t="s">
        <v>458</v>
      </c>
      <c r="J4" s="195" t="str">
        <f>G94</f>
        <v>Duitsland</v>
      </c>
      <c r="L4" s="222">
        <f>IF(ISNA(MATCH(J4,teams_halve,0)),0,20)</f>
        <v>20</v>
      </c>
      <c r="Q4" s="224"/>
    </row>
    <row r="5" spans="1:21" s="195" customFormat="1" ht="15" customHeight="1">
      <c r="B5" s="224" t="str">
        <f t="shared" si="0"/>
        <v>Nederland</v>
      </c>
      <c r="C5" s="222">
        <f t="shared" si="1"/>
        <v>10</v>
      </c>
      <c r="D5" s="224" t="str">
        <f t="shared" si="2"/>
        <v>Kroatië</v>
      </c>
      <c r="E5" s="222">
        <f t="shared" si="3"/>
        <v>0</v>
      </c>
      <c r="F5" s="339" t="s">
        <v>451</v>
      </c>
      <c r="G5" s="195" t="str">
        <f>E90</f>
        <v>Nederland</v>
      </c>
      <c r="H5" s="222">
        <f t="shared" si="4"/>
        <v>15</v>
      </c>
      <c r="I5" s="339" t="s">
        <v>459</v>
      </c>
      <c r="J5" s="195" t="str">
        <f>E95</f>
        <v>Italië</v>
      </c>
      <c r="L5" s="222">
        <f>IF(ISNA(MATCH(J5,teams_halve,0)),0,20)</f>
        <v>0</v>
      </c>
    </row>
    <row r="6" spans="1:21" s="195" customFormat="1" ht="15" customHeight="1">
      <c r="B6" s="224" t="str">
        <f t="shared" si="0"/>
        <v>Italië</v>
      </c>
      <c r="C6" s="222">
        <f t="shared" si="1"/>
        <v>0</v>
      </c>
      <c r="D6" s="224" t="str">
        <f t="shared" si="2"/>
        <v>Japan</v>
      </c>
      <c r="E6" s="222">
        <f t="shared" si="3"/>
        <v>0</v>
      </c>
      <c r="F6" s="339" t="s">
        <v>452</v>
      </c>
      <c r="G6" s="195" t="str">
        <f>G90</f>
        <v>Italië</v>
      </c>
      <c r="H6" s="222">
        <f t="shared" si="4"/>
        <v>0</v>
      </c>
      <c r="I6" s="339" t="s">
        <v>460</v>
      </c>
      <c r="J6" s="195" t="str">
        <f>G95</f>
        <v>Argentinië</v>
      </c>
      <c r="L6" s="222">
        <f>IF(ISNA(MATCH(J6,teams_halve,0)),0,20)</f>
        <v>20</v>
      </c>
    </row>
    <row r="7" spans="1:21" s="195" customFormat="1" ht="15" customHeight="1">
      <c r="B7" s="224" t="str">
        <f t="shared" si="0"/>
        <v>Frankrijk</v>
      </c>
      <c r="C7" s="222">
        <f t="shared" si="1"/>
        <v>10</v>
      </c>
      <c r="D7" s="224" t="str">
        <f t="shared" si="2"/>
        <v>Nigeria</v>
      </c>
      <c r="E7" s="222">
        <f t="shared" si="3"/>
        <v>10</v>
      </c>
      <c r="F7" s="339" t="s">
        <v>453</v>
      </c>
      <c r="G7" s="195" t="str">
        <f>E89</f>
        <v>Nigeria</v>
      </c>
      <c r="H7" s="222">
        <f t="shared" si="4"/>
        <v>0</v>
      </c>
      <c r="I7" s="339"/>
      <c r="J7" s="198" t="s">
        <v>83</v>
      </c>
      <c r="K7" s="199"/>
      <c r="L7" s="225">
        <f>SUM(L3:L6)</f>
        <v>60</v>
      </c>
    </row>
    <row r="8" spans="1:21" s="195" customFormat="1" ht="15" customHeight="1">
      <c r="B8" s="224" t="str">
        <f t="shared" si="0"/>
        <v>Duitsland</v>
      </c>
      <c r="C8" s="222">
        <f t="shared" si="1"/>
        <v>10</v>
      </c>
      <c r="D8" s="224" t="str">
        <f t="shared" si="2"/>
        <v>Zuid-Korea</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Honduras</v>
      </c>
      <c r="E9" s="222">
        <f t="shared" si="3"/>
        <v>0</v>
      </c>
      <c r="F9" s="339" t="s">
        <v>455</v>
      </c>
      <c r="G9" s="195" t="str">
        <f>E91</f>
        <v>Argentinië</v>
      </c>
      <c r="H9" s="222">
        <f t="shared" si="4"/>
        <v>15</v>
      </c>
      <c r="I9" s="339" t="s">
        <v>461</v>
      </c>
      <c r="J9" s="195" t="str">
        <f>E101</f>
        <v>Brazilië</v>
      </c>
      <c r="L9" s="222">
        <f>IF(ISNA(MATCH(J9,teams_fin,0)),0,30)</f>
        <v>0</v>
      </c>
      <c r="P9" s="444" t="str">
        <f>E98</f>
        <v>Duitsland</v>
      </c>
      <c r="Q9" s="222">
        <f>IF(ISNA(MATCH(P9,teams_troost,0)),0,25)</f>
        <v>0</v>
      </c>
    </row>
    <row r="10" spans="1:21" s="195" customFormat="1" ht="15" customHeight="1">
      <c r="B10" s="224" t="str">
        <f t="shared" si="0"/>
        <v>Rusland</v>
      </c>
      <c r="C10" s="222">
        <f t="shared" si="1"/>
        <v>0</v>
      </c>
      <c r="D10" s="224" t="str">
        <f t="shared" si="2"/>
        <v>Portugal</v>
      </c>
      <c r="E10" s="222">
        <f t="shared" si="3"/>
        <v>0</v>
      </c>
      <c r="F10" s="339" t="s">
        <v>456</v>
      </c>
      <c r="G10" s="195" t="str">
        <f>G91</f>
        <v>Portugal</v>
      </c>
      <c r="H10" s="222">
        <f t="shared" si="4"/>
        <v>0</v>
      </c>
      <c r="I10" s="339" t="s">
        <v>462</v>
      </c>
      <c r="J10" s="195" t="str">
        <f>G101</f>
        <v>Argentinië</v>
      </c>
      <c r="L10" s="222">
        <f>IF(ISNA(MATCH(J10,teams_fin,0)),0,30)</f>
        <v>30</v>
      </c>
      <c r="P10" s="444" t="str">
        <f>G98</f>
        <v>Italië</v>
      </c>
      <c r="Q10" s="222">
        <f>IF(ISNA(MATCH(P10,teams_troost,0)),0,25)</f>
        <v>0</v>
      </c>
    </row>
    <row r="11" spans="1:21" s="195" customFormat="1" ht="15" customHeight="1">
      <c r="D11" s="198" t="s">
        <v>89</v>
      </c>
      <c r="E11" s="225">
        <f>SUM(C3:E10)</f>
        <v>70</v>
      </c>
      <c r="G11" s="198" t="s">
        <v>82</v>
      </c>
      <c r="H11" s="225">
        <f>SUM(H3:H10)</f>
        <v>60</v>
      </c>
      <c r="J11" s="198" t="s">
        <v>90</v>
      </c>
      <c r="K11" s="199"/>
      <c r="L11" s="225">
        <f>SUM(L9:L10)</f>
        <v>30</v>
      </c>
      <c r="P11" s="199"/>
      <c r="Q11" s="225">
        <f>SUM(Q9:Q10)</f>
        <v>0</v>
      </c>
    </row>
    <row r="12" spans="1:21">
      <c r="B12" s="201" t="s">
        <v>19</v>
      </c>
      <c r="C12" s="201"/>
      <c r="D12" s="339" t="s">
        <v>463</v>
      </c>
      <c r="E12" s="202" t="s">
        <v>199</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2</v>
      </c>
      <c r="I14" s="366" t="s">
        <v>29</v>
      </c>
      <c r="J14" s="366">
        <v>1</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0</v>
      </c>
      <c r="I15" s="366" t="s">
        <v>29</v>
      </c>
      <c r="J15" s="366">
        <v>1</v>
      </c>
      <c r="K15" s="212">
        <f t="shared" si="5"/>
        <v>2</v>
      </c>
      <c r="L15" s="210" t="str">
        <f>VLOOKUP($B15,Invulblad!$A$11:$S$103,13,0)</f>
        <v>1</v>
      </c>
      <c r="M15" s="211">
        <f>IF(L15&lt;&gt;"",VLOOKUP($B15,Invulblad!$A$11:$S$103,7,0),"")</f>
        <v>1</v>
      </c>
      <c r="N15" s="209" t="s">
        <v>29</v>
      </c>
      <c r="O15" s="211">
        <f>IF(L15&lt;&gt;"",VLOOKUP($B15,Invulblad!$A$11:$S$103,9,0),"")</f>
        <v>0</v>
      </c>
      <c r="P15" s="212">
        <f t="shared" si="6"/>
        <v>0</v>
      </c>
    </row>
    <row r="16" spans="1:21">
      <c r="A16" s="188">
        <v>3</v>
      </c>
      <c r="B16" s="195">
        <v>17</v>
      </c>
      <c r="C16" s="332">
        <v>41807</v>
      </c>
      <c r="D16" s="333">
        <v>0.875</v>
      </c>
      <c r="E16" s="189" t="s">
        <v>557</v>
      </c>
      <c r="F16" s="189" t="s">
        <v>29</v>
      </c>
      <c r="G16" s="189" t="s">
        <v>96</v>
      </c>
      <c r="H16" s="366">
        <v>1</v>
      </c>
      <c r="I16" s="366" t="s">
        <v>29</v>
      </c>
      <c r="J16" s="366">
        <v>0</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0</v>
      </c>
      <c r="I17" s="366" t="s">
        <v>29</v>
      </c>
      <c r="J17" s="366">
        <v>0</v>
      </c>
      <c r="K17" s="212">
        <f t="shared" si="5"/>
        <v>3</v>
      </c>
      <c r="L17" s="210">
        <f>VLOOKUP($B17,Invulblad!$A$11:$S$103,13,0)</f>
        <v>2</v>
      </c>
      <c r="M17" s="211">
        <f>IF(L17&lt;&gt;"",VLOOKUP($B17,Invulblad!$A$11:$S$103,7,0),"")</f>
        <v>0</v>
      </c>
      <c r="N17" s="209" t="s">
        <v>29</v>
      </c>
      <c r="O17" s="211">
        <f>IF(L17&lt;&gt;"",VLOOKUP($B17,Invulblad!$A$11:$S$103,9,0),"")</f>
        <v>4</v>
      </c>
      <c r="P17" s="212">
        <f t="shared" si="6"/>
        <v>0</v>
      </c>
    </row>
    <row r="18" spans="1:16">
      <c r="A18" s="188">
        <v>5</v>
      </c>
      <c r="B18" s="195">
        <v>33</v>
      </c>
      <c r="C18" s="332">
        <v>41813</v>
      </c>
      <c r="D18" s="333">
        <v>0.91666666666666663</v>
      </c>
      <c r="E18" s="189" t="s">
        <v>121</v>
      </c>
      <c r="F18" s="189" t="s">
        <v>29</v>
      </c>
      <c r="G18" s="189" t="s">
        <v>559</v>
      </c>
      <c r="H18" s="366">
        <v>0</v>
      </c>
      <c r="I18" s="366" t="s">
        <v>29</v>
      </c>
      <c r="J18" s="366">
        <v>1</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2</v>
      </c>
      <c r="I19" s="366" t="s">
        <v>29</v>
      </c>
      <c r="J19" s="366">
        <v>0</v>
      </c>
      <c r="K19" s="212" t="str">
        <f t="shared" si="5"/>
        <v>1</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201"/>
      <c r="I20" s="201"/>
      <c r="J20" s="201"/>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1</v>
      </c>
      <c r="I22" s="366" t="s">
        <v>29</v>
      </c>
      <c r="J22" s="366">
        <v>1</v>
      </c>
      <c r="K22" s="212">
        <f t="shared" si="5"/>
        <v>3</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2</v>
      </c>
      <c r="I23" s="366" t="s">
        <v>29</v>
      </c>
      <c r="J23" s="366">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1</v>
      </c>
      <c r="I24" s="366" t="s">
        <v>29</v>
      </c>
      <c r="J24" s="366">
        <v>0</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0</v>
      </c>
      <c r="I25" s="366" t="s">
        <v>29</v>
      </c>
      <c r="J25" s="366">
        <v>3</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0</v>
      </c>
      <c r="I26" s="366" t="s">
        <v>29</v>
      </c>
      <c r="J26" s="366">
        <v>2</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1</v>
      </c>
      <c r="I27" s="366" t="s">
        <v>29</v>
      </c>
      <c r="J27" s="366">
        <v>0</v>
      </c>
      <c r="K27" s="212" t="str">
        <f t="shared" si="5"/>
        <v>1</v>
      </c>
      <c r="L27" s="210" t="str">
        <f>VLOOKUP($B27,Invulblad!$A$11:$S$103,13,0)</f>
        <v>1</v>
      </c>
      <c r="M27" s="211">
        <f>IF(L27&lt;&gt;"",VLOOKUP($B27,Invulblad!$A$11:$S$103,7,0),"")</f>
        <v>2</v>
      </c>
      <c r="N27" s="209" t="s">
        <v>29</v>
      </c>
      <c r="O27" s="211">
        <f>IF(L27&lt;&gt;"",VLOOKUP($B27,Invulblad!$A$11:$S$103,9,0),"")</f>
        <v>0</v>
      </c>
      <c r="P27" s="212">
        <f t="shared" si="7"/>
        <v>5</v>
      </c>
    </row>
    <row r="28" spans="1:16">
      <c r="A28" s="188">
        <v>15</v>
      </c>
      <c r="B28" s="201" t="s">
        <v>31</v>
      </c>
      <c r="H28" s="201"/>
      <c r="I28" s="201"/>
      <c r="J28" s="201"/>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1</v>
      </c>
      <c r="I30" s="366" t="s">
        <v>29</v>
      </c>
      <c r="J30" s="366">
        <v>0</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1</v>
      </c>
      <c r="I31" s="366" t="s">
        <v>29</v>
      </c>
      <c r="J31" s="366">
        <v>0</v>
      </c>
      <c r="K31" s="212" t="str">
        <f t="shared" si="5"/>
        <v>1</v>
      </c>
      <c r="L31" s="210" t="str">
        <f>VLOOKUP($B31,Invulblad!$A$11:$S$103,13,0)</f>
        <v>1</v>
      </c>
      <c r="M31" s="211">
        <f>IF(L31&lt;&gt;"",VLOOKUP($B31,Invulblad!$A$11:$S$103,7,0),"")</f>
        <v>2</v>
      </c>
      <c r="N31" s="209" t="s">
        <v>29</v>
      </c>
      <c r="O31" s="211">
        <f>IF(L31&lt;&gt;"",VLOOKUP($B31,Invulblad!$A$11:$S$103,9,0),"")</f>
        <v>1</v>
      </c>
      <c r="P31" s="212">
        <f t="shared" si="8"/>
        <v>5</v>
      </c>
    </row>
    <row r="32" spans="1:16">
      <c r="A32" s="188">
        <v>19</v>
      </c>
      <c r="B32" s="195">
        <v>21</v>
      </c>
      <c r="C32" s="332">
        <v>41809</v>
      </c>
      <c r="D32" s="333">
        <v>0.75</v>
      </c>
      <c r="E32" s="189" t="s">
        <v>428</v>
      </c>
      <c r="F32" s="189" t="s">
        <v>29</v>
      </c>
      <c r="G32" s="189" t="s">
        <v>125</v>
      </c>
      <c r="H32" s="366">
        <v>1</v>
      </c>
      <c r="I32" s="366" t="s">
        <v>29</v>
      </c>
      <c r="J32" s="366">
        <v>1</v>
      </c>
      <c r="K32" s="212">
        <f t="shared" si="5"/>
        <v>3</v>
      </c>
      <c r="L32" s="210" t="str">
        <f>VLOOKUP($B32,Invulblad!$A$11:$S$103,13,0)</f>
        <v>1</v>
      </c>
      <c r="M32" s="211">
        <f>IF(L32&lt;&gt;"",VLOOKUP($B32,Invulblad!$A$11:$S$103,7,0),"")</f>
        <v>2</v>
      </c>
      <c r="N32" s="209" t="s">
        <v>29</v>
      </c>
      <c r="O32" s="211">
        <f>IF(L32&lt;&gt;"",VLOOKUP($B32,Invulblad!$A$11:$S$103,9,0),"")</f>
        <v>1</v>
      </c>
      <c r="P32" s="212">
        <f t="shared" si="8"/>
        <v>0</v>
      </c>
    </row>
    <row r="33" spans="1:16">
      <c r="A33" s="188">
        <v>20</v>
      </c>
      <c r="B33" s="195">
        <v>22</v>
      </c>
      <c r="C33" s="332">
        <v>41810</v>
      </c>
      <c r="D33" s="333">
        <v>0</v>
      </c>
      <c r="E33" s="189" t="s">
        <v>118</v>
      </c>
      <c r="F33" s="189" t="s">
        <v>29</v>
      </c>
      <c r="G33" s="189" t="s">
        <v>105</v>
      </c>
      <c r="H33" s="366">
        <v>1</v>
      </c>
      <c r="I33" s="366" t="s">
        <v>29</v>
      </c>
      <c r="J33" s="366">
        <v>1</v>
      </c>
      <c r="K33" s="212">
        <f t="shared" si="5"/>
        <v>3</v>
      </c>
      <c r="L33" s="210">
        <f>VLOOKUP($B33,Invulblad!$A$11:$S$103,13,0)</f>
        <v>3</v>
      </c>
      <c r="M33" s="211">
        <f>IF(L33&lt;&gt;"",VLOOKUP($B33,Invulblad!$A$11:$S$103,7,0),"")</f>
        <v>0</v>
      </c>
      <c r="N33" s="209" t="s">
        <v>29</v>
      </c>
      <c r="O33" s="211">
        <f>IF(L33&lt;&gt;"",VLOOKUP($B33,Invulblad!$A$11:$S$103,9,0),"")</f>
        <v>0</v>
      </c>
      <c r="P33" s="212">
        <f t="shared" si="8"/>
        <v>5</v>
      </c>
    </row>
    <row r="34" spans="1:16">
      <c r="A34" s="188">
        <v>21</v>
      </c>
      <c r="B34" s="195">
        <v>37</v>
      </c>
      <c r="C34" s="332">
        <v>41814</v>
      </c>
      <c r="D34" s="333">
        <v>0.91666666666666663</v>
      </c>
      <c r="E34" s="189" t="s">
        <v>118</v>
      </c>
      <c r="F34" s="189" t="s">
        <v>29</v>
      </c>
      <c r="G34" s="189" t="s">
        <v>429</v>
      </c>
      <c r="H34" s="366">
        <v>1</v>
      </c>
      <c r="I34" s="366" t="s">
        <v>29</v>
      </c>
      <c r="J34" s="366">
        <v>0</v>
      </c>
      <c r="K34" s="212" t="str">
        <f t="shared" si="5"/>
        <v>1</v>
      </c>
      <c r="L34" s="210">
        <f>VLOOKUP($B34,Invulblad!$A$11:$S$103,13,0)</f>
        <v>2</v>
      </c>
      <c r="M34" s="211">
        <f>IF(L34&lt;&gt;"",VLOOKUP($B34,Invulblad!$A$11:$S$103,7,0),"")</f>
        <v>1</v>
      </c>
      <c r="N34" s="209" t="s">
        <v>29</v>
      </c>
      <c r="O34" s="211">
        <f>IF(L34&lt;&gt;"",VLOOKUP($B34,Invulblad!$A$11:$S$103,9,0),"")</f>
        <v>4</v>
      </c>
      <c r="P34" s="212">
        <f t="shared" si="8"/>
        <v>0</v>
      </c>
    </row>
    <row r="35" spans="1:16">
      <c r="A35" s="188">
        <v>22</v>
      </c>
      <c r="B35" s="195">
        <v>38</v>
      </c>
      <c r="C35" s="332">
        <v>41814</v>
      </c>
      <c r="D35" s="333">
        <v>0.91666666666666663</v>
      </c>
      <c r="E35" s="189" t="s">
        <v>233</v>
      </c>
      <c r="F35" s="189" t="s">
        <v>29</v>
      </c>
      <c r="G35" s="189" t="s">
        <v>125</v>
      </c>
      <c r="H35" s="366">
        <v>1</v>
      </c>
      <c r="I35" s="366" t="s">
        <v>29</v>
      </c>
      <c r="J35" s="366">
        <v>0</v>
      </c>
      <c r="K35" s="212" t="str">
        <f t="shared" si="5"/>
        <v>1</v>
      </c>
      <c r="L35" s="210" t="str">
        <f>VLOOKUP($B35,Invulblad!$A$11:$S$103,13,0)</f>
        <v>1</v>
      </c>
      <c r="M35" s="211">
        <f>IF(L35&lt;&gt;"",VLOOKUP($B35,Invulblad!$A$11:$S$103,7,0),"")</f>
        <v>2</v>
      </c>
      <c r="N35" s="209" t="s">
        <v>29</v>
      </c>
      <c r="O35" s="211">
        <f>IF(L35&lt;&gt;"",VLOOKUP($B35,Invulblad!$A$11:$S$103,9,0),"")</f>
        <v>1</v>
      </c>
      <c r="P35" s="212">
        <f t="shared" si="8"/>
        <v>5</v>
      </c>
    </row>
    <row r="36" spans="1:16">
      <c r="A36" s="188">
        <v>23</v>
      </c>
      <c r="B36" s="201" t="s">
        <v>33</v>
      </c>
      <c r="H36" s="201"/>
      <c r="I36" s="201"/>
      <c r="J36" s="201"/>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1</v>
      </c>
      <c r="I38" s="366" t="s">
        <v>29</v>
      </c>
      <c r="J38" s="366">
        <v>0</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0</v>
      </c>
      <c r="I39" s="366" t="s">
        <v>29</v>
      </c>
      <c r="J39" s="366">
        <v>1</v>
      </c>
      <c r="K39" s="212">
        <f t="shared" si="5"/>
        <v>2</v>
      </c>
      <c r="L39" s="210">
        <f>VLOOKUP($B39,Invulblad!$A$11:$S$103,13,0)</f>
        <v>2</v>
      </c>
      <c r="M39" s="211">
        <f>IF(L39&lt;&gt;"",VLOOKUP($B39,Invulblad!$A$11:$S$103,7,0),"")</f>
        <v>1</v>
      </c>
      <c r="N39" s="209" t="s">
        <v>29</v>
      </c>
      <c r="O39" s="211">
        <f>IF(L39&lt;&gt;"",VLOOKUP($B39,Invulblad!$A$11:$S$103,9,0),"")</f>
        <v>2</v>
      </c>
      <c r="P39" s="212">
        <f t="shared" si="9"/>
        <v>5</v>
      </c>
    </row>
    <row r="40" spans="1:16">
      <c r="A40" s="188">
        <v>27</v>
      </c>
      <c r="B40" s="195">
        <v>23</v>
      </c>
      <c r="C40" s="332">
        <v>41809</v>
      </c>
      <c r="D40" s="333">
        <v>0.875</v>
      </c>
      <c r="E40" s="189" t="s">
        <v>231</v>
      </c>
      <c r="F40" s="189" t="s">
        <v>29</v>
      </c>
      <c r="G40" s="189" t="s">
        <v>112</v>
      </c>
      <c r="H40" s="366">
        <v>0</v>
      </c>
      <c r="I40" s="366" t="s">
        <v>29</v>
      </c>
      <c r="J40" s="366">
        <v>0</v>
      </c>
      <c r="K40" s="212">
        <f t="shared" si="5"/>
        <v>3</v>
      </c>
      <c r="L40" s="210" t="str">
        <f>VLOOKUP($B40,Invulblad!$A$11:$S$103,13,0)</f>
        <v>1</v>
      </c>
      <c r="M40" s="211">
        <f>IF(L40&lt;&gt;"",VLOOKUP($B40,Invulblad!$A$11:$S$103,7,0),"")</f>
        <v>2</v>
      </c>
      <c r="N40" s="209" t="s">
        <v>29</v>
      </c>
      <c r="O40" s="211">
        <f>IF(L40&lt;&gt;"",VLOOKUP($B40,Invulblad!$A$11:$S$103,9,0),"")</f>
        <v>1</v>
      </c>
      <c r="P40" s="212">
        <f t="shared" si="9"/>
        <v>0</v>
      </c>
    </row>
    <row r="41" spans="1:16">
      <c r="A41" s="188">
        <v>28</v>
      </c>
      <c r="B41" s="195">
        <v>24</v>
      </c>
      <c r="C41" s="332">
        <v>41810</v>
      </c>
      <c r="D41" s="333">
        <v>0.75</v>
      </c>
      <c r="E41" s="189" t="s">
        <v>564</v>
      </c>
      <c r="F41" s="189" t="s">
        <v>29</v>
      </c>
      <c r="G41" s="189" t="s">
        <v>430</v>
      </c>
      <c r="H41" s="366">
        <v>2</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2</v>
      </c>
      <c r="I42" s="366" t="s">
        <v>29</v>
      </c>
      <c r="J42" s="366">
        <v>0</v>
      </c>
      <c r="K42" s="212" t="str">
        <f t="shared" si="5"/>
        <v>1</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1</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201"/>
      <c r="I44" s="201"/>
      <c r="J44" s="201"/>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0</v>
      </c>
      <c r="I46" s="366" t="s">
        <v>29</v>
      </c>
      <c r="J46" s="366">
        <v>0</v>
      </c>
      <c r="K46" s="212">
        <f t="shared" si="5"/>
        <v>3</v>
      </c>
      <c r="L46" s="210" t="str">
        <f>VLOOKUP($B46,Invulblad!$A$11:$S$103,13,0)</f>
        <v>1</v>
      </c>
      <c r="M46" s="211">
        <f>IF(L46&lt;&gt;"",VLOOKUP($B46,Invulblad!$A$11:$S$103,7,0),"")</f>
        <v>2</v>
      </c>
      <c r="N46" s="209" t="s">
        <v>29</v>
      </c>
      <c r="O46" s="211">
        <f>IF(L46&lt;&gt;"",VLOOKUP($B46,Invulblad!$A$11:$S$103,9,0),"")</f>
        <v>1</v>
      </c>
      <c r="P46" s="212">
        <f t="shared" ref="P46:P51" si="10">IF(L46&lt;&gt;"",IF(AND(M46=H46,O46=J46),10,IF(K46=L46,5,0)),"")</f>
        <v>0</v>
      </c>
    </row>
    <row r="47" spans="1:16">
      <c r="A47" s="188">
        <v>34</v>
      </c>
      <c r="B47" s="195">
        <v>10</v>
      </c>
      <c r="C47" s="332">
        <v>41805</v>
      </c>
      <c r="D47" s="333">
        <v>0.875</v>
      </c>
      <c r="E47" s="189" t="s">
        <v>100</v>
      </c>
      <c r="F47" s="189" t="s">
        <v>29</v>
      </c>
      <c r="G47" s="189" t="s">
        <v>132</v>
      </c>
      <c r="H47" s="366">
        <v>2</v>
      </c>
      <c r="I47" s="366" t="s">
        <v>29</v>
      </c>
      <c r="J47" s="366">
        <v>1</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1</v>
      </c>
      <c r="I48" s="366" t="s">
        <v>29</v>
      </c>
      <c r="J48" s="366">
        <v>1</v>
      </c>
      <c r="K48" s="212">
        <f t="shared" si="5"/>
        <v>3</v>
      </c>
      <c r="L48" s="210">
        <f>VLOOKUP($B48,Invulblad!$A$11:$S$103,13,0)</f>
        <v>2</v>
      </c>
      <c r="M48" s="211">
        <f>IF(L48&lt;&gt;"",VLOOKUP($B48,Invulblad!$A$11:$S$103,7,0),"")</f>
        <v>2</v>
      </c>
      <c r="N48" s="209" t="s">
        <v>29</v>
      </c>
      <c r="O48" s="211">
        <f>IF(L48&lt;&gt;"",VLOOKUP($B48,Invulblad!$A$11:$S$103,9,0),"")</f>
        <v>5</v>
      </c>
      <c r="P48" s="212">
        <f t="shared" si="10"/>
        <v>0</v>
      </c>
    </row>
    <row r="49" spans="1:16">
      <c r="A49" s="188">
        <v>36</v>
      </c>
      <c r="B49" s="195">
        <v>26</v>
      </c>
      <c r="C49" s="332">
        <v>41811</v>
      </c>
      <c r="D49" s="333">
        <v>0</v>
      </c>
      <c r="E49" s="189" t="s">
        <v>127</v>
      </c>
      <c r="F49" s="189" t="s">
        <v>29</v>
      </c>
      <c r="G49" s="189" t="s">
        <v>434</v>
      </c>
      <c r="H49" s="366">
        <v>1</v>
      </c>
      <c r="I49" s="366" t="s">
        <v>29</v>
      </c>
      <c r="J49" s="366">
        <v>0</v>
      </c>
      <c r="K49" s="212" t="str">
        <f t="shared" si="5"/>
        <v>1</v>
      </c>
      <c r="L49" s="210">
        <f>VLOOKUP($B49,Invulblad!$A$11:$S$103,13,0)</f>
        <v>2</v>
      </c>
      <c r="M49" s="211">
        <f>IF(L49&lt;&gt;"",VLOOKUP($B49,Invulblad!$A$11:$S$103,7,0),"")</f>
        <v>1</v>
      </c>
      <c r="N49" s="209" t="s">
        <v>29</v>
      </c>
      <c r="O49" s="211">
        <f>IF(L49&lt;&gt;"",VLOOKUP($B49,Invulblad!$A$11:$S$103,9,0),"")</f>
        <v>2</v>
      </c>
      <c r="P49" s="212">
        <f t="shared" si="10"/>
        <v>0</v>
      </c>
    </row>
    <row r="50" spans="1:16">
      <c r="A50" s="188">
        <v>37</v>
      </c>
      <c r="B50" s="195">
        <v>41</v>
      </c>
      <c r="C50" s="332">
        <v>41815</v>
      </c>
      <c r="D50" s="333">
        <v>0.91666666666666663</v>
      </c>
      <c r="E50" s="189" t="s">
        <v>127</v>
      </c>
      <c r="F50" s="189" t="s">
        <v>29</v>
      </c>
      <c r="G50" s="189" t="s">
        <v>130</v>
      </c>
      <c r="H50" s="366">
        <v>0</v>
      </c>
      <c r="I50" s="366" t="s">
        <v>29</v>
      </c>
      <c r="J50" s="366">
        <v>0</v>
      </c>
      <c r="K50" s="212">
        <f t="shared" ref="K50:K85" si="11">IF(AND(H50="",J50=""),"",IF(OR(H50="",J50=""),"FOUT",IF(H50&gt;J50,"1",IF(H50=J50,3,2))))</f>
        <v>3</v>
      </c>
      <c r="L50" s="210">
        <f>VLOOKUP($B50,Invulblad!$A$11:$S$103,13,0)</f>
        <v>2</v>
      </c>
      <c r="M50" s="211">
        <f>IF(L50&lt;&gt;"",VLOOKUP($B50,Invulblad!$A$11:$S$103,7,0),"")</f>
        <v>0</v>
      </c>
      <c r="N50" s="209" t="s">
        <v>29</v>
      </c>
      <c r="O50" s="211">
        <f>IF(L50&lt;&gt;"",VLOOKUP($B50,Invulblad!$A$11:$S$103,9,0),"")</f>
        <v>3</v>
      </c>
      <c r="P50" s="212">
        <f t="shared" si="10"/>
        <v>0</v>
      </c>
    </row>
    <row r="51" spans="1:16">
      <c r="A51" s="188">
        <v>38</v>
      </c>
      <c r="B51" s="195">
        <v>42</v>
      </c>
      <c r="C51" s="332">
        <v>41815</v>
      </c>
      <c r="D51" s="333">
        <v>0.91666666666666663</v>
      </c>
      <c r="E51" s="189" t="s">
        <v>435</v>
      </c>
      <c r="F51" s="189" t="s">
        <v>29</v>
      </c>
      <c r="G51" s="189" t="s">
        <v>98</v>
      </c>
      <c r="H51" s="366">
        <v>0</v>
      </c>
      <c r="I51" s="366" t="s">
        <v>29</v>
      </c>
      <c r="J51" s="366">
        <v>1</v>
      </c>
      <c r="K51" s="212">
        <f t="shared" si="11"/>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201"/>
      <c r="I52" s="201"/>
      <c r="J52" s="201"/>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2</v>
      </c>
      <c r="I54" s="366" t="s">
        <v>29</v>
      </c>
      <c r="J54" s="366">
        <v>0</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2">
        <v>41806</v>
      </c>
      <c r="D55" s="333">
        <v>0.875</v>
      </c>
      <c r="E55" s="189" t="s">
        <v>438</v>
      </c>
      <c r="F55" s="189" t="s">
        <v>29</v>
      </c>
      <c r="G55" s="189" t="s">
        <v>103</v>
      </c>
      <c r="H55" s="366">
        <v>0</v>
      </c>
      <c r="I55" s="366" t="s">
        <v>29</v>
      </c>
      <c r="J55" s="366">
        <v>2</v>
      </c>
      <c r="K55" s="212">
        <f t="shared" si="11"/>
        <v>2</v>
      </c>
      <c r="L55" s="210">
        <f>VLOOKUP($B55,Invulblad!$A$11:$S$103,13,0)</f>
        <v>3</v>
      </c>
      <c r="M55" s="211">
        <f>IF(L55&lt;&gt;"",VLOOKUP($B55,Invulblad!$A$11:$S$103,7,0),"")</f>
        <v>0</v>
      </c>
      <c r="N55" s="209" t="s">
        <v>29</v>
      </c>
      <c r="O55" s="211">
        <f>IF(L55&lt;&gt;"",VLOOKUP($B55,Invulblad!$A$11:$S$103,9,0),"")</f>
        <v>0</v>
      </c>
      <c r="P55" s="212">
        <f t="shared" si="12"/>
        <v>0</v>
      </c>
    </row>
    <row r="56" spans="1:16">
      <c r="A56" s="188">
        <v>43</v>
      </c>
      <c r="B56" s="195">
        <v>27</v>
      </c>
      <c r="C56" s="332">
        <v>41811</v>
      </c>
      <c r="D56" s="333">
        <v>0.75</v>
      </c>
      <c r="E56" s="189" t="s">
        <v>565</v>
      </c>
      <c r="F56" s="189" t="s">
        <v>29</v>
      </c>
      <c r="G56" s="189" t="s">
        <v>439</v>
      </c>
      <c r="H56" s="366">
        <v>2</v>
      </c>
      <c r="I56" s="366" t="s">
        <v>29</v>
      </c>
      <c r="J56" s="366">
        <v>1</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1</v>
      </c>
      <c r="I57" s="366" t="s">
        <v>29</v>
      </c>
      <c r="J57" s="366">
        <v>1</v>
      </c>
      <c r="K57" s="212">
        <f t="shared" si="11"/>
        <v>3</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1</v>
      </c>
      <c r="I58" s="366" t="s">
        <v>29</v>
      </c>
      <c r="J58" s="366">
        <v>2</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2</v>
      </c>
      <c r="I59" s="366" t="s">
        <v>29</v>
      </c>
      <c r="J59" s="366">
        <v>0</v>
      </c>
      <c r="K59" s="212" t="str">
        <f t="shared" si="11"/>
        <v>1</v>
      </c>
      <c r="L59" s="210" t="str">
        <f>VLOOKUP($B59,Invulblad!$A$11:$S$103,13,0)</f>
        <v>1</v>
      </c>
      <c r="M59" s="211">
        <f>IF(L59&lt;&gt;"",VLOOKUP($B59,Invulblad!$A$11:$S$103,7,0),"")</f>
        <v>3</v>
      </c>
      <c r="N59" s="209" t="s">
        <v>29</v>
      </c>
      <c r="O59" s="211">
        <f>IF(L59&lt;&gt;"",VLOOKUP($B59,Invulblad!$A$11:$S$103,9,0),"")</f>
        <v>1</v>
      </c>
      <c r="P59" s="212">
        <f t="shared" si="12"/>
        <v>5</v>
      </c>
    </row>
    <row r="60" spans="1:16">
      <c r="A60" s="188">
        <v>47</v>
      </c>
      <c r="B60" s="201" t="s">
        <v>36</v>
      </c>
      <c r="H60" s="201"/>
      <c r="I60" s="201"/>
      <c r="J60" s="201"/>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1</v>
      </c>
      <c r="I62" s="366" t="s">
        <v>29</v>
      </c>
      <c r="J62" s="366">
        <v>1</v>
      </c>
      <c r="K62" s="212">
        <f t="shared" si="11"/>
        <v>3</v>
      </c>
      <c r="L62" s="210" t="str">
        <f>VLOOKUP($B62,Invulblad!$A$11:$S$103,13,0)</f>
        <v>1</v>
      </c>
      <c r="M62" s="211">
        <f>IF(L62&lt;&gt;"",VLOOKUP($B62,Invulblad!$A$11:$S$103,7,0),"")</f>
        <v>4</v>
      </c>
      <c r="N62" s="209" t="s">
        <v>29</v>
      </c>
      <c r="O62" s="211">
        <f>IF(L62&lt;&gt;"",VLOOKUP($B62,Invulblad!$A$11:$S$103,9,0),"")</f>
        <v>0</v>
      </c>
      <c r="P62" s="212">
        <f t="shared" ref="P62:P67" si="13">IF(L62&lt;&gt;"",IF(AND(M62=H62,O62=J62),10,IF(K62=L62,5,0)),"")</f>
        <v>0</v>
      </c>
    </row>
    <row r="63" spans="1:16">
      <c r="A63" s="188">
        <v>50</v>
      </c>
      <c r="B63" s="195">
        <v>14</v>
      </c>
      <c r="C63" s="332">
        <v>41807</v>
      </c>
      <c r="D63" s="333">
        <v>0</v>
      </c>
      <c r="E63" s="189" t="s">
        <v>115</v>
      </c>
      <c r="F63" s="189" t="s">
        <v>29</v>
      </c>
      <c r="G63" s="189" t="s">
        <v>577</v>
      </c>
      <c r="H63" s="366">
        <v>1</v>
      </c>
      <c r="I63" s="366" t="s">
        <v>29</v>
      </c>
      <c r="J63" s="366">
        <v>2</v>
      </c>
      <c r="K63" s="212">
        <f t="shared" si="11"/>
        <v>2</v>
      </c>
      <c r="L63" s="210">
        <f>VLOOKUP($B63,Invulblad!$A$11:$S$103,13,0)</f>
        <v>2</v>
      </c>
      <c r="M63" s="211">
        <f>IF(L63&lt;&gt;"",VLOOKUP($B63,Invulblad!$A$11:$S$103,7,0),"")</f>
        <v>1</v>
      </c>
      <c r="N63" s="209" t="s">
        <v>29</v>
      </c>
      <c r="O63" s="211">
        <f>IF(L63&lt;&gt;"",VLOOKUP($B63,Invulblad!$A$11:$S$103,9,0),"")</f>
        <v>2</v>
      </c>
      <c r="P63" s="212">
        <f t="shared" si="13"/>
        <v>10</v>
      </c>
    </row>
    <row r="64" spans="1:16">
      <c r="A64" s="188">
        <v>51</v>
      </c>
      <c r="B64" s="195">
        <v>29</v>
      </c>
      <c r="C64" s="332">
        <v>41811</v>
      </c>
      <c r="D64" s="333">
        <v>0.875</v>
      </c>
      <c r="E64" s="189" t="s">
        <v>113</v>
      </c>
      <c r="F64" s="189" t="s">
        <v>29</v>
      </c>
      <c r="G64" s="189" t="s">
        <v>114</v>
      </c>
      <c r="H64" s="366">
        <v>1</v>
      </c>
      <c r="I64" s="366" t="s">
        <v>29</v>
      </c>
      <c r="J64" s="366">
        <v>0</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1</v>
      </c>
      <c r="I65" s="366" t="s">
        <v>29</v>
      </c>
      <c r="J65" s="366">
        <v>2</v>
      </c>
      <c r="K65" s="212">
        <f t="shared" si="11"/>
        <v>2</v>
      </c>
      <c r="L65" s="210">
        <f>VLOOKUP($B65,Invulblad!$A$11:$S$103,13,0)</f>
        <v>3</v>
      </c>
      <c r="M65" s="211">
        <f>IF(L65&lt;&gt;"",VLOOKUP($B65,Invulblad!$A$11:$S$103,7,0),"")</f>
        <v>2</v>
      </c>
      <c r="N65" s="209" t="s">
        <v>29</v>
      </c>
      <c r="O65" s="211">
        <f>IF(L65&lt;&gt;"",VLOOKUP($B65,Invulblad!$A$11:$S$103,9,0),"")</f>
        <v>2</v>
      </c>
      <c r="P65" s="212">
        <f t="shared" si="13"/>
        <v>0</v>
      </c>
    </row>
    <row r="66" spans="1:16">
      <c r="A66" s="188">
        <v>53</v>
      </c>
      <c r="B66" s="195">
        <v>45</v>
      </c>
      <c r="C66" s="332">
        <v>41816</v>
      </c>
      <c r="D66" s="333">
        <v>0.75</v>
      </c>
      <c r="E66" s="189" t="s">
        <v>578</v>
      </c>
      <c r="F66" s="189" t="s">
        <v>29</v>
      </c>
      <c r="G66" s="189" t="s">
        <v>116</v>
      </c>
      <c r="H66" s="366">
        <v>1</v>
      </c>
      <c r="I66" s="366" t="s">
        <v>29</v>
      </c>
      <c r="J66" s="366">
        <v>2</v>
      </c>
      <c r="K66" s="212">
        <f t="shared" si="11"/>
        <v>2</v>
      </c>
      <c r="L66" s="210">
        <f>VLOOKUP($B66,Invulblad!$A$11:$S$103,13,0)</f>
        <v>2</v>
      </c>
      <c r="M66" s="211">
        <f>IF(L66&lt;&gt;"",VLOOKUP($B66,Invulblad!$A$11:$S$103,7,0),"")</f>
        <v>0</v>
      </c>
      <c r="N66" s="209" t="s">
        <v>29</v>
      </c>
      <c r="O66" s="211">
        <f>IF(L66&lt;&gt;"",VLOOKUP($B66,Invulblad!$A$11:$S$103,9,0),"")</f>
        <v>1</v>
      </c>
      <c r="P66" s="212">
        <f t="shared" si="13"/>
        <v>5</v>
      </c>
    </row>
    <row r="67" spans="1:16">
      <c r="A67" s="188">
        <v>54</v>
      </c>
      <c r="B67" s="195">
        <v>46</v>
      </c>
      <c r="C67" s="332">
        <v>41816</v>
      </c>
      <c r="D67" s="333">
        <v>0.75</v>
      </c>
      <c r="E67" s="189" t="s">
        <v>126</v>
      </c>
      <c r="F67" s="189" t="s">
        <v>29</v>
      </c>
      <c r="G67" s="189" t="s">
        <v>114</v>
      </c>
      <c r="H67" s="366">
        <v>1</v>
      </c>
      <c r="I67" s="366" t="s">
        <v>29</v>
      </c>
      <c r="J67" s="366">
        <v>1</v>
      </c>
      <c r="K67" s="212">
        <f t="shared" si="11"/>
        <v>3</v>
      </c>
      <c r="L67" s="210" t="str">
        <f>VLOOKUP($B67,Invulblad!$A$11:$S$103,13,0)</f>
        <v>1</v>
      </c>
      <c r="M67" s="211">
        <f>IF(L67&lt;&gt;"",VLOOKUP($B67,Invulblad!$A$11:$S$103,7,0),"")</f>
        <v>2</v>
      </c>
      <c r="N67" s="209" t="s">
        <v>29</v>
      </c>
      <c r="O67" s="211">
        <f>IF(L67&lt;&gt;"",VLOOKUP($B67,Invulblad!$A$11:$S$103,9,0),"")</f>
        <v>1</v>
      </c>
      <c r="P67" s="212">
        <f t="shared" si="13"/>
        <v>0</v>
      </c>
    </row>
    <row r="68" spans="1:16">
      <c r="A68" s="188">
        <v>55</v>
      </c>
      <c r="B68" s="201" t="s">
        <v>37</v>
      </c>
      <c r="H68" s="201"/>
      <c r="I68" s="201"/>
      <c r="J68" s="201"/>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0</v>
      </c>
      <c r="I70" s="366" t="s">
        <v>29</v>
      </c>
      <c r="J70" s="366">
        <v>2</v>
      </c>
      <c r="K70" s="212">
        <f t="shared" si="11"/>
        <v>2</v>
      </c>
      <c r="L70" s="210" t="str">
        <f>VLOOKUP($B70,Invulblad!$A$11:$S$103,13,0)</f>
        <v>1</v>
      </c>
      <c r="M70" s="211">
        <f>IF(L70&lt;&gt;"",VLOOKUP($B70,Invulblad!$A$11:$S$103,7,0),"")</f>
        <v>2</v>
      </c>
      <c r="N70" s="209" t="s">
        <v>29</v>
      </c>
      <c r="O70" s="211">
        <f>IF(L70&lt;&gt;"",VLOOKUP($B70,Invulblad!$A$11:$S$103,9,0),"")</f>
        <v>1</v>
      </c>
      <c r="P70" s="212">
        <f t="shared" ref="P70:P75" si="14">IF(L70&lt;&gt;"",IF(AND(M70=H70,O70=J70),10,IF(K70=L70,5,0)),"")</f>
        <v>0</v>
      </c>
    </row>
    <row r="71" spans="1:16">
      <c r="A71" s="188">
        <v>58</v>
      </c>
      <c r="B71" s="195">
        <v>16</v>
      </c>
      <c r="C71" s="332">
        <v>41808</v>
      </c>
      <c r="D71" s="333">
        <v>0</v>
      </c>
      <c r="E71" s="189" t="s">
        <v>445</v>
      </c>
      <c r="F71" s="189" t="s">
        <v>29</v>
      </c>
      <c r="G71" s="189" t="s">
        <v>107</v>
      </c>
      <c r="H71" s="366">
        <v>1</v>
      </c>
      <c r="I71" s="366" t="s">
        <v>29</v>
      </c>
      <c r="J71" s="366">
        <v>1</v>
      </c>
      <c r="K71" s="212">
        <f t="shared" si="11"/>
        <v>3</v>
      </c>
      <c r="L71" s="210">
        <f>VLOOKUP($B71,Invulblad!$A$11:$S$103,13,0)</f>
        <v>3</v>
      </c>
      <c r="M71" s="211">
        <f>IF(L71&lt;&gt;"",VLOOKUP($B71,Invulblad!$A$11:$S$103,7,0),"")</f>
        <v>1</v>
      </c>
      <c r="N71" s="209" t="s">
        <v>29</v>
      </c>
      <c r="O71" s="211">
        <f>IF(L71&lt;&gt;"",VLOOKUP($B71,Invulblad!$A$11:$S$103,9,0),"")</f>
        <v>1</v>
      </c>
      <c r="P71" s="212">
        <f t="shared" si="14"/>
        <v>10</v>
      </c>
    </row>
    <row r="72" spans="1:16">
      <c r="A72" s="188">
        <v>59</v>
      </c>
      <c r="B72" s="195">
        <v>31</v>
      </c>
      <c r="C72" s="332">
        <v>41812</v>
      </c>
      <c r="D72" s="333">
        <v>0.75</v>
      </c>
      <c r="E72" s="189" t="s">
        <v>569</v>
      </c>
      <c r="F72" s="189" t="s">
        <v>29</v>
      </c>
      <c r="G72" s="189" t="s">
        <v>446</v>
      </c>
      <c r="H72" s="366">
        <v>0</v>
      </c>
      <c r="I72" s="366" t="s">
        <v>29</v>
      </c>
      <c r="J72" s="366">
        <v>2</v>
      </c>
      <c r="K72" s="212">
        <f t="shared" si="11"/>
        <v>2</v>
      </c>
      <c r="L72" s="210" t="str">
        <f>VLOOKUP($B72,Invulblad!$A$11:$S$103,13,0)</f>
        <v>1</v>
      </c>
      <c r="M72" s="211">
        <f>IF(L72&lt;&gt;"",VLOOKUP($B72,Invulblad!$A$11:$S$103,7,0),"")</f>
        <v>1</v>
      </c>
      <c r="N72" s="209" t="s">
        <v>29</v>
      </c>
      <c r="O72" s="211">
        <f>IF(L72&lt;&gt;"",VLOOKUP($B72,Invulblad!$A$11:$S$103,9,0),"")</f>
        <v>0</v>
      </c>
      <c r="P72" s="212">
        <f t="shared" si="14"/>
        <v>0</v>
      </c>
    </row>
    <row r="73" spans="1:16">
      <c r="A73" s="188">
        <v>60</v>
      </c>
      <c r="B73" s="195">
        <v>32</v>
      </c>
      <c r="C73" s="332">
        <v>41812</v>
      </c>
      <c r="D73" s="333">
        <v>0.875</v>
      </c>
      <c r="E73" s="189" t="s">
        <v>232</v>
      </c>
      <c r="F73" s="189" t="s">
        <v>29</v>
      </c>
      <c r="G73" s="189" t="s">
        <v>111</v>
      </c>
      <c r="H73" s="366">
        <v>1</v>
      </c>
      <c r="I73" s="366" t="s">
        <v>29</v>
      </c>
      <c r="J73" s="366">
        <v>0</v>
      </c>
      <c r="K73" s="212" t="str">
        <f t="shared" si="11"/>
        <v>1</v>
      </c>
      <c r="L73" s="210">
        <f>VLOOKUP($B73,Invulblad!$A$11:$S$103,13,0)</f>
        <v>2</v>
      </c>
      <c r="M73" s="211">
        <f>IF(L73&lt;&gt;"",VLOOKUP($B73,Invulblad!$A$11:$S$103,7,0),"")</f>
        <v>2</v>
      </c>
      <c r="N73" s="209" t="s">
        <v>29</v>
      </c>
      <c r="O73" s="211">
        <f>IF(L73&lt;&gt;"",VLOOKUP($B73,Invulblad!$A$11:$S$103,9,0),"")</f>
        <v>4</v>
      </c>
      <c r="P73" s="212">
        <f t="shared" si="14"/>
        <v>0</v>
      </c>
    </row>
    <row r="74" spans="1:16">
      <c r="A74" s="188">
        <v>61</v>
      </c>
      <c r="B74" s="195">
        <v>47</v>
      </c>
      <c r="C74" s="332">
        <v>41816</v>
      </c>
      <c r="D74" s="333">
        <v>0.91666666666666663</v>
      </c>
      <c r="E74" s="189" t="s">
        <v>232</v>
      </c>
      <c r="F74" s="189" t="s">
        <v>29</v>
      </c>
      <c r="G74" s="189" t="s">
        <v>570</v>
      </c>
      <c r="H74" s="366">
        <v>1</v>
      </c>
      <c r="I74" s="366" t="s">
        <v>29</v>
      </c>
      <c r="J74" s="366">
        <v>0</v>
      </c>
      <c r="K74" s="212" t="str">
        <f t="shared" si="11"/>
        <v>1</v>
      </c>
      <c r="L74" s="210">
        <f>VLOOKUP($B74,Invulblad!$A$11:$S$103,13,0)</f>
        <v>2</v>
      </c>
      <c r="M74" s="211">
        <f>IF(L74&lt;&gt;"",VLOOKUP($B74,Invulblad!$A$11:$S$103,7,0),"")</f>
        <v>0</v>
      </c>
      <c r="N74" s="209" t="s">
        <v>29</v>
      </c>
      <c r="O74" s="211">
        <f>IF(L74&lt;&gt;"",VLOOKUP($B74,Invulblad!$A$11:$S$103,9,0),"")</f>
        <v>1</v>
      </c>
      <c r="P74" s="212">
        <f t="shared" si="14"/>
        <v>0</v>
      </c>
    </row>
    <row r="75" spans="1:16">
      <c r="A75" s="188">
        <v>62</v>
      </c>
      <c r="B75" s="195">
        <v>48</v>
      </c>
      <c r="C75" s="332">
        <v>41816</v>
      </c>
      <c r="D75" s="333">
        <v>0.91666666666666663</v>
      </c>
      <c r="E75" s="189" t="s">
        <v>236</v>
      </c>
      <c r="F75" s="189" t="s">
        <v>29</v>
      </c>
      <c r="G75" s="189" t="s">
        <v>446</v>
      </c>
      <c r="H75" s="366">
        <v>0</v>
      </c>
      <c r="I75" s="366" t="s">
        <v>29</v>
      </c>
      <c r="J75" s="366">
        <v>3</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201"/>
      <c r="I76" s="201"/>
      <c r="J76" s="201"/>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138</v>
      </c>
      <c r="H78" s="366">
        <v>2</v>
      </c>
      <c r="I78" s="366" t="s">
        <v>29</v>
      </c>
      <c r="J78" s="366">
        <v>1</v>
      </c>
      <c r="K78" s="212" t="str">
        <f t="shared" si="11"/>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106</v>
      </c>
      <c r="F79" s="189" t="s">
        <v>29</v>
      </c>
      <c r="G79" s="189" t="s">
        <v>109</v>
      </c>
      <c r="H79" s="366">
        <v>2</v>
      </c>
      <c r="I79" s="366" t="s">
        <v>29</v>
      </c>
      <c r="J79" s="366">
        <v>1</v>
      </c>
      <c r="K79" s="212" t="str">
        <f t="shared" si="11"/>
        <v>1</v>
      </c>
      <c r="L79" s="210" t="str">
        <f>VLOOKUP($B79,Invulblad!$A$11:$S$103,13,0)</f>
        <v>1</v>
      </c>
      <c r="M79" s="211">
        <f>IF(L79&lt;&gt;"",VLOOKUP($B79,Invulblad!$A$11:$S$103,7,0),"")</f>
        <v>2</v>
      </c>
      <c r="N79" s="209" t="s">
        <v>29</v>
      </c>
      <c r="O79" s="211">
        <f>IF(L79&lt;&gt;"",VLOOKUP($B79,Invulblad!$A$11:$S$103,9,0),"")</f>
        <v>0</v>
      </c>
      <c r="P79" s="212">
        <f t="shared" si="15"/>
        <v>5</v>
      </c>
    </row>
    <row r="80" spans="1:16">
      <c r="A80" s="188">
        <v>67</v>
      </c>
      <c r="B80" s="195">
        <v>51</v>
      </c>
      <c r="C80" s="332">
        <v>41819</v>
      </c>
      <c r="D80" s="333">
        <v>0.75</v>
      </c>
      <c r="E80" s="189" t="s">
        <v>135</v>
      </c>
      <c r="F80" s="189" t="s">
        <v>29</v>
      </c>
      <c r="G80" s="189" t="s">
        <v>389</v>
      </c>
      <c r="H80" s="366">
        <v>2</v>
      </c>
      <c r="I80" s="366" t="s">
        <v>29</v>
      </c>
      <c r="J80" s="366">
        <v>2</v>
      </c>
      <c r="K80" s="212">
        <f t="shared" si="11"/>
        <v>3</v>
      </c>
      <c r="L80" s="210" t="str">
        <f>VLOOKUP($B80,Invulblad!$A$11:$S$103,13,0)</f>
        <v>1</v>
      </c>
      <c r="M80" s="211">
        <f>IF(L80&lt;&gt;"",VLOOKUP($B80,Invulblad!$A$11:$S$103,7,0),"")</f>
        <v>2</v>
      </c>
      <c r="N80" s="209" t="s">
        <v>29</v>
      </c>
      <c r="O80" s="211">
        <f>IF(L80&lt;&gt;"",VLOOKUP($B80,Invulblad!$A$11:$S$103,9,0),"")</f>
        <v>1</v>
      </c>
      <c r="P80" s="212">
        <f t="shared" si="15"/>
        <v>0</v>
      </c>
    </row>
    <row r="81" spans="1:16">
      <c r="A81" s="188">
        <v>68</v>
      </c>
      <c r="B81" s="195">
        <v>52</v>
      </c>
      <c r="C81" s="332">
        <v>41819</v>
      </c>
      <c r="D81" s="333">
        <v>0.91666666666666663</v>
      </c>
      <c r="E81" s="189" t="s">
        <v>193</v>
      </c>
      <c r="F81" s="189" t="s">
        <v>29</v>
      </c>
      <c r="G81" s="189" t="s">
        <v>187</v>
      </c>
      <c r="H81" s="366">
        <v>2</v>
      </c>
      <c r="I81" s="366" t="s">
        <v>29</v>
      </c>
      <c r="J81" s="366">
        <v>0</v>
      </c>
      <c r="K81" s="212" t="str">
        <f t="shared" si="11"/>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143</v>
      </c>
      <c r="F82" s="189" t="s">
        <v>29</v>
      </c>
      <c r="G82" s="189" t="s">
        <v>108</v>
      </c>
      <c r="H82" s="366">
        <v>2</v>
      </c>
      <c r="I82" s="366" t="s">
        <v>29</v>
      </c>
      <c r="J82" s="366">
        <v>2</v>
      </c>
      <c r="K82" s="212">
        <f t="shared" si="11"/>
        <v>3</v>
      </c>
      <c r="L82" s="210" t="str">
        <f>VLOOKUP($B82,Invulblad!$A$11:$S$103,13,0)</f>
        <v>1</v>
      </c>
      <c r="M82" s="211">
        <f>IF(L82&lt;&gt;"",VLOOKUP($B82,Invulblad!$A$11:$S$103,7,0),"")</f>
        <v>2</v>
      </c>
      <c r="N82" s="209" t="s">
        <v>29</v>
      </c>
      <c r="O82" s="211">
        <f>IF(L82&lt;&gt;"",VLOOKUP($B82,Invulblad!$A$11:$S$103,9,0),"")</f>
        <v>0</v>
      </c>
      <c r="P82" s="212">
        <f t="shared" si="15"/>
        <v>0</v>
      </c>
    </row>
    <row r="83" spans="1:16">
      <c r="A83" s="188">
        <v>70</v>
      </c>
      <c r="B83" s="195">
        <v>54</v>
      </c>
      <c r="C83" s="332">
        <v>41820</v>
      </c>
      <c r="D83" s="333">
        <v>0.91666666666666663</v>
      </c>
      <c r="E83" s="189" t="s">
        <v>177</v>
      </c>
      <c r="F83" s="189" t="s">
        <v>29</v>
      </c>
      <c r="G83" s="189" t="s">
        <v>104</v>
      </c>
      <c r="H83" s="366">
        <v>1</v>
      </c>
      <c r="I83" s="366" t="s">
        <v>29</v>
      </c>
      <c r="J83" s="366">
        <v>0</v>
      </c>
      <c r="K83" s="212" t="str">
        <f t="shared" si="11"/>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210</v>
      </c>
      <c r="H84" s="366">
        <v>2</v>
      </c>
      <c r="I84" s="366" t="s">
        <v>29</v>
      </c>
      <c r="J84" s="366">
        <v>0</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396</v>
      </c>
      <c r="F85" s="189" t="s">
        <v>29</v>
      </c>
      <c r="G85" s="189" t="s">
        <v>202</v>
      </c>
      <c r="H85" s="366">
        <v>1</v>
      </c>
      <c r="I85" s="366" t="s">
        <v>29</v>
      </c>
      <c r="J85" s="366">
        <v>1</v>
      </c>
      <c r="K85" s="212">
        <f t="shared" si="11"/>
        <v>3</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201"/>
      <c r="I86" s="201"/>
      <c r="J86" s="201"/>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106</v>
      </c>
      <c r="H88" s="366">
        <v>2</v>
      </c>
      <c r="I88" s="366" t="s">
        <v>29</v>
      </c>
      <c r="J88" s="366">
        <v>1</v>
      </c>
      <c r="K88" s="212" t="str">
        <f t="shared" si="16"/>
        <v>1</v>
      </c>
      <c r="L88" s="210" t="str">
        <f>VLOOKUP($B88,Invulblad!$A$11:$S$103,13,0)</f>
        <v>1</v>
      </c>
      <c r="M88" s="211">
        <f>IF(L88&lt;&gt;"",VLOOKUP($B88,Invulblad!$A$11:$S$103,7,0),"")</f>
        <v>2</v>
      </c>
      <c r="N88" s="209" t="s">
        <v>29</v>
      </c>
      <c r="O88" s="211">
        <f>IF(L88&lt;&gt;"",VLOOKUP($B88,Invulblad!$A$11:$S$103,9,0),"")</f>
        <v>1</v>
      </c>
      <c r="P88" s="212">
        <f>IF(L88&lt;&gt;"",IF(AND(M88=H88,O88=J88),10,IF(K88=L88,5,0)),"")</f>
        <v>10</v>
      </c>
    </row>
    <row r="89" spans="1:16">
      <c r="A89" s="188">
        <v>76</v>
      </c>
      <c r="B89" s="195">
        <v>58</v>
      </c>
      <c r="C89" s="332">
        <v>41824</v>
      </c>
      <c r="D89" s="333">
        <v>0.75</v>
      </c>
      <c r="E89" s="189" t="s">
        <v>108</v>
      </c>
      <c r="F89" s="189" t="s">
        <v>29</v>
      </c>
      <c r="G89" s="189" t="s">
        <v>177</v>
      </c>
      <c r="H89" s="366">
        <v>0</v>
      </c>
      <c r="I89" s="366" t="s">
        <v>29</v>
      </c>
      <c r="J89" s="366">
        <v>2</v>
      </c>
      <c r="K89" s="212">
        <f t="shared" si="16"/>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135</v>
      </c>
      <c r="F90" s="189" t="s">
        <v>29</v>
      </c>
      <c r="G90" s="189" t="s">
        <v>193</v>
      </c>
      <c r="H90" s="366">
        <v>1</v>
      </c>
      <c r="I90" s="366" t="s">
        <v>29</v>
      </c>
      <c r="J90" s="366">
        <v>1</v>
      </c>
      <c r="K90" s="212">
        <f t="shared" si="16"/>
        <v>3</v>
      </c>
      <c r="L90" s="210">
        <f>VLOOKUP($B90,Invulblad!$A$11:$S$103,13,0)</f>
        <v>3</v>
      </c>
      <c r="M90" s="211">
        <f>IF(L90&lt;&gt;"",VLOOKUP($B90,Invulblad!$A$11:$S$103,7,0),"")</f>
        <v>0</v>
      </c>
      <c r="N90" s="209" t="s">
        <v>29</v>
      </c>
      <c r="O90" s="211">
        <f>IF(L90&lt;&gt;"",VLOOKUP($B90,Invulblad!$A$11:$S$103,9,0),"")</f>
        <v>0</v>
      </c>
      <c r="P90" s="212">
        <f>IF(L90&lt;&gt;"",IF(AND(M90=H90,O90=J90),10,IF(K90=L90,5,0)),"")</f>
        <v>5</v>
      </c>
    </row>
    <row r="91" spans="1:16">
      <c r="A91" s="188">
        <v>78</v>
      </c>
      <c r="B91" s="195">
        <v>60</v>
      </c>
      <c r="C91" s="332">
        <v>41825</v>
      </c>
      <c r="D91" s="333">
        <v>0.75</v>
      </c>
      <c r="E91" s="189" t="s">
        <v>102</v>
      </c>
      <c r="F91" s="189" t="s">
        <v>29</v>
      </c>
      <c r="G91" s="189" t="s">
        <v>202</v>
      </c>
      <c r="H91" s="366">
        <v>2</v>
      </c>
      <c r="I91" s="366" t="s">
        <v>29</v>
      </c>
      <c r="J91" s="366">
        <v>1</v>
      </c>
      <c r="K91" s="212" t="str">
        <f t="shared" si="16"/>
        <v>1</v>
      </c>
      <c r="L91" s="210"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H92" s="201"/>
      <c r="I92" s="201"/>
      <c r="J92" s="201"/>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177</v>
      </c>
      <c r="H94" s="366">
        <v>2</v>
      </c>
      <c r="I94" s="366" t="s">
        <v>29</v>
      </c>
      <c r="J94" s="366">
        <v>1</v>
      </c>
      <c r="K94" s="212" t="str">
        <f t="shared" si="16"/>
        <v>1</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193</v>
      </c>
      <c r="F95" s="189" t="s">
        <v>29</v>
      </c>
      <c r="G95" s="189" t="s">
        <v>102</v>
      </c>
      <c r="H95" s="366">
        <v>2</v>
      </c>
      <c r="I95" s="366" t="s">
        <v>29</v>
      </c>
      <c r="J95" s="366">
        <v>3</v>
      </c>
      <c r="K95" s="212">
        <f t="shared" si="16"/>
        <v>2</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201"/>
      <c r="I96" s="201"/>
      <c r="J96" s="201"/>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177</v>
      </c>
      <c r="F98" s="189" t="s">
        <v>29</v>
      </c>
      <c r="G98" s="189" t="s">
        <v>193</v>
      </c>
      <c r="H98" s="366">
        <v>0</v>
      </c>
      <c r="I98" s="366" t="s">
        <v>29</v>
      </c>
      <c r="J98" s="366">
        <v>1</v>
      </c>
      <c r="K98" s="212">
        <f t="shared" si="16"/>
        <v>2</v>
      </c>
      <c r="L98" s="210">
        <f>VLOOKUP($B98,Invulblad!$A$11:$S$103,13,0)</f>
        <v>2</v>
      </c>
      <c r="M98" s="211">
        <f>IF(L98&lt;&gt;"",VLOOKUP($B98,Invulblad!$A$11:$S$103,7,0),"")</f>
        <v>0</v>
      </c>
      <c r="N98" s="209" t="s">
        <v>29</v>
      </c>
      <c r="O98" s="211">
        <f>IF(L98&lt;&gt;"",VLOOKUP($B98,Invulblad!$A$11:$S$103,9,0),"")</f>
        <v>3</v>
      </c>
      <c r="P98" s="212">
        <f>IF(L98&lt;&gt;"",IF(AND(M98=H98,O98=J98),10,IF(K98=L98,5,0)),"")</f>
        <v>5</v>
      </c>
    </row>
    <row r="99" spans="1:16">
      <c r="A99" s="188">
        <v>86</v>
      </c>
      <c r="B99" s="201" t="s">
        <v>48</v>
      </c>
      <c r="H99" s="201"/>
      <c r="I99" s="201"/>
      <c r="J99" s="201"/>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199</v>
      </c>
      <c r="F101" s="189" t="s">
        <v>29</v>
      </c>
      <c r="G101" s="189" t="s">
        <v>102</v>
      </c>
      <c r="H101" s="366">
        <v>2</v>
      </c>
      <c r="I101" s="366" t="s">
        <v>29</v>
      </c>
      <c r="J101" s="366">
        <v>1</v>
      </c>
      <c r="K101" s="212" t="str">
        <f t="shared" si="16"/>
        <v>1</v>
      </c>
      <c r="L101" s="210" t="str">
        <f>VLOOKUP($B101,Invulblad!$A$11:$S$103,13,0)</f>
        <v>1</v>
      </c>
      <c r="M101" s="211">
        <f>IF(L101&lt;&gt;"",VLOOKUP($B101,Invulblad!$A$11:$S$103,7,0),"")</f>
        <v>1</v>
      </c>
      <c r="N101" s="209" t="s">
        <v>29</v>
      </c>
      <c r="O101" s="211">
        <f>IF(L101&lt;&gt;"",VLOOKUP($B101,Invulblad!$A$11:$S$103,9,0),"")</f>
        <v>0</v>
      </c>
      <c r="P101" s="212">
        <f>IF(L101&lt;&gt;"",IF(AND(M101=H101,O101=J101),10,IF(K101=L101,5,0)),"")</f>
        <v>5</v>
      </c>
    </row>
    <row r="102" spans="1:16">
      <c r="B102" s="208" t="s">
        <v>517</v>
      </c>
      <c r="C102" s="208"/>
      <c r="D102" s="208"/>
      <c r="E102" s="208"/>
      <c r="F102" s="208"/>
      <c r="G102" s="208"/>
      <c r="H102" s="208"/>
      <c r="I102" s="208"/>
      <c r="J102" s="208"/>
      <c r="K102" s="208"/>
      <c r="L102" s="214"/>
      <c r="M102" s="211"/>
      <c r="N102" s="209"/>
      <c r="O102" s="211"/>
    </row>
    <row r="103" spans="1:16">
      <c r="H103" s="363"/>
      <c r="I103" s="363"/>
      <c r="J103" s="363"/>
      <c r="M103" s="211"/>
      <c r="N103" s="209"/>
      <c r="O103" s="211"/>
    </row>
    <row r="104" spans="1:16">
      <c r="H104" s="363"/>
      <c r="I104" s="363"/>
      <c r="J104" s="363"/>
      <c r="M104" s="211"/>
      <c r="N104" s="209"/>
      <c r="O104" s="211"/>
    </row>
    <row r="105" spans="1:16">
      <c r="H105" s="363"/>
      <c r="I105" s="363"/>
      <c r="J105" s="363"/>
      <c r="M105" s="211"/>
      <c r="N105" s="209"/>
      <c r="O105" s="211"/>
    </row>
    <row r="106" spans="1:16">
      <c r="B106" s="201" t="s">
        <v>139</v>
      </c>
      <c r="H106" s="363"/>
      <c r="I106" s="363"/>
      <c r="J106" s="363"/>
      <c r="M106" s="211"/>
      <c r="N106" s="209"/>
      <c r="O106" s="211"/>
    </row>
    <row r="107" spans="1:16">
      <c r="B107" s="201"/>
      <c r="H107" s="363"/>
      <c r="I107" s="363"/>
      <c r="J107" s="363"/>
    </row>
    <row r="108" spans="1:16">
      <c r="A108" s="188" t="s">
        <v>65</v>
      </c>
      <c r="B108" s="189" t="s">
        <v>140</v>
      </c>
      <c r="C108" s="189" t="s">
        <v>141</v>
      </c>
      <c r="D108" s="201" t="s">
        <v>199</v>
      </c>
      <c r="H108" s="363"/>
      <c r="I108" s="363"/>
      <c r="J108" s="363"/>
      <c r="M108" s="211"/>
      <c r="N108" s="209"/>
      <c r="O108" s="211"/>
    </row>
    <row r="109" spans="1:16">
      <c r="A109" s="188" t="s">
        <v>66</v>
      </c>
      <c r="B109" s="189" t="s">
        <v>142</v>
      </c>
      <c r="C109" s="189" t="s">
        <v>141</v>
      </c>
      <c r="D109" s="201" t="s">
        <v>389</v>
      </c>
      <c r="H109" s="363"/>
      <c r="I109" s="363"/>
      <c r="J109" s="363"/>
    </row>
    <row r="110" spans="1:16">
      <c r="H110" s="363"/>
      <c r="I110" s="363"/>
      <c r="J110" s="363"/>
    </row>
    <row r="111" spans="1:16">
      <c r="H111" s="363"/>
      <c r="I111" s="363"/>
      <c r="J111" s="363"/>
    </row>
    <row r="112" spans="1:16">
      <c r="B112" s="201" t="s">
        <v>144</v>
      </c>
      <c r="H112" s="363"/>
      <c r="I112" s="363"/>
      <c r="J112" s="363"/>
    </row>
    <row r="113" spans="2:15" ht="15.75" thickBot="1">
      <c r="H113" s="363"/>
      <c r="I113" s="363"/>
      <c r="J113" s="363"/>
    </row>
    <row r="114" spans="2:15" ht="15.75" thickBot="1">
      <c r="B114" s="215" t="s">
        <v>145</v>
      </c>
      <c r="C114" s="215" t="s">
        <v>146</v>
      </c>
      <c r="D114" s="215" t="s">
        <v>147</v>
      </c>
      <c r="E114" s="215" t="s">
        <v>148</v>
      </c>
      <c r="H114" s="363"/>
      <c r="I114" s="363"/>
      <c r="J114" s="363"/>
    </row>
    <row r="115" spans="2:15" ht="15.75" thickBot="1">
      <c r="B115" s="216" t="s">
        <v>199</v>
      </c>
      <c r="C115" s="216" t="s">
        <v>163</v>
      </c>
      <c r="D115" s="216" t="s">
        <v>151</v>
      </c>
      <c r="E115" s="216" t="s">
        <v>149</v>
      </c>
      <c r="H115" s="363"/>
      <c r="I115" s="363"/>
      <c r="J115" s="363"/>
    </row>
    <row r="116" spans="2:15" ht="15.75" thickBot="1">
      <c r="B116" s="217" t="s">
        <v>389</v>
      </c>
      <c r="C116" s="217" t="s">
        <v>149</v>
      </c>
      <c r="D116" s="217" t="s">
        <v>156</v>
      </c>
      <c r="E116" s="217" t="s">
        <v>151</v>
      </c>
      <c r="H116" s="363"/>
      <c r="I116" s="363"/>
      <c r="J116" s="363"/>
    </row>
    <row r="117" spans="2:15" ht="15.75" thickBot="1">
      <c r="B117" s="216" t="s">
        <v>152</v>
      </c>
      <c r="C117" s="216" t="s">
        <v>150</v>
      </c>
      <c r="D117" s="216" t="s">
        <v>180</v>
      </c>
      <c r="E117" s="216" t="s">
        <v>150</v>
      </c>
      <c r="H117" s="363"/>
      <c r="I117" s="363"/>
      <c r="J117" s="363"/>
    </row>
    <row r="118" spans="2:15" ht="15.75" thickBot="1">
      <c r="B118" s="217" t="s">
        <v>185</v>
      </c>
      <c r="C118" s="217" t="s">
        <v>149</v>
      </c>
      <c r="D118" s="217" t="s">
        <v>150</v>
      </c>
      <c r="E118" s="217" t="s">
        <v>156</v>
      </c>
      <c r="H118" s="363"/>
      <c r="I118" s="363"/>
      <c r="J118" s="363"/>
    </row>
    <row r="119" spans="2:15">
      <c r="H119" s="363"/>
      <c r="I119" s="363"/>
      <c r="J119" s="363"/>
    </row>
    <row r="120" spans="2:15">
      <c r="H120" s="363"/>
      <c r="I120" s="363"/>
      <c r="J120" s="363"/>
    </row>
    <row r="121" spans="2:15">
      <c r="B121" s="201" t="s">
        <v>157</v>
      </c>
      <c r="H121" s="363"/>
      <c r="I121" s="363"/>
      <c r="J121" s="363"/>
    </row>
    <row r="122" spans="2:15">
      <c r="B122" s="195"/>
      <c r="H122" s="363"/>
      <c r="I122" s="363"/>
      <c r="J122" s="363"/>
    </row>
    <row r="123" spans="2:15">
      <c r="B123" s="195" t="s">
        <v>158</v>
      </c>
      <c r="H123" s="363"/>
      <c r="I123" s="363"/>
      <c r="J123" s="363"/>
    </row>
    <row r="124" spans="2:15">
      <c r="B124" s="195" t="s">
        <v>249</v>
      </c>
      <c r="H124" s="363"/>
      <c r="I124" s="363"/>
      <c r="J124" s="363"/>
    </row>
    <row r="125" spans="2:15">
      <c r="H125" s="363"/>
      <c r="I125" s="363"/>
      <c r="J125" s="363"/>
    </row>
    <row r="126" spans="2:15">
      <c r="H126" s="363"/>
      <c r="I126" s="363"/>
      <c r="J126" s="363"/>
    </row>
    <row r="127" spans="2:15">
      <c r="B127" s="218"/>
      <c r="C127" s="218"/>
      <c r="D127" s="218"/>
      <c r="E127" s="218"/>
      <c r="F127" s="218"/>
      <c r="G127" s="218"/>
      <c r="H127" s="364"/>
      <c r="I127" s="364"/>
      <c r="J127" s="364"/>
      <c r="K127" s="218"/>
      <c r="L127" s="219"/>
      <c r="M127" s="218"/>
      <c r="N127" s="218"/>
      <c r="O127" s="218"/>
    </row>
    <row r="128" spans="2:15">
      <c r="H128" s="363"/>
      <c r="I128" s="363"/>
      <c r="J128" s="363"/>
    </row>
    <row r="129" spans="1:10">
      <c r="H129" s="363"/>
      <c r="I129" s="363"/>
      <c r="J129" s="363"/>
    </row>
    <row r="130" spans="1:10">
      <c r="B130" s="201" t="s">
        <v>160</v>
      </c>
      <c r="H130" s="363"/>
      <c r="I130" s="363"/>
      <c r="J130" s="363"/>
    </row>
    <row r="131" spans="1:10">
      <c r="H131" s="363"/>
      <c r="I131" s="363"/>
      <c r="J131" s="363"/>
    </row>
    <row r="132" spans="1:10">
      <c r="A132" s="227" t="s">
        <v>67</v>
      </c>
      <c r="B132" s="189" t="s">
        <v>140</v>
      </c>
      <c r="C132" s="189" t="s">
        <v>141</v>
      </c>
      <c r="D132" s="201" t="s">
        <v>135</v>
      </c>
      <c r="H132" s="363"/>
      <c r="I132" s="363"/>
      <c r="J132" s="363"/>
    </row>
    <row r="133" spans="1:10">
      <c r="A133" s="188" t="s">
        <v>68</v>
      </c>
      <c r="B133" s="189" t="s">
        <v>142</v>
      </c>
      <c r="C133" s="189" t="s">
        <v>141</v>
      </c>
      <c r="D133" s="201" t="s">
        <v>138</v>
      </c>
      <c r="H133" s="363"/>
      <c r="I133" s="363"/>
      <c r="J133" s="363"/>
    </row>
    <row r="134" spans="1:10">
      <c r="H134" s="363"/>
      <c r="I134" s="363"/>
      <c r="J134" s="363"/>
    </row>
    <row r="135" spans="1:10">
      <c r="H135" s="363"/>
      <c r="I135" s="363"/>
      <c r="J135" s="363"/>
    </row>
    <row r="136" spans="1:10">
      <c r="B136" s="201" t="s">
        <v>161</v>
      </c>
      <c r="H136" s="363"/>
      <c r="I136" s="363"/>
      <c r="J136" s="363"/>
    </row>
    <row r="137" spans="1:10" ht="15.75" thickBot="1">
      <c r="H137" s="363"/>
      <c r="I137" s="363"/>
      <c r="J137" s="363"/>
    </row>
    <row r="138" spans="1:10" ht="15.75" thickBot="1">
      <c r="B138" s="215" t="s">
        <v>145</v>
      </c>
      <c r="C138" s="215" t="s">
        <v>146</v>
      </c>
      <c r="D138" s="215" t="s">
        <v>147</v>
      </c>
      <c r="E138" s="215" t="s">
        <v>148</v>
      </c>
      <c r="H138" s="363"/>
      <c r="I138" s="363"/>
      <c r="J138" s="363"/>
    </row>
    <row r="139" spans="1:10" ht="15.75" thickBot="1">
      <c r="B139" s="216" t="s">
        <v>138</v>
      </c>
      <c r="C139" s="216" t="s">
        <v>172</v>
      </c>
      <c r="D139" s="216" t="s">
        <v>151</v>
      </c>
      <c r="E139" s="216" t="s">
        <v>149</v>
      </c>
      <c r="H139" s="363"/>
      <c r="I139" s="363"/>
      <c r="J139" s="363"/>
    </row>
    <row r="140" spans="1:10" ht="15.75" thickBot="1">
      <c r="B140" s="217" t="s">
        <v>135</v>
      </c>
      <c r="C140" s="217" t="s">
        <v>172</v>
      </c>
      <c r="D140" s="217" t="s">
        <v>149</v>
      </c>
      <c r="E140" s="217" t="s">
        <v>155</v>
      </c>
      <c r="H140" s="363"/>
      <c r="I140" s="363"/>
      <c r="J140" s="363"/>
    </row>
    <row r="141" spans="1:10" ht="15.75" thickBot="1">
      <c r="B141" s="216" t="s">
        <v>207</v>
      </c>
      <c r="C141" s="216" t="s">
        <v>151</v>
      </c>
      <c r="D141" s="216" t="s">
        <v>150</v>
      </c>
      <c r="E141" s="216" t="s">
        <v>153</v>
      </c>
      <c r="H141" s="363"/>
      <c r="I141" s="363"/>
      <c r="J141" s="363"/>
    </row>
    <row r="142" spans="1:10" ht="15.75" thickBot="1">
      <c r="B142" s="217" t="s">
        <v>179</v>
      </c>
      <c r="C142" s="217" t="s">
        <v>150</v>
      </c>
      <c r="D142" s="217" t="s">
        <v>188</v>
      </c>
      <c r="E142" s="217" t="s">
        <v>150</v>
      </c>
      <c r="H142" s="363"/>
      <c r="I142" s="363"/>
      <c r="J142" s="363"/>
    </row>
    <row r="143" spans="1:10">
      <c r="H143" s="363"/>
      <c r="I143" s="363"/>
      <c r="J143" s="363"/>
    </row>
    <row r="144" spans="1:10">
      <c r="H144" s="363"/>
      <c r="I144" s="363"/>
      <c r="J144" s="363"/>
    </row>
    <row r="145" spans="1:15">
      <c r="B145" s="201" t="s">
        <v>166</v>
      </c>
      <c r="H145" s="363"/>
      <c r="I145" s="363"/>
      <c r="J145" s="363"/>
    </row>
    <row r="146" spans="1:15">
      <c r="B146" s="195"/>
      <c r="H146" s="363"/>
      <c r="I146" s="363"/>
      <c r="J146" s="363"/>
    </row>
    <row r="147" spans="1:15">
      <c r="B147" s="195" t="s">
        <v>260</v>
      </c>
      <c r="H147" s="363"/>
      <c r="I147" s="363"/>
      <c r="J147" s="363"/>
    </row>
    <row r="148" spans="1:15">
      <c r="B148" s="195"/>
      <c r="H148" s="363"/>
      <c r="I148" s="363"/>
      <c r="J148" s="363"/>
    </row>
    <row r="149" spans="1:15">
      <c r="H149" s="363"/>
      <c r="I149" s="363"/>
      <c r="J149" s="363"/>
    </row>
    <row r="150" spans="1:15">
      <c r="H150" s="363"/>
      <c r="I150" s="363"/>
      <c r="J150" s="363"/>
    </row>
    <row r="151" spans="1:15">
      <c r="B151" s="218"/>
      <c r="C151" s="218"/>
      <c r="D151" s="218"/>
      <c r="E151" s="218"/>
      <c r="F151" s="218"/>
      <c r="G151" s="218"/>
      <c r="H151" s="364"/>
      <c r="I151" s="364"/>
      <c r="J151" s="364"/>
    </row>
    <row r="152" spans="1:15">
      <c r="H152" s="363"/>
      <c r="I152" s="363"/>
      <c r="J152" s="363"/>
      <c r="K152" s="218"/>
      <c r="L152" s="219"/>
      <c r="M152" s="218"/>
      <c r="N152" s="218"/>
      <c r="O152" s="218"/>
    </row>
    <row r="153" spans="1:15">
      <c r="H153" s="363"/>
      <c r="I153" s="363"/>
      <c r="J153" s="363"/>
    </row>
    <row r="154" spans="1:15">
      <c r="B154" s="201" t="s">
        <v>169</v>
      </c>
      <c r="H154" s="363"/>
      <c r="I154" s="363"/>
      <c r="J154" s="363"/>
    </row>
    <row r="155" spans="1:15">
      <c r="H155" s="363"/>
      <c r="I155" s="363"/>
      <c r="J155" s="363"/>
    </row>
    <row r="156" spans="1:15">
      <c r="A156" s="188" t="s">
        <v>69</v>
      </c>
      <c r="B156" s="189" t="s">
        <v>140</v>
      </c>
      <c r="C156" s="189" t="s">
        <v>141</v>
      </c>
      <c r="D156" s="201" t="s">
        <v>106</v>
      </c>
      <c r="H156" s="363"/>
      <c r="I156" s="363"/>
      <c r="J156" s="363"/>
    </row>
    <row r="157" spans="1:15">
      <c r="A157" s="188" t="s">
        <v>70</v>
      </c>
      <c r="B157" s="189" t="s">
        <v>142</v>
      </c>
      <c r="C157" s="189" t="s">
        <v>141</v>
      </c>
      <c r="D157" s="201" t="s">
        <v>187</v>
      </c>
      <c r="H157" s="363"/>
      <c r="I157" s="363"/>
      <c r="J157" s="363"/>
    </row>
    <row r="158" spans="1:15">
      <c r="H158" s="363"/>
      <c r="I158" s="363"/>
      <c r="J158" s="363"/>
    </row>
    <row r="159" spans="1:15">
      <c r="H159" s="363"/>
      <c r="I159" s="363"/>
      <c r="J159" s="363"/>
    </row>
    <row r="160" spans="1:15">
      <c r="B160" s="201" t="s">
        <v>170</v>
      </c>
      <c r="H160" s="363"/>
      <c r="I160" s="363"/>
      <c r="J160" s="363"/>
    </row>
    <row r="161" spans="2:15" ht="15.75" thickBot="1">
      <c r="H161" s="363"/>
      <c r="I161" s="363"/>
      <c r="J161" s="363"/>
    </row>
    <row r="162" spans="2:15" ht="15.75" thickBot="1">
      <c r="B162" s="215" t="s">
        <v>145</v>
      </c>
      <c r="C162" s="215" t="s">
        <v>146</v>
      </c>
      <c r="D162" s="215" t="s">
        <v>147</v>
      </c>
      <c r="E162" s="215" t="s">
        <v>148</v>
      </c>
      <c r="H162" s="363"/>
      <c r="I162" s="363"/>
      <c r="J162" s="363"/>
    </row>
    <row r="163" spans="2:15" ht="15.75" thickBot="1">
      <c r="B163" s="216" t="s">
        <v>390</v>
      </c>
      <c r="C163" s="216" t="s">
        <v>149</v>
      </c>
      <c r="D163" s="216" t="s">
        <v>150</v>
      </c>
      <c r="E163" s="216" t="s">
        <v>153</v>
      </c>
      <c r="H163" s="363"/>
      <c r="I163" s="363"/>
      <c r="J163" s="363"/>
    </row>
    <row r="164" spans="2:15" ht="15.75" thickBot="1">
      <c r="B164" s="217" t="s">
        <v>106</v>
      </c>
      <c r="C164" s="217" t="s">
        <v>149</v>
      </c>
      <c r="D164" s="217" t="s">
        <v>150</v>
      </c>
      <c r="E164" s="217" t="s">
        <v>153</v>
      </c>
      <c r="H164" s="363"/>
      <c r="I164" s="363"/>
      <c r="J164" s="363"/>
    </row>
    <row r="165" spans="2:15" ht="15.75" thickBot="1">
      <c r="B165" s="216" t="s">
        <v>200</v>
      </c>
      <c r="C165" s="216" t="s">
        <v>149</v>
      </c>
      <c r="D165" s="216" t="s">
        <v>150</v>
      </c>
      <c r="E165" s="216" t="s">
        <v>153</v>
      </c>
      <c r="H165" s="363"/>
      <c r="I165" s="363"/>
      <c r="J165" s="363"/>
    </row>
    <row r="166" spans="2:15" ht="15.75" thickBot="1">
      <c r="B166" s="217" t="s">
        <v>187</v>
      </c>
      <c r="C166" s="217" t="s">
        <v>149</v>
      </c>
      <c r="D166" s="217" t="s">
        <v>150</v>
      </c>
      <c r="E166" s="217" t="s">
        <v>153</v>
      </c>
      <c r="H166" s="363"/>
      <c r="I166" s="363"/>
      <c r="J166" s="363"/>
    </row>
    <row r="167" spans="2:15">
      <c r="H167" s="363"/>
      <c r="I167" s="363"/>
      <c r="J167" s="363"/>
    </row>
    <row r="168" spans="2:15">
      <c r="H168" s="363"/>
      <c r="I168" s="363"/>
      <c r="J168" s="363"/>
    </row>
    <row r="169" spans="2:15">
      <c r="B169" s="201" t="s">
        <v>173</v>
      </c>
      <c r="H169" s="363"/>
      <c r="I169" s="363"/>
      <c r="J169" s="363"/>
    </row>
    <row r="170" spans="2:15">
      <c r="B170" s="195"/>
      <c r="H170" s="363"/>
      <c r="I170" s="363"/>
      <c r="J170" s="363"/>
    </row>
    <row r="171" spans="2:15">
      <c r="B171" s="195" t="s">
        <v>521</v>
      </c>
      <c r="H171" s="363"/>
      <c r="I171" s="363"/>
      <c r="J171" s="363"/>
    </row>
    <row r="172" spans="2:15">
      <c r="B172" s="195"/>
      <c r="H172" s="363"/>
      <c r="I172" s="363"/>
      <c r="J172" s="363"/>
    </row>
    <row r="173" spans="2:15">
      <c r="H173" s="363"/>
      <c r="I173" s="363"/>
      <c r="J173" s="363"/>
    </row>
    <row r="174" spans="2:15">
      <c r="H174" s="363"/>
      <c r="I174" s="363"/>
      <c r="J174" s="363"/>
    </row>
    <row r="175" spans="2:15">
      <c r="B175" s="218"/>
      <c r="C175" s="218"/>
      <c r="D175" s="218"/>
      <c r="E175" s="218"/>
      <c r="F175" s="218"/>
      <c r="G175" s="218"/>
      <c r="H175" s="364"/>
      <c r="I175" s="364"/>
      <c r="J175" s="364"/>
    </row>
    <row r="176" spans="2:15">
      <c r="H176" s="363"/>
      <c r="I176" s="363"/>
      <c r="J176" s="363"/>
      <c r="K176" s="218"/>
      <c r="L176" s="219"/>
      <c r="M176" s="218"/>
      <c r="N176" s="218"/>
      <c r="O176" s="218"/>
    </row>
    <row r="177" spans="1:10">
      <c r="H177" s="363"/>
      <c r="I177" s="363"/>
      <c r="J177" s="363"/>
    </row>
    <row r="178" spans="1:10">
      <c r="B178" s="201" t="s">
        <v>176</v>
      </c>
      <c r="H178" s="363"/>
      <c r="I178" s="363"/>
      <c r="J178" s="363"/>
    </row>
    <row r="179" spans="1:10">
      <c r="H179" s="363"/>
      <c r="I179" s="363"/>
      <c r="J179" s="363"/>
    </row>
    <row r="180" spans="1:10">
      <c r="A180" s="188" t="s">
        <v>71</v>
      </c>
      <c r="B180" s="189" t="s">
        <v>140</v>
      </c>
      <c r="C180" s="189" t="s">
        <v>141</v>
      </c>
      <c r="D180" s="201" t="s">
        <v>193</v>
      </c>
      <c r="H180" s="363"/>
      <c r="I180" s="363"/>
      <c r="J180" s="363"/>
    </row>
    <row r="181" spans="1:10">
      <c r="A181" s="188" t="s">
        <v>72</v>
      </c>
      <c r="B181" s="189" t="s">
        <v>142</v>
      </c>
      <c r="C181" s="189" t="s">
        <v>141</v>
      </c>
      <c r="D181" s="201" t="s">
        <v>109</v>
      </c>
      <c r="H181" s="363"/>
      <c r="I181" s="363"/>
      <c r="J181" s="363"/>
    </row>
    <row r="182" spans="1:10">
      <c r="H182" s="363"/>
      <c r="I182" s="363"/>
      <c r="J182" s="363"/>
    </row>
    <row r="183" spans="1:10">
      <c r="H183" s="363"/>
      <c r="I183" s="363"/>
      <c r="J183" s="363"/>
    </row>
    <row r="184" spans="1:10">
      <c r="B184" s="201" t="s">
        <v>178</v>
      </c>
      <c r="H184" s="363"/>
      <c r="I184" s="363"/>
      <c r="J184" s="363"/>
    </row>
    <row r="185" spans="1:10" ht="15.75" thickBot="1">
      <c r="H185" s="363"/>
      <c r="I185" s="363"/>
      <c r="J185" s="363"/>
    </row>
    <row r="186" spans="1:10" ht="15.75" thickBot="1">
      <c r="B186" s="215" t="s">
        <v>145</v>
      </c>
      <c r="C186" s="215" t="s">
        <v>146</v>
      </c>
      <c r="D186" s="215" t="s">
        <v>147</v>
      </c>
      <c r="E186" s="215" t="s">
        <v>148</v>
      </c>
      <c r="H186" s="363"/>
      <c r="I186" s="363"/>
      <c r="J186" s="363"/>
    </row>
    <row r="187" spans="1:10" ht="15.75" thickBot="1">
      <c r="B187" s="216" t="s">
        <v>97</v>
      </c>
      <c r="C187" s="216" t="s">
        <v>149</v>
      </c>
      <c r="D187" s="216" t="s">
        <v>154</v>
      </c>
      <c r="E187" s="216" t="s">
        <v>156</v>
      </c>
      <c r="H187" s="363"/>
      <c r="I187" s="363"/>
      <c r="J187" s="363"/>
    </row>
    <row r="188" spans="1:10" ht="15.75" thickBot="1">
      <c r="B188" s="217" t="s">
        <v>391</v>
      </c>
      <c r="C188" s="217" t="s">
        <v>150</v>
      </c>
      <c r="D188" s="217" t="s">
        <v>180</v>
      </c>
      <c r="E188" s="217" t="s">
        <v>150</v>
      </c>
      <c r="H188" s="363"/>
      <c r="I188" s="363"/>
      <c r="J188" s="363"/>
    </row>
    <row r="189" spans="1:10" ht="15.75" thickBot="1">
      <c r="B189" s="216" t="s">
        <v>109</v>
      </c>
      <c r="C189" s="216" t="s">
        <v>149</v>
      </c>
      <c r="D189" s="216" t="s">
        <v>150</v>
      </c>
      <c r="E189" s="216" t="s">
        <v>156</v>
      </c>
      <c r="H189" s="363"/>
      <c r="I189" s="363"/>
      <c r="J189" s="363"/>
    </row>
    <row r="190" spans="1:10" ht="15.75" thickBot="1">
      <c r="B190" s="217" t="s">
        <v>193</v>
      </c>
      <c r="C190" s="217" t="s">
        <v>163</v>
      </c>
      <c r="D190" s="217" t="s">
        <v>155</v>
      </c>
      <c r="E190" s="217" t="s">
        <v>155</v>
      </c>
      <c r="H190" s="363"/>
      <c r="I190" s="363"/>
      <c r="J190" s="363"/>
    </row>
    <row r="191" spans="1:10">
      <c r="H191" s="363"/>
      <c r="I191" s="363"/>
      <c r="J191" s="363"/>
    </row>
    <row r="192" spans="1:10">
      <c r="H192" s="363"/>
      <c r="I192" s="363"/>
      <c r="J192" s="363"/>
    </row>
    <row r="193" spans="1:15">
      <c r="B193" s="201" t="s">
        <v>182</v>
      </c>
      <c r="H193" s="363"/>
      <c r="I193" s="363"/>
      <c r="J193" s="363"/>
    </row>
    <row r="194" spans="1:15">
      <c r="B194" s="195"/>
      <c r="H194" s="363"/>
      <c r="I194" s="363"/>
      <c r="J194" s="363"/>
    </row>
    <row r="195" spans="1:15">
      <c r="B195" s="195" t="s">
        <v>239</v>
      </c>
      <c r="H195" s="363"/>
      <c r="I195" s="363"/>
      <c r="J195" s="363"/>
    </row>
    <row r="196" spans="1:15">
      <c r="B196" s="195" t="s">
        <v>264</v>
      </c>
      <c r="H196" s="363"/>
      <c r="I196" s="363"/>
      <c r="J196" s="363"/>
    </row>
    <row r="197" spans="1:15">
      <c r="H197" s="363"/>
      <c r="I197" s="363"/>
      <c r="J197" s="363"/>
    </row>
    <row r="198" spans="1:15">
      <c r="H198" s="363"/>
      <c r="I198" s="363"/>
      <c r="J198" s="363"/>
    </row>
    <row r="199" spans="1:15">
      <c r="B199" s="218"/>
      <c r="C199" s="218"/>
      <c r="D199" s="218"/>
      <c r="E199" s="218"/>
      <c r="F199" s="218"/>
      <c r="G199" s="218"/>
      <c r="H199" s="364"/>
      <c r="I199" s="364"/>
      <c r="J199" s="364"/>
      <c r="K199" s="218"/>
      <c r="L199" s="219"/>
      <c r="M199" s="218"/>
      <c r="N199" s="218"/>
      <c r="O199" s="218"/>
    </row>
    <row r="200" spans="1:15">
      <c r="H200" s="363"/>
      <c r="I200" s="363"/>
      <c r="J200" s="363"/>
    </row>
    <row r="201" spans="1:15">
      <c r="H201" s="363"/>
      <c r="I201" s="363"/>
      <c r="J201" s="363"/>
    </row>
    <row r="202" spans="1:15">
      <c r="B202" s="201" t="s">
        <v>184</v>
      </c>
      <c r="H202" s="363"/>
      <c r="I202" s="363"/>
      <c r="J202" s="363"/>
    </row>
    <row r="203" spans="1:15">
      <c r="H203" s="363"/>
      <c r="I203" s="363"/>
      <c r="J203" s="363"/>
    </row>
    <row r="204" spans="1:15">
      <c r="A204" s="188" t="s">
        <v>73</v>
      </c>
      <c r="B204" s="189" t="s">
        <v>140</v>
      </c>
      <c r="C204" s="189" t="s">
        <v>141</v>
      </c>
      <c r="D204" s="201" t="s">
        <v>143</v>
      </c>
      <c r="H204" s="363"/>
      <c r="I204" s="363"/>
      <c r="J204" s="363"/>
    </row>
    <row r="205" spans="1:15">
      <c r="A205" s="188" t="s">
        <v>74</v>
      </c>
      <c r="B205" s="189" t="s">
        <v>142</v>
      </c>
      <c r="C205" s="189" t="s">
        <v>141</v>
      </c>
      <c r="D205" s="201" t="s">
        <v>210</v>
      </c>
      <c r="H205" s="363"/>
      <c r="I205" s="363"/>
      <c r="J205" s="363"/>
    </row>
    <row r="206" spans="1:15">
      <c r="H206" s="363"/>
      <c r="I206" s="363"/>
      <c r="J206" s="363"/>
    </row>
    <row r="207" spans="1:15">
      <c r="H207" s="363"/>
      <c r="I207" s="363"/>
      <c r="J207" s="363"/>
    </row>
    <row r="208" spans="1:15">
      <c r="B208" s="201" t="s">
        <v>186</v>
      </c>
      <c r="H208" s="363"/>
      <c r="I208" s="363"/>
      <c r="J208" s="363"/>
    </row>
    <row r="209" spans="2:15" ht="15.75" thickBot="1">
      <c r="H209" s="363"/>
      <c r="I209" s="363"/>
      <c r="J209" s="363"/>
    </row>
    <row r="210" spans="2:15" ht="15.75" thickBot="1">
      <c r="B210" s="215" t="s">
        <v>145</v>
      </c>
      <c r="C210" s="215" t="s">
        <v>146</v>
      </c>
      <c r="D210" s="215" t="s">
        <v>147</v>
      </c>
      <c r="E210" s="215" t="s">
        <v>148</v>
      </c>
      <c r="H210" s="363"/>
      <c r="I210" s="363"/>
      <c r="J210" s="363"/>
    </row>
    <row r="211" spans="2:15" ht="15.75" thickBot="1">
      <c r="B211" s="216" t="s">
        <v>209</v>
      </c>
      <c r="C211" s="216" t="s">
        <v>151</v>
      </c>
      <c r="D211" s="216" t="s">
        <v>150</v>
      </c>
      <c r="E211" s="216" t="s">
        <v>156</v>
      </c>
      <c r="H211" s="363"/>
      <c r="I211" s="363"/>
      <c r="J211" s="363"/>
    </row>
    <row r="212" spans="2:15" ht="15.75" thickBot="1">
      <c r="B212" s="217" t="s">
        <v>392</v>
      </c>
      <c r="C212" s="217" t="s">
        <v>156</v>
      </c>
      <c r="D212" s="217" t="s">
        <v>165</v>
      </c>
      <c r="E212" s="217" t="s">
        <v>150</v>
      </c>
      <c r="H212" s="363"/>
      <c r="I212" s="363"/>
      <c r="J212" s="363"/>
    </row>
    <row r="213" spans="2:15" ht="15.75" thickBot="1">
      <c r="B213" s="216" t="s">
        <v>143</v>
      </c>
      <c r="C213" s="216" t="s">
        <v>172</v>
      </c>
      <c r="D213" s="216" t="s">
        <v>153</v>
      </c>
      <c r="E213" s="216" t="s">
        <v>149</v>
      </c>
      <c r="H213" s="363"/>
      <c r="I213" s="363"/>
      <c r="J213" s="363"/>
    </row>
    <row r="214" spans="2:15" ht="15.75" thickBot="1">
      <c r="B214" s="217" t="s">
        <v>210</v>
      </c>
      <c r="C214" s="217" t="s">
        <v>149</v>
      </c>
      <c r="D214" s="217" t="s">
        <v>150</v>
      </c>
      <c r="E214" s="217" t="s">
        <v>153</v>
      </c>
      <c r="H214" s="363"/>
      <c r="I214" s="363"/>
      <c r="J214" s="363"/>
    </row>
    <row r="215" spans="2:15">
      <c r="H215" s="363"/>
      <c r="I215" s="363"/>
      <c r="J215" s="363"/>
    </row>
    <row r="216" spans="2:15">
      <c r="H216" s="363"/>
      <c r="I216" s="363"/>
      <c r="J216" s="363"/>
    </row>
    <row r="217" spans="2:15">
      <c r="B217" s="201" t="s">
        <v>189</v>
      </c>
      <c r="H217" s="363"/>
      <c r="I217" s="363"/>
      <c r="J217" s="363"/>
    </row>
    <row r="218" spans="2:15">
      <c r="B218" s="195"/>
      <c r="H218" s="363"/>
      <c r="I218" s="363"/>
      <c r="J218" s="363"/>
    </row>
    <row r="219" spans="2:15">
      <c r="B219" s="195" t="s">
        <v>190</v>
      </c>
      <c r="H219" s="363"/>
      <c r="I219" s="363"/>
      <c r="J219" s="363"/>
    </row>
    <row r="220" spans="2:15">
      <c r="B220" s="195" t="s">
        <v>191</v>
      </c>
      <c r="H220" s="363"/>
      <c r="I220" s="363"/>
      <c r="J220" s="363"/>
    </row>
    <row r="221" spans="2:15">
      <c r="H221" s="363"/>
      <c r="I221" s="363"/>
      <c r="J221" s="363"/>
    </row>
    <row r="222" spans="2:15">
      <c r="H222" s="363"/>
      <c r="I222" s="363"/>
      <c r="J222" s="363"/>
    </row>
    <row r="223" spans="2:15">
      <c r="B223" s="218"/>
      <c r="C223" s="218"/>
      <c r="D223" s="218"/>
      <c r="E223" s="218"/>
      <c r="F223" s="218"/>
      <c r="G223" s="218"/>
      <c r="H223" s="364"/>
      <c r="I223" s="364"/>
      <c r="J223" s="364"/>
      <c r="K223" s="218"/>
      <c r="L223" s="219"/>
      <c r="M223" s="218"/>
      <c r="N223" s="218"/>
      <c r="O223" s="218"/>
    </row>
    <row r="224" spans="2:15">
      <c r="H224" s="363"/>
      <c r="I224" s="363"/>
      <c r="J224" s="363"/>
    </row>
    <row r="225" spans="1:10">
      <c r="H225" s="363"/>
      <c r="I225" s="363"/>
      <c r="J225" s="363"/>
    </row>
    <row r="226" spans="1:10">
      <c r="B226" s="201" t="s">
        <v>192</v>
      </c>
      <c r="H226" s="363"/>
      <c r="I226" s="363"/>
      <c r="J226" s="363"/>
    </row>
    <row r="227" spans="1:10">
      <c r="H227" s="363"/>
      <c r="I227" s="363"/>
      <c r="J227" s="363"/>
    </row>
    <row r="228" spans="1:10">
      <c r="A228" s="188" t="s">
        <v>75</v>
      </c>
      <c r="B228" s="189" t="s">
        <v>140</v>
      </c>
      <c r="C228" s="189" t="s">
        <v>141</v>
      </c>
      <c r="D228" s="201" t="s">
        <v>102</v>
      </c>
      <c r="H228" s="363"/>
      <c r="I228" s="363"/>
      <c r="J228" s="363"/>
    </row>
    <row r="229" spans="1:10">
      <c r="A229" s="188" t="s">
        <v>76</v>
      </c>
      <c r="B229" s="189" t="s">
        <v>142</v>
      </c>
      <c r="C229" s="189" t="s">
        <v>141</v>
      </c>
      <c r="D229" s="201" t="s">
        <v>108</v>
      </c>
      <c r="H229" s="363"/>
      <c r="I229" s="363"/>
      <c r="J229" s="363"/>
    </row>
    <row r="230" spans="1:10">
      <c r="H230" s="363"/>
      <c r="I230" s="363"/>
      <c r="J230" s="363"/>
    </row>
    <row r="231" spans="1:10">
      <c r="H231" s="363"/>
      <c r="I231" s="363"/>
      <c r="J231" s="363"/>
    </row>
    <row r="232" spans="1:10">
      <c r="B232" s="201" t="s">
        <v>194</v>
      </c>
      <c r="H232" s="363"/>
      <c r="I232" s="363"/>
      <c r="J232" s="363"/>
    </row>
    <row r="233" spans="1:10" ht="15.75" thickBot="1">
      <c r="H233" s="363"/>
      <c r="I233" s="363"/>
      <c r="J233" s="363"/>
    </row>
    <row r="234" spans="1:10" ht="15.75" thickBot="1">
      <c r="B234" s="215" t="s">
        <v>145</v>
      </c>
      <c r="C234" s="215" t="s">
        <v>146</v>
      </c>
      <c r="D234" s="215" t="s">
        <v>147</v>
      </c>
      <c r="E234" s="215" t="s">
        <v>148</v>
      </c>
      <c r="H234" s="363"/>
      <c r="I234" s="363"/>
      <c r="J234" s="363"/>
    </row>
    <row r="235" spans="1:10" ht="15.75" thickBot="1">
      <c r="B235" s="216" t="s">
        <v>102</v>
      </c>
      <c r="C235" s="216" t="s">
        <v>163</v>
      </c>
      <c r="D235" s="216" t="s">
        <v>149</v>
      </c>
      <c r="E235" s="216" t="s">
        <v>164</v>
      </c>
      <c r="H235" s="363"/>
      <c r="I235" s="363"/>
      <c r="J235" s="363"/>
    </row>
    <row r="236" spans="1:10" ht="15.75" thickBot="1">
      <c r="B236" s="217" t="s">
        <v>572</v>
      </c>
      <c r="C236" s="217" t="s">
        <v>149</v>
      </c>
      <c r="D236" s="217" t="s">
        <v>150</v>
      </c>
      <c r="E236" s="217" t="s">
        <v>151</v>
      </c>
      <c r="H236" s="363"/>
      <c r="I236" s="363"/>
      <c r="J236" s="363"/>
    </row>
    <row r="237" spans="1:10" ht="15.75" thickBot="1">
      <c r="B237" s="216" t="s">
        <v>394</v>
      </c>
      <c r="C237" s="216" t="s">
        <v>150</v>
      </c>
      <c r="D237" s="216" t="s">
        <v>162</v>
      </c>
      <c r="E237" s="216" t="s">
        <v>156</v>
      </c>
      <c r="H237" s="363"/>
      <c r="I237" s="363"/>
      <c r="J237" s="363"/>
    </row>
    <row r="238" spans="1:10" ht="15.75" thickBot="1">
      <c r="B238" s="217" t="s">
        <v>108</v>
      </c>
      <c r="C238" s="217" t="s">
        <v>149</v>
      </c>
      <c r="D238" s="217" t="s">
        <v>156</v>
      </c>
      <c r="E238" s="217" t="s">
        <v>149</v>
      </c>
      <c r="H238" s="363"/>
      <c r="I238" s="363"/>
      <c r="J238" s="363"/>
    </row>
    <row r="239" spans="1:10">
      <c r="H239" s="363"/>
      <c r="I239" s="363"/>
      <c r="J239" s="363"/>
    </row>
    <row r="240" spans="1:10">
      <c r="H240" s="363"/>
      <c r="I240" s="363"/>
      <c r="J240" s="363"/>
    </row>
    <row r="241" spans="1:15">
      <c r="B241" s="201" t="s">
        <v>195</v>
      </c>
      <c r="H241" s="363"/>
      <c r="I241" s="363"/>
      <c r="J241" s="363"/>
    </row>
    <row r="242" spans="1:15">
      <c r="B242" s="195"/>
      <c r="H242" s="363"/>
      <c r="I242" s="363"/>
      <c r="J242" s="363"/>
    </row>
    <row r="243" spans="1:15">
      <c r="B243" s="195" t="s">
        <v>196</v>
      </c>
      <c r="H243" s="363"/>
      <c r="I243" s="363"/>
      <c r="J243" s="363"/>
    </row>
    <row r="244" spans="1:15">
      <c r="B244" s="195" t="s">
        <v>262</v>
      </c>
      <c r="H244" s="363"/>
      <c r="I244" s="363"/>
      <c r="J244" s="363"/>
    </row>
    <row r="245" spans="1:15">
      <c r="H245" s="363"/>
      <c r="I245" s="363"/>
      <c r="J245" s="363"/>
    </row>
    <row r="246" spans="1:15">
      <c r="H246" s="363"/>
      <c r="I246" s="363"/>
      <c r="J246" s="363"/>
    </row>
    <row r="247" spans="1:15">
      <c r="B247" s="218"/>
      <c r="C247" s="218"/>
      <c r="D247" s="218"/>
      <c r="E247" s="218"/>
      <c r="F247" s="218"/>
      <c r="G247" s="218"/>
      <c r="H247" s="364"/>
      <c r="I247" s="364"/>
      <c r="J247" s="364"/>
      <c r="K247" s="218"/>
      <c r="L247" s="219"/>
      <c r="M247" s="218"/>
      <c r="N247" s="218"/>
      <c r="O247" s="218"/>
    </row>
    <row r="248" spans="1:15">
      <c r="H248" s="363"/>
      <c r="I248" s="363"/>
      <c r="J248" s="363"/>
    </row>
    <row r="249" spans="1:15">
      <c r="H249" s="363"/>
      <c r="I249" s="363"/>
      <c r="J249" s="363"/>
    </row>
    <row r="250" spans="1:15">
      <c r="B250" s="201" t="s">
        <v>198</v>
      </c>
      <c r="H250" s="363"/>
      <c r="I250" s="363"/>
      <c r="J250" s="363"/>
    </row>
    <row r="251" spans="1:15">
      <c r="H251" s="363"/>
      <c r="I251" s="363"/>
      <c r="J251" s="363"/>
    </row>
    <row r="252" spans="1:15">
      <c r="A252" s="188" t="s">
        <v>77</v>
      </c>
      <c r="B252" s="189" t="s">
        <v>140</v>
      </c>
      <c r="C252" s="189" t="s">
        <v>141</v>
      </c>
      <c r="D252" s="201" t="s">
        <v>177</v>
      </c>
      <c r="H252" s="363"/>
      <c r="I252" s="363"/>
      <c r="J252" s="363"/>
    </row>
    <row r="253" spans="1:15">
      <c r="A253" s="188" t="s">
        <v>78</v>
      </c>
      <c r="B253" s="189" t="s">
        <v>142</v>
      </c>
      <c r="C253" s="189" t="s">
        <v>141</v>
      </c>
      <c r="D253" s="201" t="s">
        <v>202</v>
      </c>
      <c r="H253" s="363"/>
      <c r="I253" s="363"/>
      <c r="J253" s="363"/>
    </row>
    <row r="254" spans="1:15">
      <c r="H254" s="363"/>
      <c r="I254" s="363"/>
      <c r="J254" s="363"/>
    </row>
    <row r="255" spans="1:15">
      <c r="H255" s="363"/>
      <c r="I255" s="363"/>
      <c r="J255" s="363"/>
    </row>
    <row r="256" spans="1:15">
      <c r="B256" s="201" t="s">
        <v>201</v>
      </c>
      <c r="H256" s="363"/>
      <c r="I256" s="363"/>
      <c r="J256" s="363"/>
    </row>
    <row r="257" spans="2:15" ht="15.75" thickBot="1">
      <c r="H257" s="363"/>
      <c r="I257" s="363"/>
      <c r="J257" s="363"/>
    </row>
    <row r="258" spans="2:15" ht="15.75" thickBot="1">
      <c r="B258" s="215" t="s">
        <v>145</v>
      </c>
      <c r="C258" s="215" t="s">
        <v>146</v>
      </c>
      <c r="D258" s="215" t="s">
        <v>147</v>
      </c>
      <c r="E258" s="215" t="s">
        <v>148</v>
      </c>
      <c r="H258" s="363"/>
      <c r="I258" s="363"/>
      <c r="J258" s="363"/>
    </row>
    <row r="259" spans="2:15" ht="15.75" thickBot="1">
      <c r="B259" s="216" t="s">
        <v>177</v>
      </c>
      <c r="C259" s="216" t="s">
        <v>172</v>
      </c>
      <c r="D259" s="216" t="s">
        <v>153</v>
      </c>
      <c r="E259" s="216" t="s">
        <v>149</v>
      </c>
      <c r="H259" s="363"/>
      <c r="I259" s="363"/>
      <c r="J259" s="363"/>
    </row>
    <row r="260" spans="2:15" ht="15.75" thickBot="1">
      <c r="B260" s="217" t="s">
        <v>202</v>
      </c>
      <c r="C260" s="217" t="s">
        <v>155</v>
      </c>
      <c r="D260" s="217" t="s">
        <v>156</v>
      </c>
      <c r="E260" s="217" t="s">
        <v>149</v>
      </c>
      <c r="H260" s="363"/>
      <c r="I260" s="363"/>
      <c r="J260" s="363"/>
    </row>
    <row r="261" spans="2:15" ht="15.75" thickBot="1">
      <c r="B261" s="216" t="s">
        <v>181</v>
      </c>
      <c r="C261" s="216" t="s">
        <v>156</v>
      </c>
      <c r="D261" s="216" t="s">
        <v>165</v>
      </c>
      <c r="E261" s="216" t="s">
        <v>153</v>
      </c>
      <c r="H261" s="363"/>
      <c r="I261" s="363"/>
      <c r="J261" s="363"/>
    </row>
    <row r="262" spans="2:15" ht="15.75" thickBot="1">
      <c r="B262" s="217" t="s">
        <v>32</v>
      </c>
      <c r="C262" s="217" t="s">
        <v>151</v>
      </c>
      <c r="D262" s="217" t="s">
        <v>154</v>
      </c>
      <c r="E262" s="217" t="s">
        <v>149</v>
      </c>
      <c r="H262" s="363"/>
      <c r="I262" s="363"/>
      <c r="J262" s="363"/>
    </row>
    <row r="263" spans="2:15">
      <c r="H263" s="363"/>
      <c r="I263" s="363"/>
      <c r="J263" s="363"/>
    </row>
    <row r="264" spans="2:15">
      <c r="H264" s="363"/>
      <c r="I264" s="363"/>
      <c r="J264" s="363"/>
    </row>
    <row r="265" spans="2:15">
      <c r="B265" s="201" t="s">
        <v>203</v>
      </c>
      <c r="H265" s="363"/>
      <c r="I265" s="363"/>
      <c r="J265" s="363"/>
    </row>
    <row r="266" spans="2:15">
      <c r="B266" s="195"/>
      <c r="H266" s="363"/>
      <c r="I266" s="363"/>
      <c r="J266" s="363"/>
    </row>
    <row r="267" spans="2:15">
      <c r="B267" s="195" t="s">
        <v>204</v>
      </c>
      <c r="H267" s="363"/>
      <c r="I267" s="363"/>
      <c r="J267" s="363"/>
    </row>
    <row r="268" spans="2:15">
      <c r="B268" s="195" t="s">
        <v>205</v>
      </c>
      <c r="H268" s="363"/>
      <c r="I268" s="363"/>
      <c r="J268" s="363"/>
    </row>
    <row r="269" spans="2:15">
      <c r="H269" s="363"/>
      <c r="I269" s="363"/>
      <c r="J269" s="363"/>
    </row>
    <row r="270" spans="2:15">
      <c r="B270" s="218"/>
      <c r="C270" s="218"/>
      <c r="D270" s="218"/>
      <c r="E270" s="218"/>
      <c r="F270" s="218"/>
      <c r="G270" s="218"/>
      <c r="H270" s="363"/>
      <c r="I270" s="363"/>
      <c r="J270" s="363"/>
      <c r="K270" s="218"/>
      <c r="L270" s="219"/>
      <c r="M270" s="218"/>
      <c r="N270" s="218"/>
      <c r="O270" s="218"/>
    </row>
    <row r="271" spans="2:15">
      <c r="H271" s="364"/>
      <c r="I271" s="364"/>
      <c r="J271" s="364"/>
    </row>
    <row r="272" spans="2:15">
      <c r="H272" s="363"/>
      <c r="I272" s="363"/>
      <c r="J272" s="363"/>
    </row>
    <row r="273" spans="1:10">
      <c r="H273" s="363"/>
      <c r="I273" s="363"/>
      <c r="J273" s="363"/>
    </row>
    <row r="274" spans="1:10">
      <c r="B274" s="201" t="s">
        <v>206</v>
      </c>
      <c r="H274" s="363"/>
      <c r="I274" s="363"/>
      <c r="J274" s="363"/>
    </row>
    <row r="275" spans="1:10">
      <c r="H275" s="363"/>
      <c r="I275" s="363"/>
      <c r="J275" s="363"/>
    </row>
    <row r="276" spans="1:10">
      <c r="A276" s="188" t="s">
        <v>79</v>
      </c>
      <c r="B276" s="189" t="s">
        <v>140</v>
      </c>
      <c r="C276" s="189" t="s">
        <v>141</v>
      </c>
      <c r="D276" s="201" t="s">
        <v>396</v>
      </c>
      <c r="H276" s="363"/>
      <c r="I276" s="363"/>
      <c r="J276" s="363"/>
    </row>
    <row r="277" spans="1:10">
      <c r="A277" s="188" t="s">
        <v>80</v>
      </c>
      <c r="B277" s="189" t="s">
        <v>142</v>
      </c>
      <c r="C277" s="189" t="s">
        <v>141</v>
      </c>
      <c r="D277" s="201" t="s">
        <v>104</v>
      </c>
      <c r="H277" s="363"/>
      <c r="I277" s="363"/>
      <c r="J277" s="363"/>
    </row>
    <row r="278" spans="1:10">
      <c r="H278" s="363"/>
      <c r="I278" s="363"/>
      <c r="J278" s="363"/>
    </row>
    <row r="279" spans="1:10">
      <c r="H279" s="363"/>
      <c r="I279" s="363"/>
      <c r="J279" s="363"/>
    </row>
    <row r="280" spans="1:10">
      <c r="B280" s="201" t="s">
        <v>208</v>
      </c>
      <c r="H280" s="363"/>
      <c r="I280" s="363"/>
      <c r="J280" s="363"/>
    </row>
    <row r="281" spans="1:10" ht="15.75" thickBot="1">
      <c r="H281" s="363"/>
      <c r="I281" s="363"/>
      <c r="J281" s="363"/>
    </row>
    <row r="282" spans="1:10" ht="15.75" thickBot="1">
      <c r="B282" s="215" t="s">
        <v>145</v>
      </c>
      <c r="C282" s="215" t="s">
        <v>146</v>
      </c>
      <c r="D282" s="215" t="s">
        <v>147</v>
      </c>
      <c r="E282" s="215" t="s">
        <v>148</v>
      </c>
      <c r="H282" s="363"/>
      <c r="I282" s="363"/>
      <c r="J282" s="363"/>
    </row>
    <row r="283" spans="1:10" ht="15.75" thickBot="1">
      <c r="B283" s="216" t="s">
        <v>395</v>
      </c>
      <c r="C283" s="216" t="s">
        <v>150</v>
      </c>
      <c r="D283" s="216" t="s">
        <v>162</v>
      </c>
      <c r="E283" s="216" t="s">
        <v>150</v>
      </c>
      <c r="H283" s="363"/>
      <c r="I283" s="363"/>
      <c r="J283" s="363"/>
    </row>
    <row r="284" spans="1:10" ht="15.75" thickBot="1">
      <c r="B284" s="217" t="s">
        <v>110</v>
      </c>
      <c r="C284" s="217" t="s">
        <v>151</v>
      </c>
      <c r="D284" s="217" t="s">
        <v>165</v>
      </c>
      <c r="E284" s="217" t="s">
        <v>153</v>
      </c>
      <c r="H284" s="363"/>
      <c r="I284" s="363"/>
      <c r="J284" s="363"/>
    </row>
    <row r="285" spans="1:10" ht="15.75" thickBot="1">
      <c r="B285" s="216" t="s">
        <v>396</v>
      </c>
      <c r="C285" s="216" t="s">
        <v>172</v>
      </c>
      <c r="D285" s="216" t="s">
        <v>155</v>
      </c>
      <c r="E285" s="216" t="s">
        <v>164</v>
      </c>
      <c r="H285" s="363"/>
      <c r="I285" s="363"/>
      <c r="J285" s="363"/>
    </row>
    <row r="286" spans="1:10" ht="15.75" thickBot="1">
      <c r="B286" s="217" t="s">
        <v>104</v>
      </c>
      <c r="C286" s="217" t="s">
        <v>172</v>
      </c>
      <c r="D286" s="217" t="s">
        <v>153</v>
      </c>
      <c r="E286" s="217" t="s">
        <v>151</v>
      </c>
      <c r="H286" s="363"/>
      <c r="I286" s="363"/>
      <c r="J286" s="363"/>
    </row>
    <row r="287" spans="1:10">
      <c r="H287" s="363"/>
      <c r="I287" s="363"/>
      <c r="J287" s="363"/>
    </row>
    <row r="288" spans="1:10">
      <c r="H288" s="363"/>
      <c r="I288" s="363"/>
      <c r="J288" s="363"/>
    </row>
    <row r="289" spans="2:15">
      <c r="B289" s="201" t="s">
        <v>211</v>
      </c>
      <c r="H289" s="363"/>
      <c r="I289" s="363"/>
      <c r="J289" s="363"/>
    </row>
    <row r="290" spans="2:15">
      <c r="B290" s="195"/>
      <c r="H290" s="363"/>
      <c r="I290" s="363"/>
      <c r="J290" s="363"/>
    </row>
    <row r="291" spans="2:15">
      <c r="B291" s="195" t="s">
        <v>267</v>
      </c>
      <c r="H291" s="363"/>
      <c r="I291" s="363"/>
      <c r="J291" s="363"/>
    </row>
    <row r="292" spans="2:15">
      <c r="B292" s="195"/>
      <c r="H292" s="363"/>
      <c r="I292" s="363"/>
      <c r="J292" s="363"/>
    </row>
    <row r="293" spans="2:15">
      <c r="H293" s="363"/>
      <c r="I293" s="363"/>
      <c r="J293" s="363"/>
    </row>
    <row r="294" spans="2:15">
      <c r="H294" s="364"/>
      <c r="I294" s="364"/>
      <c r="J294" s="364"/>
    </row>
    <row r="295" spans="2:15">
      <c r="B295" s="218"/>
      <c r="C295" s="218"/>
      <c r="D295" s="218"/>
      <c r="E295" s="218"/>
      <c r="F295" s="218"/>
      <c r="G295" s="218"/>
      <c r="H295" s="363"/>
      <c r="I295" s="363"/>
      <c r="J295" s="363"/>
      <c r="K295" s="218"/>
      <c r="L295" s="219"/>
      <c r="M295" s="218"/>
      <c r="N295" s="218"/>
      <c r="O295" s="218"/>
    </row>
    <row r="299" spans="2:15">
      <c r="H299" s="189"/>
      <c r="I299" s="189"/>
      <c r="J299" s="189"/>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7.xml><?xml version="1.0" encoding="utf-8"?>
<worksheet xmlns="http://schemas.openxmlformats.org/spreadsheetml/2006/main" xmlns:r="http://schemas.openxmlformats.org/officeDocument/2006/relationships">
  <sheetPr codeName="Blad28">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277</v>
      </c>
      <c r="L1" s="194"/>
      <c r="P1" s="193">
        <f>SUM(P14:P101)+E11+H11+L7+L11+Q11</f>
        <v>420</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Chili</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Griekenland</v>
      </c>
      <c r="C4" s="222">
        <f t="shared" si="1"/>
        <v>10</v>
      </c>
      <c r="D4" s="224" t="str">
        <f t="shared" si="2"/>
        <v>Italië</v>
      </c>
      <c r="E4" s="222">
        <f t="shared" si="3"/>
        <v>0</v>
      </c>
      <c r="F4" s="339" t="s">
        <v>450</v>
      </c>
      <c r="G4" s="195" t="str">
        <f>G88</f>
        <v>Italië</v>
      </c>
      <c r="H4" s="222">
        <f t="shared" si="4"/>
        <v>0</v>
      </c>
      <c r="I4" s="339" t="s">
        <v>458</v>
      </c>
      <c r="J4" s="195" t="str">
        <f>G94</f>
        <v>Duitsland</v>
      </c>
      <c r="L4" s="222">
        <f>IF(ISNA(MATCH(J4,teams_halve,0)),0,20)</f>
        <v>20</v>
      </c>
      <c r="Q4" s="224"/>
    </row>
    <row r="5" spans="1:21" s="195" customFormat="1" ht="15" customHeight="1">
      <c r="B5" s="224" t="str">
        <f t="shared" si="0"/>
        <v>Spanje</v>
      </c>
      <c r="C5" s="222">
        <f t="shared" si="1"/>
        <v>0</v>
      </c>
      <c r="D5" s="224" t="str">
        <f t="shared" si="2"/>
        <v>Mexico</v>
      </c>
      <c r="E5" s="222">
        <f t="shared" si="3"/>
        <v>10</v>
      </c>
      <c r="F5" s="339" t="s">
        <v>451</v>
      </c>
      <c r="G5" s="195" t="str">
        <f>E90</f>
        <v>Spanje</v>
      </c>
      <c r="H5" s="222">
        <f t="shared" si="4"/>
        <v>0</v>
      </c>
      <c r="I5" s="339" t="s">
        <v>459</v>
      </c>
      <c r="J5" s="195" t="str">
        <f>E95</f>
        <v>Uruguay</v>
      </c>
      <c r="L5" s="222">
        <f>IF(ISNA(MATCH(J5,teams_halve,0)),0,20)</f>
        <v>0</v>
      </c>
    </row>
    <row r="6" spans="1:21" s="195" customFormat="1" ht="15" customHeight="1">
      <c r="B6" s="224" t="str">
        <f t="shared" si="0"/>
        <v>Uruguay</v>
      </c>
      <c r="C6" s="222">
        <f t="shared" si="1"/>
        <v>10</v>
      </c>
      <c r="D6" s="224" t="str">
        <f t="shared" si="2"/>
        <v>Japan</v>
      </c>
      <c r="E6" s="222">
        <f t="shared" si="3"/>
        <v>0</v>
      </c>
      <c r="F6" s="339" t="s">
        <v>452</v>
      </c>
      <c r="G6" s="195" t="str">
        <f>G90</f>
        <v>Uruguay</v>
      </c>
      <c r="H6" s="222">
        <f t="shared" si="4"/>
        <v>0</v>
      </c>
      <c r="I6" s="339" t="s">
        <v>460</v>
      </c>
      <c r="J6" s="195" t="str">
        <f>G95</f>
        <v>Argentinië</v>
      </c>
      <c r="L6" s="222">
        <f>IF(ISNA(MATCH(J6,teams_halve,0)),0,20)</f>
        <v>20</v>
      </c>
    </row>
    <row r="7" spans="1:21" s="195" customFormat="1" ht="15" customHeight="1">
      <c r="B7" s="224" t="str">
        <f t="shared" si="0"/>
        <v>Frankrijk</v>
      </c>
      <c r="C7" s="222">
        <f t="shared" si="1"/>
        <v>10</v>
      </c>
      <c r="D7" s="224" t="str">
        <f t="shared" si="2"/>
        <v>Bosnië en Herzegovina</v>
      </c>
      <c r="E7" s="222">
        <f t="shared" si="3"/>
        <v>0</v>
      </c>
      <c r="F7" s="339" t="s">
        <v>453</v>
      </c>
      <c r="G7" s="195" t="str">
        <f>E89</f>
        <v>Frankrijk</v>
      </c>
      <c r="H7" s="222">
        <f t="shared" si="4"/>
        <v>15</v>
      </c>
      <c r="I7" s="339"/>
      <c r="J7" s="198" t="s">
        <v>83</v>
      </c>
      <c r="K7" s="199"/>
      <c r="L7" s="225">
        <f>SUM(L3:L6)</f>
        <v>60</v>
      </c>
    </row>
    <row r="8" spans="1:21" s="195" customFormat="1" ht="15" customHeight="1">
      <c r="B8" s="224" t="str">
        <f t="shared" si="0"/>
        <v>Duitsland</v>
      </c>
      <c r="C8" s="222">
        <f t="shared" si="1"/>
        <v>10</v>
      </c>
      <c r="D8" s="224" t="str">
        <f t="shared" si="2"/>
        <v>Rusland</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Zwitserland</v>
      </c>
      <c r="E9" s="222">
        <f t="shared" si="3"/>
        <v>10</v>
      </c>
      <c r="F9" s="339" t="s">
        <v>455</v>
      </c>
      <c r="G9" s="195" t="str">
        <f>E91</f>
        <v>Argentinië</v>
      </c>
      <c r="H9" s="222">
        <f t="shared" si="4"/>
        <v>15</v>
      </c>
      <c r="I9" s="339" t="s">
        <v>461</v>
      </c>
      <c r="J9" s="195" t="str">
        <f>E101</f>
        <v>Brazilië</v>
      </c>
      <c r="L9" s="222">
        <f>IF(ISNA(MATCH(J9,teams_fin,0)),0,30)</f>
        <v>0</v>
      </c>
      <c r="P9" s="444" t="str">
        <f>E98</f>
        <v>Duitsland</v>
      </c>
      <c r="Q9" s="222">
        <f>IF(ISNA(MATCH(P9,teams_troost,0)),0,25)</f>
        <v>0</v>
      </c>
    </row>
    <row r="10" spans="1:21" s="195" customFormat="1" ht="15" customHeight="1">
      <c r="B10" s="224" t="str">
        <f t="shared" si="0"/>
        <v>België</v>
      </c>
      <c r="C10" s="222">
        <f t="shared" si="1"/>
        <v>10</v>
      </c>
      <c r="D10" s="224" t="str">
        <f t="shared" si="2"/>
        <v>Portugal</v>
      </c>
      <c r="E10" s="222">
        <f t="shared" si="3"/>
        <v>0</v>
      </c>
      <c r="F10" s="339" t="s">
        <v>456</v>
      </c>
      <c r="G10" s="195" t="str">
        <f>G91</f>
        <v>Portugal</v>
      </c>
      <c r="H10" s="222">
        <f t="shared" si="4"/>
        <v>0</v>
      </c>
      <c r="I10" s="339" t="s">
        <v>462</v>
      </c>
      <c r="J10" s="195" t="str">
        <f>G101</f>
        <v>Argentinië</v>
      </c>
      <c r="L10" s="222">
        <f>IF(ISNA(MATCH(J10,teams_fin,0)),0,30)</f>
        <v>30</v>
      </c>
      <c r="P10" s="444" t="str">
        <f>G98</f>
        <v>Uruguay</v>
      </c>
      <c r="Q10" s="222">
        <f>IF(ISNA(MATCH(P10,teams_troost,0)),0,25)</f>
        <v>0</v>
      </c>
    </row>
    <row r="11" spans="1:21" s="195" customFormat="1" ht="15" customHeight="1">
      <c r="D11" s="198" t="s">
        <v>89</v>
      </c>
      <c r="E11" s="225">
        <f>SUM(C3:E10)</f>
        <v>100</v>
      </c>
      <c r="G11" s="198" t="s">
        <v>82</v>
      </c>
      <c r="H11" s="225">
        <f>SUM(H3:H10)</f>
        <v>60</v>
      </c>
      <c r="J11" s="198" t="s">
        <v>90</v>
      </c>
      <c r="K11" s="199"/>
      <c r="L11" s="225">
        <f>SUM(L9:L10)</f>
        <v>30</v>
      </c>
      <c r="P11" s="199"/>
      <c r="Q11" s="225">
        <f>SUM(Q9:Q10)</f>
        <v>0</v>
      </c>
    </row>
    <row r="12" spans="1:21">
      <c r="B12" s="201" t="s">
        <v>19</v>
      </c>
      <c r="C12" s="201"/>
      <c r="D12" s="339" t="s">
        <v>463</v>
      </c>
      <c r="E12" s="202" t="s">
        <v>199</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2</v>
      </c>
      <c r="I14" s="366" t="s">
        <v>29</v>
      </c>
      <c r="J14" s="366">
        <v>1</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2</v>
      </c>
      <c r="I15" s="366" t="s">
        <v>29</v>
      </c>
      <c r="J15" s="366">
        <v>0</v>
      </c>
      <c r="K15" s="212" t="str">
        <f t="shared" si="5"/>
        <v>1</v>
      </c>
      <c r="L15" s="210" t="str">
        <f>VLOOKUP($B15,Invulblad!$A$11:$S$103,13,0)</f>
        <v>1</v>
      </c>
      <c r="M15" s="211">
        <f>IF(L15&lt;&gt;"",VLOOKUP($B15,Invulblad!$A$11:$S$103,7,0),"")</f>
        <v>1</v>
      </c>
      <c r="N15" s="209" t="s">
        <v>29</v>
      </c>
      <c r="O15" s="211">
        <f>IF(L15&lt;&gt;"",VLOOKUP($B15,Invulblad!$A$11:$S$103,9,0),"")</f>
        <v>0</v>
      </c>
      <c r="P15" s="212">
        <f t="shared" si="6"/>
        <v>5</v>
      </c>
    </row>
    <row r="16" spans="1:21">
      <c r="A16" s="188">
        <v>3</v>
      </c>
      <c r="B16" s="195">
        <v>17</v>
      </c>
      <c r="C16" s="332">
        <v>41807</v>
      </c>
      <c r="D16" s="333">
        <v>0.875</v>
      </c>
      <c r="E16" s="189" t="s">
        <v>557</v>
      </c>
      <c r="F16" s="189" t="s">
        <v>29</v>
      </c>
      <c r="G16" s="189" t="s">
        <v>96</v>
      </c>
      <c r="H16" s="366">
        <v>1</v>
      </c>
      <c r="I16" s="366" t="s">
        <v>29</v>
      </c>
      <c r="J16" s="366">
        <v>1</v>
      </c>
      <c r="K16" s="212">
        <f t="shared" si="5"/>
        <v>3</v>
      </c>
      <c r="L16" s="210">
        <f>VLOOKUP($B16,Invulblad!$A$11:$S$103,13,0)</f>
        <v>3</v>
      </c>
      <c r="M16" s="211">
        <f>IF(L16&lt;&gt;"",VLOOKUP($B16,Invulblad!$A$11:$S$103,7,0),"")</f>
        <v>0</v>
      </c>
      <c r="N16" s="209" t="s">
        <v>29</v>
      </c>
      <c r="O16" s="211">
        <f>IF(L16&lt;&gt;"",VLOOKUP($B16,Invulblad!$A$11:$S$103,9,0),"")</f>
        <v>0</v>
      </c>
      <c r="P16" s="212">
        <f t="shared" si="6"/>
        <v>5</v>
      </c>
    </row>
    <row r="17" spans="1:16">
      <c r="A17" s="188">
        <v>4</v>
      </c>
      <c r="B17" s="195">
        <v>18</v>
      </c>
      <c r="C17" s="332">
        <v>41809</v>
      </c>
      <c r="D17" s="333">
        <v>0</v>
      </c>
      <c r="E17" s="189" t="s">
        <v>121</v>
      </c>
      <c r="F17" s="189" t="s">
        <v>29</v>
      </c>
      <c r="G17" s="189" t="s">
        <v>558</v>
      </c>
      <c r="H17" s="366">
        <v>1</v>
      </c>
      <c r="I17" s="366" t="s">
        <v>29</v>
      </c>
      <c r="J17" s="366">
        <v>2</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1</v>
      </c>
      <c r="I18" s="366" t="s">
        <v>29</v>
      </c>
      <c r="J18" s="366">
        <v>2</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1</v>
      </c>
      <c r="I19" s="366" t="s">
        <v>29</v>
      </c>
      <c r="J19" s="366">
        <v>1</v>
      </c>
      <c r="K19" s="212">
        <f t="shared" si="5"/>
        <v>3</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2</v>
      </c>
      <c r="I22" s="366" t="s">
        <v>29</v>
      </c>
      <c r="J22" s="366">
        <v>1</v>
      </c>
      <c r="K22" s="212" t="str">
        <f t="shared" si="5"/>
        <v>1</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2</v>
      </c>
      <c r="I23" s="366" t="s">
        <v>29</v>
      </c>
      <c r="J23" s="366">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2</v>
      </c>
      <c r="I24" s="366" t="s">
        <v>29</v>
      </c>
      <c r="J24" s="366">
        <v>1</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1</v>
      </c>
      <c r="I25" s="366" t="s">
        <v>29</v>
      </c>
      <c r="J25" s="366">
        <v>1</v>
      </c>
      <c r="K25" s="212">
        <f t="shared" si="5"/>
        <v>3</v>
      </c>
      <c r="L25" s="210">
        <f>VLOOKUP($B25,Invulblad!$A$11:$S$103,13,0)</f>
        <v>2</v>
      </c>
      <c r="M25" s="211">
        <f>IF(L25&lt;&gt;"",VLOOKUP($B25,Invulblad!$A$11:$S$103,7,0),"")</f>
        <v>2</v>
      </c>
      <c r="N25" s="209" t="s">
        <v>29</v>
      </c>
      <c r="O25" s="211">
        <f>IF(L25&lt;&gt;"",VLOOKUP($B25,Invulblad!$A$11:$S$103,9,0),"")</f>
        <v>3</v>
      </c>
      <c r="P25" s="212">
        <f t="shared" si="7"/>
        <v>0</v>
      </c>
    </row>
    <row r="26" spans="1:16">
      <c r="A26" s="188">
        <v>13</v>
      </c>
      <c r="B26" s="195">
        <v>35</v>
      </c>
      <c r="C26" s="332">
        <v>41813</v>
      </c>
      <c r="D26" s="333">
        <v>0.75</v>
      </c>
      <c r="E26" s="189" t="s">
        <v>562</v>
      </c>
      <c r="F26" s="189" t="s">
        <v>29</v>
      </c>
      <c r="G26" s="189" t="s">
        <v>133</v>
      </c>
      <c r="H26" s="366">
        <v>0</v>
      </c>
      <c r="I26" s="366" t="s">
        <v>29</v>
      </c>
      <c r="J26" s="366">
        <v>2</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1</v>
      </c>
      <c r="I27" s="366" t="s">
        <v>29</v>
      </c>
      <c r="J27" s="366">
        <v>1</v>
      </c>
      <c r="K27" s="212">
        <f t="shared" si="5"/>
        <v>3</v>
      </c>
      <c r="L27" s="210" t="str">
        <f>VLOOKUP($B27,Invulblad!$A$11:$S$103,13,0)</f>
        <v>1</v>
      </c>
      <c r="M27" s="211">
        <f>IF(L27&lt;&gt;"",VLOOKUP($B27,Invulblad!$A$11:$S$103,7,0),"")</f>
        <v>2</v>
      </c>
      <c r="N27" s="209" t="s">
        <v>29</v>
      </c>
      <c r="O27" s="211">
        <f>IF(L27&lt;&gt;"",VLOOKUP($B27,Invulblad!$A$11:$S$103,9,0),"")</f>
        <v>0</v>
      </c>
      <c r="P27" s="212">
        <f t="shared" si="7"/>
        <v>0</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0</v>
      </c>
      <c r="I30" s="366" t="s">
        <v>29</v>
      </c>
      <c r="J30" s="366">
        <v>1</v>
      </c>
      <c r="K30" s="212">
        <f t="shared" si="5"/>
        <v>2</v>
      </c>
      <c r="L30" s="210" t="str">
        <f>VLOOKUP($B30,Invulblad!$A$11:$S$103,13,0)</f>
        <v>1</v>
      </c>
      <c r="M30" s="211">
        <f>IF(L30&lt;&gt;"",VLOOKUP($B30,Invulblad!$A$11:$S$103,7,0),"")</f>
        <v>3</v>
      </c>
      <c r="N30" s="209" t="s">
        <v>29</v>
      </c>
      <c r="O30" s="211">
        <f>IF(L30&lt;&gt;"",VLOOKUP($B30,Invulblad!$A$11:$S$103,9,0),"")</f>
        <v>0</v>
      </c>
      <c r="P30" s="212">
        <f t="shared" ref="P30:P35" si="8">IF(L30&lt;&gt;"",IF(AND(M30=H30,O30=J30),10,IF(K30=L30,5,0)),"")</f>
        <v>0</v>
      </c>
    </row>
    <row r="31" spans="1:16">
      <c r="A31" s="188">
        <v>18</v>
      </c>
      <c r="B31" s="195">
        <v>6</v>
      </c>
      <c r="C31" s="332">
        <v>41805</v>
      </c>
      <c r="D31" s="333">
        <v>0.125</v>
      </c>
      <c r="E31" s="189" t="s">
        <v>123</v>
      </c>
      <c r="F31" s="189" t="s">
        <v>29</v>
      </c>
      <c r="G31" s="189" t="s">
        <v>120</v>
      </c>
      <c r="H31" s="366">
        <v>1</v>
      </c>
      <c r="I31" s="366" t="s">
        <v>29</v>
      </c>
      <c r="J31" s="366">
        <v>2</v>
      </c>
      <c r="K31" s="212">
        <f t="shared" si="5"/>
        <v>2</v>
      </c>
      <c r="L31" s="210" t="str">
        <f>VLOOKUP($B31,Invulblad!$A$11:$S$103,13,0)</f>
        <v>1</v>
      </c>
      <c r="M31" s="211">
        <f>IF(L31&lt;&gt;"",VLOOKUP($B31,Invulblad!$A$11:$S$103,7,0),"")</f>
        <v>2</v>
      </c>
      <c r="N31" s="209" t="s">
        <v>29</v>
      </c>
      <c r="O31" s="211">
        <f>IF(L31&lt;&gt;"",VLOOKUP($B31,Invulblad!$A$11:$S$103,9,0),"")</f>
        <v>1</v>
      </c>
      <c r="P31" s="212">
        <f t="shared" si="8"/>
        <v>0</v>
      </c>
    </row>
    <row r="32" spans="1:16">
      <c r="A32" s="188">
        <v>19</v>
      </c>
      <c r="B32" s="195">
        <v>21</v>
      </c>
      <c r="C32" s="332">
        <v>41809</v>
      </c>
      <c r="D32" s="333">
        <v>0.75</v>
      </c>
      <c r="E32" s="189" t="s">
        <v>428</v>
      </c>
      <c r="F32" s="189" t="s">
        <v>29</v>
      </c>
      <c r="G32" s="189" t="s">
        <v>125</v>
      </c>
      <c r="H32" s="366">
        <v>1</v>
      </c>
      <c r="I32" s="366" t="s">
        <v>29</v>
      </c>
      <c r="J32" s="366">
        <v>1</v>
      </c>
      <c r="K32" s="212">
        <f t="shared" si="5"/>
        <v>3</v>
      </c>
      <c r="L32" s="210" t="str">
        <f>VLOOKUP($B32,Invulblad!$A$11:$S$103,13,0)</f>
        <v>1</v>
      </c>
      <c r="M32" s="211">
        <f>IF(L32&lt;&gt;"",VLOOKUP($B32,Invulblad!$A$11:$S$103,7,0),"")</f>
        <v>2</v>
      </c>
      <c r="N32" s="209" t="s">
        <v>29</v>
      </c>
      <c r="O32" s="211">
        <f>IF(L32&lt;&gt;"",VLOOKUP($B32,Invulblad!$A$11:$S$103,9,0),"")</f>
        <v>1</v>
      </c>
      <c r="P32" s="212">
        <f t="shared" si="8"/>
        <v>0</v>
      </c>
    </row>
    <row r="33" spans="1:16">
      <c r="A33" s="188">
        <v>20</v>
      </c>
      <c r="B33" s="195">
        <v>22</v>
      </c>
      <c r="C33" s="332">
        <v>41810</v>
      </c>
      <c r="D33" s="333">
        <v>0</v>
      </c>
      <c r="E33" s="189" t="s">
        <v>118</v>
      </c>
      <c r="F33" s="189" t="s">
        <v>29</v>
      </c>
      <c r="G33" s="189" t="s">
        <v>105</v>
      </c>
      <c r="H33" s="366">
        <v>0</v>
      </c>
      <c r="I33" s="366" t="s">
        <v>29</v>
      </c>
      <c r="J33" s="366">
        <v>1</v>
      </c>
      <c r="K33" s="212">
        <f t="shared" si="5"/>
        <v>2</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1</v>
      </c>
      <c r="I34" s="366" t="s">
        <v>29</v>
      </c>
      <c r="J34" s="366">
        <v>0</v>
      </c>
      <c r="K34" s="212" t="str">
        <f t="shared" si="5"/>
        <v>1</v>
      </c>
      <c r="L34" s="210">
        <f>VLOOKUP($B34,Invulblad!$A$11:$S$103,13,0)</f>
        <v>2</v>
      </c>
      <c r="M34" s="211">
        <f>IF(L34&lt;&gt;"",VLOOKUP($B34,Invulblad!$A$11:$S$103,7,0),"")</f>
        <v>1</v>
      </c>
      <c r="N34" s="209" t="s">
        <v>29</v>
      </c>
      <c r="O34" s="211">
        <f>IF(L34&lt;&gt;"",VLOOKUP($B34,Invulblad!$A$11:$S$103,9,0),"")</f>
        <v>4</v>
      </c>
      <c r="P34" s="212">
        <f t="shared" si="8"/>
        <v>0</v>
      </c>
    </row>
    <row r="35" spans="1:16">
      <c r="A35" s="188">
        <v>22</v>
      </c>
      <c r="B35" s="195">
        <v>38</v>
      </c>
      <c r="C35" s="332">
        <v>41814</v>
      </c>
      <c r="D35" s="333">
        <v>0.91666666666666663</v>
      </c>
      <c r="E35" s="189" t="s">
        <v>233</v>
      </c>
      <c r="F35" s="189" t="s">
        <v>29</v>
      </c>
      <c r="G35" s="189" t="s">
        <v>125</v>
      </c>
      <c r="H35" s="366">
        <v>0</v>
      </c>
      <c r="I35" s="366" t="s">
        <v>29</v>
      </c>
      <c r="J35" s="366">
        <v>0</v>
      </c>
      <c r="K35" s="212">
        <f t="shared" si="5"/>
        <v>3</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2</v>
      </c>
      <c r="I38" s="366" t="s">
        <v>29</v>
      </c>
      <c r="J38" s="366">
        <v>0</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0</v>
      </c>
      <c r="I39" s="366" t="s">
        <v>29</v>
      </c>
      <c r="J39" s="366">
        <v>0</v>
      </c>
      <c r="K39" s="212">
        <f t="shared" si="5"/>
        <v>3</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1</v>
      </c>
      <c r="I40" s="366" t="s">
        <v>29</v>
      </c>
      <c r="J40" s="366">
        <v>0</v>
      </c>
      <c r="K40" s="212" t="str">
        <f t="shared" si="5"/>
        <v>1</v>
      </c>
      <c r="L40" s="210" t="str">
        <f>VLOOKUP($B40,Invulblad!$A$11:$S$103,13,0)</f>
        <v>1</v>
      </c>
      <c r="M40" s="211">
        <f>IF(L40&lt;&gt;"",VLOOKUP($B40,Invulblad!$A$11:$S$103,7,0),"")</f>
        <v>2</v>
      </c>
      <c r="N40" s="209" t="s">
        <v>29</v>
      </c>
      <c r="O40" s="211">
        <f>IF(L40&lt;&gt;"",VLOOKUP($B40,Invulblad!$A$11:$S$103,9,0),"")</f>
        <v>1</v>
      </c>
      <c r="P40" s="212">
        <f t="shared" si="9"/>
        <v>5</v>
      </c>
    </row>
    <row r="41" spans="1:16">
      <c r="A41" s="188">
        <v>28</v>
      </c>
      <c r="B41" s="195">
        <v>24</v>
      </c>
      <c r="C41" s="332">
        <v>41810</v>
      </c>
      <c r="D41" s="333">
        <v>0.75</v>
      </c>
      <c r="E41" s="189" t="s">
        <v>564</v>
      </c>
      <c r="F41" s="189" t="s">
        <v>29</v>
      </c>
      <c r="G41" s="189" t="s">
        <v>430</v>
      </c>
      <c r="H41" s="366">
        <v>1</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0</v>
      </c>
      <c r="I42" s="366" t="s">
        <v>29</v>
      </c>
      <c r="J42" s="366">
        <v>0</v>
      </c>
      <c r="K42" s="212">
        <f t="shared" si="5"/>
        <v>3</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2</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0</v>
      </c>
      <c r="I46" s="366" t="s">
        <v>29</v>
      </c>
      <c r="J46" s="366">
        <v>0</v>
      </c>
      <c r="K46" s="212">
        <f t="shared" si="5"/>
        <v>3</v>
      </c>
      <c r="L46" s="210" t="str">
        <f>VLOOKUP($B46,Invulblad!$A$11:$S$103,13,0)</f>
        <v>1</v>
      </c>
      <c r="M46" s="211">
        <f>IF(L46&lt;&gt;"",VLOOKUP($B46,Invulblad!$A$11:$S$103,7,0),"")</f>
        <v>2</v>
      </c>
      <c r="N46" s="209" t="s">
        <v>29</v>
      </c>
      <c r="O46" s="211">
        <f>IF(L46&lt;&gt;"",VLOOKUP($B46,Invulblad!$A$11:$S$103,9,0),"")</f>
        <v>1</v>
      </c>
      <c r="P46" s="212">
        <f t="shared" ref="P46:P51" si="10">IF(L46&lt;&gt;"",IF(AND(M46=H46,O46=J46),10,IF(K46=L46,5,0)),"")</f>
        <v>0</v>
      </c>
    </row>
    <row r="47" spans="1:16">
      <c r="A47" s="188">
        <v>34</v>
      </c>
      <c r="B47" s="195">
        <v>10</v>
      </c>
      <c r="C47" s="332">
        <v>41805</v>
      </c>
      <c r="D47" s="333">
        <v>0.875</v>
      </c>
      <c r="E47" s="189" t="s">
        <v>100</v>
      </c>
      <c r="F47" s="189" t="s">
        <v>29</v>
      </c>
      <c r="G47" s="189" t="s">
        <v>132</v>
      </c>
      <c r="H47" s="366">
        <v>2</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1</v>
      </c>
      <c r="I48" s="366" t="s">
        <v>29</v>
      </c>
      <c r="J48" s="366">
        <v>2</v>
      </c>
      <c r="K48" s="212">
        <f t="shared" si="5"/>
        <v>2</v>
      </c>
      <c r="L48" s="210">
        <f>VLOOKUP($B48,Invulblad!$A$11:$S$103,13,0)</f>
        <v>2</v>
      </c>
      <c r="M48" s="211">
        <f>IF(L48&lt;&gt;"",VLOOKUP($B48,Invulblad!$A$11:$S$103,7,0),"")</f>
        <v>2</v>
      </c>
      <c r="N48" s="209" t="s">
        <v>29</v>
      </c>
      <c r="O48" s="211">
        <f>IF(L48&lt;&gt;"",VLOOKUP($B48,Invulblad!$A$11:$S$103,9,0),"")</f>
        <v>5</v>
      </c>
      <c r="P48" s="212">
        <f t="shared" si="10"/>
        <v>5</v>
      </c>
    </row>
    <row r="49" spans="1:16">
      <c r="A49" s="188">
        <v>36</v>
      </c>
      <c r="B49" s="195">
        <v>26</v>
      </c>
      <c r="C49" s="332">
        <v>41811</v>
      </c>
      <c r="D49" s="333">
        <v>0</v>
      </c>
      <c r="E49" s="189" t="s">
        <v>127</v>
      </c>
      <c r="F49" s="189" t="s">
        <v>29</v>
      </c>
      <c r="G49" s="189" t="s">
        <v>434</v>
      </c>
      <c r="H49" s="366">
        <v>0</v>
      </c>
      <c r="I49" s="366" t="s">
        <v>29</v>
      </c>
      <c r="J49" s="366">
        <v>1</v>
      </c>
      <c r="K49" s="212">
        <f t="shared" si="5"/>
        <v>2</v>
      </c>
      <c r="L49" s="210">
        <f>VLOOKUP($B49,Invulblad!$A$11:$S$103,13,0)</f>
        <v>2</v>
      </c>
      <c r="M49" s="211">
        <f>IF(L49&lt;&gt;"",VLOOKUP($B49,Invulblad!$A$11:$S$103,7,0),"")</f>
        <v>1</v>
      </c>
      <c r="N49" s="209" t="s">
        <v>29</v>
      </c>
      <c r="O49" s="211">
        <f>IF(L49&lt;&gt;"",VLOOKUP($B49,Invulblad!$A$11:$S$103,9,0),"")</f>
        <v>2</v>
      </c>
      <c r="P49" s="212">
        <f t="shared" si="10"/>
        <v>5</v>
      </c>
    </row>
    <row r="50" spans="1:16">
      <c r="A50" s="188">
        <v>37</v>
      </c>
      <c r="B50" s="195">
        <v>41</v>
      </c>
      <c r="C50" s="332">
        <v>41815</v>
      </c>
      <c r="D50" s="333">
        <v>0.91666666666666663</v>
      </c>
      <c r="E50" s="189" t="s">
        <v>127</v>
      </c>
      <c r="F50" s="189" t="s">
        <v>29</v>
      </c>
      <c r="G50" s="189" t="s">
        <v>130</v>
      </c>
      <c r="H50" s="366">
        <v>1</v>
      </c>
      <c r="I50" s="366" t="s">
        <v>29</v>
      </c>
      <c r="J50" s="366">
        <v>2</v>
      </c>
      <c r="K50" s="212">
        <f t="shared" ref="K50:K85" si="11">IF(AND(H50="",J50=""),"",IF(OR(H50="",J50=""),"FOUT",IF(H50&gt;J50,"1",IF(H50=J50,3,2))))</f>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1</v>
      </c>
      <c r="I51" s="366" t="s">
        <v>29</v>
      </c>
      <c r="J51" s="366">
        <v>2</v>
      </c>
      <c r="K51" s="212">
        <f t="shared" si="11"/>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367"/>
      <c r="I52" s="367"/>
      <c r="J52" s="367"/>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2</v>
      </c>
      <c r="I54" s="366" t="s">
        <v>29</v>
      </c>
      <c r="J54" s="366">
        <v>1</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10</v>
      </c>
    </row>
    <row r="55" spans="1:16">
      <c r="A55" s="188">
        <v>42</v>
      </c>
      <c r="B55" s="195">
        <v>12</v>
      </c>
      <c r="C55" s="332">
        <v>41806</v>
      </c>
      <c r="D55" s="333">
        <v>0.875</v>
      </c>
      <c r="E55" s="189" t="s">
        <v>438</v>
      </c>
      <c r="F55" s="189" t="s">
        <v>29</v>
      </c>
      <c r="G55" s="189" t="s">
        <v>103</v>
      </c>
      <c r="H55" s="366">
        <v>0</v>
      </c>
      <c r="I55" s="366" t="s">
        <v>29</v>
      </c>
      <c r="J55" s="366">
        <v>1</v>
      </c>
      <c r="K55" s="212">
        <f t="shared" si="11"/>
        <v>2</v>
      </c>
      <c r="L55" s="210">
        <f>VLOOKUP($B55,Invulblad!$A$11:$S$103,13,0)</f>
        <v>3</v>
      </c>
      <c r="M55" s="211">
        <f>IF(L55&lt;&gt;"",VLOOKUP($B55,Invulblad!$A$11:$S$103,7,0),"")</f>
        <v>0</v>
      </c>
      <c r="N55" s="209" t="s">
        <v>29</v>
      </c>
      <c r="O55" s="211">
        <f>IF(L55&lt;&gt;"",VLOOKUP($B55,Invulblad!$A$11:$S$103,9,0),"")</f>
        <v>0</v>
      </c>
      <c r="P55" s="212">
        <f t="shared" si="12"/>
        <v>0</v>
      </c>
    </row>
    <row r="56" spans="1:16">
      <c r="A56" s="188">
        <v>43</v>
      </c>
      <c r="B56" s="195">
        <v>27</v>
      </c>
      <c r="C56" s="332">
        <v>41811</v>
      </c>
      <c r="D56" s="333">
        <v>0.75</v>
      </c>
      <c r="E56" s="189" t="s">
        <v>565</v>
      </c>
      <c r="F56" s="189" t="s">
        <v>29</v>
      </c>
      <c r="G56" s="189" t="s">
        <v>439</v>
      </c>
      <c r="H56" s="366">
        <v>2</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0</v>
      </c>
      <c r="I57" s="366" t="s">
        <v>29</v>
      </c>
      <c r="J57" s="366">
        <v>1</v>
      </c>
      <c r="K57" s="212">
        <f t="shared" si="11"/>
        <v>2</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1</v>
      </c>
      <c r="I58" s="366" t="s">
        <v>29</v>
      </c>
      <c r="J58" s="366">
        <v>2</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2</v>
      </c>
      <c r="I59" s="366" t="s">
        <v>29</v>
      </c>
      <c r="J59" s="366">
        <v>1</v>
      </c>
      <c r="K59" s="212" t="str">
        <f t="shared" si="11"/>
        <v>1</v>
      </c>
      <c r="L59" s="210" t="str">
        <f>VLOOKUP($B59,Invulblad!$A$11:$S$103,13,0)</f>
        <v>1</v>
      </c>
      <c r="M59" s="211">
        <f>IF(L59&lt;&gt;"",VLOOKUP($B59,Invulblad!$A$11:$S$103,7,0),"")</f>
        <v>3</v>
      </c>
      <c r="N59" s="209" t="s">
        <v>29</v>
      </c>
      <c r="O59" s="211">
        <f>IF(L59&lt;&gt;"",VLOOKUP($B59,Invulblad!$A$11:$S$103,9,0),"")</f>
        <v>1</v>
      </c>
      <c r="P59" s="212">
        <f t="shared" si="12"/>
        <v>5</v>
      </c>
    </row>
    <row r="60" spans="1:16">
      <c r="A60" s="188">
        <v>47</v>
      </c>
      <c r="B60" s="201" t="s">
        <v>36</v>
      </c>
      <c r="H60" s="367"/>
      <c r="I60" s="367"/>
      <c r="J60" s="367"/>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1</v>
      </c>
      <c r="I62" s="366" t="s">
        <v>29</v>
      </c>
      <c r="J62" s="366">
        <v>1</v>
      </c>
      <c r="K62" s="212">
        <f t="shared" si="11"/>
        <v>3</v>
      </c>
      <c r="L62" s="210" t="str">
        <f>VLOOKUP($B62,Invulblad!$A$11:$S$103,13,0)</f>
        <v>1</v>
      </c>
      <c r="M62" s="211">
        <f>IF(L62&lt;&gt;"",VLOOKUP($B62,Invulblad!$A$11:$S$103,7,0),"")</f>
        <v>4</v>
      </c>
      <c r="N62" s="209" t="s">
        <v>29</v>
      </c>
      <c r="O62" s="211">
        <f>IF(L62&lt;&gt;"",VLOOKUP($B62,Invulblad!$A$11:$S$103,9,0),"")</f>
        <v>0</v>
      </c>
      <c r="P62" s="212">
        <f t="shared" ref="P62:P67" si="13">IF(L62&lt;&gt;"",IF(AND(M62=H62,O62=J62),10,IF(K62=L62,5,0)),"")</f>
        <v>0</v>
      </c>
    </row>
    <row r="63" spans="1:16">
      <c r="A63" s="188">
        <v>50</v>
      </c>
      <c r="B63" s="195">
        <v>14</v>
      </c>
      <c r="C63" s="332">
        <v>41807</v>
      </c>
      <c r="D63" s="333">
        <v>0</v>
      </c>
      <c r="E63" s="189" t="s">
        <v>115</v>
      </c>
      <c r="F63" s="189" t="s">
        <v>29</v>
      </c>
      <c r="G63" s="189" t="s">
        <v>577</v>
      </c>
      <c r="H63" s="366">
        <v>2</v>
      </c>
      <c r="I63" s="366" t="s">
        <v>29</v>
      </c>
      <c r="J63" s="366">
        <v>1</v>
      </c>
      <c r="K63" s="212" t="str">
        <f t="shared" si="11"/>
        <v>1</v>
      </c>
      <c r="L63" s="210">
        <f>VLOOKUP($B63,Invulblad!$A$11:$S$103,13,0)</f>
        <v>2</v>
      </c>
      <c r="M63" s="211">
        <f>IF(L63&lt;&gt;"",VLOOKUP($B63,Invulblad!$A$11:$S$103,7,0),"")</f>
        <v>1</v>
      </c>
      <c r="N63" s="209" t="s">
        <v>29</v>
      </c>
      <c r="O63" s="211">
        <f>IF(L63&lt;&gt;"",VLOOKUP($B63,Invulblad!$A$11:$S$103,9,0),"")</f>
        <v>2</v>
      </c>
      <c r="P63" s="212">
        <f t="shared" si="13"/>
        <v>0</v>
      </c>
    </row>
    <row r="64" spans="1:16">
      <c r="A64" s="188">
        <v>51</v>
      </c>
      <c r="B64" s="195">
        <v>29</v>
      </c>
      <c r="C64" s="332">
        <v>41811</v>
      </c>
      <c r="D64" s="333">
        <v>0.875</v>
      </c>
      <c r="E64" s="189" t="s">
        <v>113</v>
      </c>
      <c r="F64" s="189" t="s">
        <v>29</v>
      </c>
      <c r="G64" s="189" t="s">
        <v>114</v>
      </c>
      <c r="H64" s="366">
        <v>2</v>
      </c>
      <c r="I64" s="366" t="s">
        <v>29</v>
      </c>
      <c r="J64" s="366">
        <v>0</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0</v>
      </c>
      <c r="I65" s="366" t="s">
        <v>29</v>
      </c>
      <c r="J65" s="366">
        <v>0</v>
      </c>
      <c r="K65" s="212">
        <f t="shared" si="11"/>
        <v>3</v>
      </c>
      <c r="L65" s="210">
        <f>VLOOKUP($B65,Invulblad!$A$11:$S$103,13,0)</f>
        <v>3</v>
      </c>
      <c r="M65" s="211">
        <f>IF(L65&lt;&gt;"",VLOOKUP($B65,Invulblad!$A$11:$S$103,7,0),"")</f>
        <v>2</v>
      </c>
      <c r="N65" s="209" t="s">
        <v>29</v>
      </c>
      <c r="O65" s="211">
        <f>IF(L65&lt;&gt;"",VLOOKUP($B65,Invulblad!$A$11:$S$103,9,0),"")</f>
        <v>2</v>
      </c>
      <c r="P65" s="212">
        <f t="shared" si="13"/>
        <v>5</v>
      </c>
    </row>
    <row r="66" spans="1:16">
      <c r="A66" s="188">
        <v>53</v>
      </c>
      <c r="B66" s="195">
        <v>45</v>
      </c>
      <c r="C66" s="332">
        <v>41816</v>
      </c>
      <c r="D66" s="333">
        <v>0.75</v>
      </c>
      <c r="E66" s="189" t="s">
        <v>578</v>
      </c>
      <c r="F66" s="189" t="s">
        <v>29</v>
      </c>
      <c r="G66" s="189" t="s">
        <v>116</v>
      </c>
      <c r="H66" s="366">
        <v>1</v>
      </c>
      <c r="I66" s="366" t="s">
        <v>29</v>
      </c>
      <c r="J66" s="366">
        <v>2</v>
      </c>
      <c r="K66" s="212">
        <f t="shared" si="11"/>
        <v>2</v>
      </c>
      <c r="L66" s="210">
        <f>VLOOKUP($B66,Invulblad!$A$11:$S$103,13,0)</f>
        <v>2</v>
      </c>
      <c r="M66" s="211">
        <f>IF(L66&lt;&gt;"",VLOOKUP($B66,Invulblad!$A$11:$S$103,7,0),"")</f>
        <v>0</v>
      </c>
      <c r="N66" s="209" t="s">
        <v>29</v>
      </c>
      <c r="O66" s="211">
        <f>IF(L66&lt;&gt;"",VLOOKUP($B66,Invulblad!$A$11:$S$103,9,0),"")</f>
        <v>1</v>
      </c>
      <c r="P66" s="212">
        <f t="shared" si="13"/>
        <v>5</v>
      </c>
    </row>
    <row r="67" spans="1:16">
      <c r="A67" s="188">
        <v>54</v>
      </c>
      <c r="B67" s="195">
        <v>46</v>
      </c>
      <c r="C67" s="332">
        <v>41816</v>
      </c>
      <c r="D67" s="333">
        <v>0.75</v>
      </c>
      <c r="E67" s="189" t="s">
        <v>126</v>
      </c>
      <c r="F67" s="189" t="s">
        <v>29</v>
      </c>
      <c r="G67" s="189" t="s">
        <v>114</v>
      </c>
      <c r="H67" s="366">
        <v>1</v>
      </c>
      <c r="I67" s="366" t="s">
        <v>29</v>
      </c>
      <c r="J67" s="366">
        <v>0</v>
      </c>
      <c r="K67" s="212" t="str">
        <f t="shared" si="11"/>
        <v>1</v>
      </c>
      <c r="L67" s="210" t="str">
        <f>VLOOKUP($B67,Invulblad!$A$11:$S$103,13,0)</f>
        <v>1</v>
      </c>
      <c r="M67" s="211">
        <f>IF(L67&lt;&gt;"",VLOOKUP($B67,Invulblad!$A$11:$S$103,7,0),"")</f>
        <v>2</v>
      </c>
      <c r="N67" s="209" t="s">
        <v>29</v>
      </c>
      <c r="O67" s="211">
        <f>IF(L67&lt;&gt;"",VLOOKUP($B67,Invulblad!$A$11:$S$103,9,0),"")</f>
        <v>1</v>
      </c>
      <c r="P67" s="212">
        <f t="shared" si="13"/>
        <v>5</v>
      </c>
    </row>
    <row r="68" spans="1:16">
      <c r="A68" s="188">
        <v>55</v>
      </c>
      <c r="B68" s="201" t="s">
        <v>37</v>
      </c>
      <c r="H68" s="367"/>
      <c r="I68" s="367"/>
      <c r="J68" s="367"/>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2</v>
      </c>
      <c r="I70" s="366" t="s">
        <v>29</v>
      </c>
      <c r="J70" s="366">
        <v>0</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c r="A71" s="188">
        <v>58</v>
      </c>
      <c r="B71" s="195">
        <v>16</v>
      </c>
      <c r="C71" s="332">
        <v>41808</v>
      </c>
      <c r="D71" s="333">
        <v>0</v>
      </c>
      <c r="E71" s="189" t="s">
        <v>445</v>
      </c>
      <c r="F71" s="189" t="s">
        <v>29</v>
      </c>
      <c r="G71" s="189" t="s">
        <v>107</v>
      </c>
      <c r="H71" s="366">
        <v>1</v>
      </c>
      <c r="I71" s="366" t="s">
        <v>29</v>
      </c>
      <c r="J71" s="366">
        <v>0</v>
      </c>
      <c r="K71" s="212" t="str">
        <f t="shared" si="11"/>
        <v>1</v>
      </c>
      <c r="L71" s="210">
        <f>VLOOKUP($B71,Invulblad!$A$11:$S$103,13,0)</f>
        <v>3</v>
      </c>
      <c r="M71" s="211">
        <f>IF(L71&lt;&gt;"",VLOOKUP($B71,Invulblad!$A$11:$S$103,7,0),"")</f>
        <v>1</v>
      </c>
      <c r="N71" s="209" t="s">
        <v>29</v>
      </c>
      <c r="O71" s="211">
        <f>IF(L71&lt;&gt;"",VLOOKUP($B71,Invulblad!$A$11:$S$103,9,0),"")</f>
        <v>1</v>
      </c>
      <c r="P71" s="212">
        <f t="shared" si="14"/>
        <v>0</v>
      </c>
    </row>
    <row r="72" spans="1:16">
      <c r="A72" s="188">
        <v>59</v>
      </c>
      <c r="B72" s="195">
        <v>31</v>
      </c>
      <c r="C72" s="332">
        <v>41812</v>
      </c>
      <c r="D72" s="333">
        <v>0.75</v>
      </c>
      <c r="E72" s="189" t="s">
        <v>569</v>
      </c>
      <c r="F72" s="189" t="s">
        <v>29</v>
      </c>
      <c r="G72" s="189" t="s">
        <v>446</v>
      </c>
      <c r="H72" s="366">
        <v>1</v>
      </c>
      <c r="I72" s="366" t="s">
        <v>29</v>
      </c>
      <c r="J72" s="366">
        <v>1</v>
      </c>
      <c r="K72" s="212">
        <f t="shared" si="11"/>
        <v>3</v>
      </c>
      <c r="L72" s="210" t="str">
        <f>VLOOKUP($B72,Invulblad!$A$11:$S$103,13,0)</f>
        <v>1</v>
      </c>
      <c r="M72" s="211">
        <f>IF(L72&lt;&gt;"",VLOOKUP($B72,Invulblad!$A$11:$S$103,7,0),"")</f>
        <v>1</v>
      </c>
      <c r="N72" s="209" t="s">
        <v>29</v>
      </c>
      <c r="O72" s="211">
        <f>IF(L72&lt;&gt;"",VLOOKUP($B72,Invulblad!$A$11:$S$103,9,0),"")</f>
        <v>0</v>
      </c>
      <c r="P72" s="212">
        <f t="shared" si="14"/>
        <v>0</v>
      </c>
    </row>
    <row r="73" spans="1:16">
      <c r="A73" s="188">
        <v>60</v>
      </c>
      <c r="B73" s="195">
        <v>32</v>
      </c>
      <c r="C73" s="332">
        <v>41812</v>
      </c>
      <c r="D73" s="333">
        <v>0.875</v>
      </c>
      <c r="E73" s="189" t="s">
        <v>232</v>
      </c>
      <c r="F73" s="189" t="s">
        <v>29</v>
      </c>
      <c r="G73" s="189" t="s">
        <v>111</v>
      </c>
      <c r="H73" s="366">
        <v>1</v>
      </c>
      <c r="I73" s="366" t="s">
        <v>29</v>
      </c>
      <c r="J73" s="366">
        <v>1</v>
      </c>
      <c r="K73" s="212">
        <f t="shared" si="11"/>
        <v>3</v>
      </c>
      <c r="L73" s="210">
        <f>VLOOKUP($B73,Invulblad!$A$11:$S$103,13,0)</f>
        <v>2</v>
      </c>
      <c r="M73" s="211">
        <f>IF(L73&lt;&gt;"",VLOOKUP($B73,Invulblad!$A$11:$S$103,7,0),"")</f>
        <v>2</v>
      </c>
      <c r="N73" s="209" t="s">
        <v>29</v>
      </c>
      <c r="O73" s="211">
        <f>IF(L73&lt;&gt;"",VLOOKUP($B73,Invulblad!$A$11:$S$103,9,0),"")</f>
        <v>4</v>
      </c>
      <c r="P73" s="212">
        <f t="shared" si="14"/>
        <v>0</v>
      </c>
    </row>
    <row r="74" spans="1:16">
      <c r="A74" s="188">
        <v>61</v>
      </c>
      <c r="B74" s="195">
        <v>47</v>
      </c>
      <c r="C74" s="332">
        <v>41816</v>
      </c>
      <c r="D74" s="333">
        <v>0.91666666666666663</v>
      </c>
      <c r="E74" s="189" t="s">
        <v>232</v>
      </c>
      <c r="F74" s="189" t="s">
        <v>29</v>
      </c>
      <c r="G74" s="189" t="s">
        <v>570</v>
      </c>
      <c r="H74" s="366">
        <v>1</v>
      </c>
      <c r="I74" s="366" t="s">
        <v>29</v>
      </c>
      <c r="J74" s="366">
        <v>2</v>
      </c>
      <c r="K74" s="212">
        <f t="shared" si="11"/>
        <v>2</v>
      </c>
      <c r="L74" s="210">
        <f>VLOOKUP($B74,Invulblad!$A$11:$S$103,13,0)</f>
        <v>2</v>
      </c>
      <c r="M74" s="211">
        <f>IF(L74&lt;&gt;"",VLOOKUP($B74,Invulblad!$A$11:$S$103,7,0),"")</f>
        <v>0</v>
      </c>
      <c r="N74" s="209" t="s">
        <v>29</v>
      </c>
      <c r="O74" s="211">
        <f>IF(L74&lt;&gt;"",VLOOKUP($B74,Invulblad!$A$11:$S$103,9,0),"")</f>
        <v>1</v>
      </c>
      <c r="P74" s="212">
        <f t="shared" si="14"/>
        <v>5</v>
      </c>
    </row>
    <row r="75" spans="1:16">
      <c r="A75" s="188">
        <v>62</v>
      </c>
      <c r="B75" s="195">
        <v>48</v>
      </c>
      <c r="C75" s="332">
        <v>41816</v>
      </c>
      <c r="D75" s="333">
        <v>0.91666666666666663</v>
      </c>
      <c r="E75" s="189" t="s">
        <v>236</v>
      </c>
      <c r="F75" s="189" t="s">
        <v>29</v>
      </c>
      <c r="G75" s="189" t="s">
        <v>446</v>
      </c>
      <c r="H75" s="366">
        <v>1</v>
      </c>
      <c r="I75" s="366" t="s">
        <v>29</v>
      </c>
      <c r="J75" s="366">
        <v>1</v>
      </c>
      <c r="K75" s="212">
        <f t="shared" si="11"/>
        <v>3</v>
      </c>
      <c r="L75" s="210">
        <f>VLOOKUP($B75,Invulblad!$A$11:$S$103,13,0)</f>
        <v>3</v>
      </c>
      <c r="M75" s="211">
        <f>IF(L75&lt;&gt;"",VLOOKUP($B75,Invulblad!$A$11:$S$103,7,0),"")</f>
        <v>1</v>
      </c>
      <c r="N75" s="209" t="s">
        <v>29</v>
      </c>
      <c r="O75" s="211">
        <f>IF(L75&lt;&gt;"",VLOOKUP($B75,Invulblad!$A$11:$S$103,9,0),"")</f>
        <v>1</v>
      </c>
      <c r="P75" s="212">
        <f t="shared" si="14"/>
        <v>10</v>
      </c>
    </row>
    <row r="76" spans="1:16">
      <c r="A76" s="188">
        <v>63</v>
      </c>
      <c r="B76" s="201" t="s">
        <v>86</v>
      </c>
      <c r="H76" s="367"/>
      <c r="I76" s="367"/>
      <c r="J76" s="367"/>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207</v>
      </c>
      <c r="H78" s="366">
        <v>2</v>
      </c>
      <c r="I78" s="366" t="s">
        <v>29</v>
      </c>
      <c r="J78" s="366">
        <v>0</v>
      </c>
      <c r="K78" s="212" t="str">
        <f t="shared" si="11"/>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106</v>
      </c>
      <c r="F79" s="189" t="s">
        <v>29</v>
      </c>
      <c r="G79" s="189" t="s">
        <v>193</v>
      </c>
      <c r="H79" s="366">
        <v>0</v>
      </c>
      <c r="I79" s="366" t="s">
        <v>29</v>
      </c>
      <c r="J79" s="366">
        <v>0</v>
      </c>
      <c r="K79" s="212">
        <f t="shared" si="11"/>
        <v>3</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138</v>
      </c>
      <c r="F80" s="189" t="s">
        <v>29</v>
      </c>
      <c r="G80" s="189" t="s">
        <v>152</v>
      </c>
      <c r="H80" s="366">
        <v>1</v>
      </c>
      <c r="I80" s="366" t="s">
        <v>29</v>
      </c>
      <c r="J80" s="366">
        <v>0</v>
      </c>
      <c r="K80" s="212" t="str">
        <f t="shared" si="11"/>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97</v>
      </c>
      <c r="F81" s="189" t="s">
        <v>29</v>
      </c>
      <c r="G81" s="189" t="s">
        <v>187</v>
      </c>
      <c r="H81" s="366">
        <v>1</v>
      </c>
      <c r="I81" s="366" t="s">
        <v>29</v>
      </c>
      <c r="J81" s="366">
        <v>0</v>
      </c>
      <c r="K81" s="212" t="str">
        <f t="shared" si="11"/>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143</v>
      </c>
      <c r="F82" s="189" t="s">
        <v>29</v>
      </c>
      <c r="G82" s="189" t="s">
        <v>572</v>
      </c>
      <c r="H82" s="366">
        <v>2</v>
      </c>
      <c r="I82" s="366" t="s">
        <v>29</v>
      </c>
      <c r="J82" s="366">
        <v>1</v>
      </c>
      <c r="K82" s="212" t="str">
        <f t="shared" si="11"/>
        <v>1</v>
      </c>
      <c r="L82" s="210" t="str">
        <f>VLOOKUP($B82,Invulblad!$A$11:$S$103,13,0)</f>
        <v>1</v>
      </c>
      <c r="M82" s="211">
        <f>IF(L82&lt;&gt;"",VLOOKUP($B82,Invulblad!$A$11:$S$103,7,0),"")</f>
        <v>2</v>
      </c>
      <c r="N82" s="209" t="s">
        <v>29</v>
      </c>
      <c r="O82" s="211">
        <f>IF(L82&lt;&gt;"",VLOOKUP($B82,Invulblad!$A$11:$S$103,9,0),"")</f>
        <v>0</v>
      </c>
      <c r="P82" s="212">
        <f t="shared" si="15"/>
        <v>5</v>
      </c>
    </row>
    <row r="83" spans="1:16">
      <c r="A83" s="188">
        <v>70</v>
      </c>
      <c r="B83" s="195">
        <v>54</v>
      </c>
      <c r="C83" s="332">
        <v>41820</v>
      </c>
      <c r="D83" s="333">
        <v>0.91666666666666663</v>
      </c>
      <c r="E83" s="189" t="s">
        <v>177</v>
      </c>
      <c r="F83" s="189" t="s">
        <v>29</v>
      </c>
      <c r="G83" s="189" t="s">
        <v>396</v>
      </c>
      <c r="H83" s="366">
        <v>2</v>
      </c>
      <c r="I83" s="366" t="s">
        <v>29</v>
      </c>
      <c r="J83" s="366">
        <v>0</v>
      </c>
      <c r="K83" s="212" t="str">
        <f t="shared" si="11"/>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209</v>
      </c>
      <c r="H84" s="366">
        <v>2</v>
      </c>
      <c r="I84" s="366" t="s">
        <v>29</v>
      </c>
      <c r="J84" s="366">
        <v>1</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395</v>
      </c>
      <c r="F85" s="189" t="s">
        <v>29</v>
      </c>
      <c r="G85" s="189" t="s">
        <v>202</v>
      </c>
      <c r="H85" s="366">
        <v>1</v>
      </c>
      <c r="I85" s="366" t="s">
        <v>29</v>
      </c>
      <c r="J85" s="366">
        <v>1</v>
      </c>
      <c r="K85" s="212">
        <f t="shared" si="11"/>
        <v>3</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193</v>
      </c>
      <c r="H88" s="366">
        <v>2</v>
      </c>
      <c r="I88" s="366" t="s">
        <v>29</v>
      </c>
      <c r="J88" s="366">
        <v>0</v>
      </c>
      <c r="K88" s="212" t="str">
        <f t="shared" si="16"/>
        <v>1</v>
      </c>
      <c r="L88" s="210" t="str">
        <f>VLOOKUP($B88,Invulblad!$A$11:$S$103,13,0)</f>
        <v>1</v>
      </c>
      <c r="M88" s="211">
        <f>IF(L88&lt;&gt;"",VLOOKUP($B88,Invulblad!$A$11:$S$103,7,0),"")</f>
        <v>2</v>
      </c>
      <c r="N88" s="209" t="s">
        <v>29</v>
      </c>
      <c r="O88" s="211">
        <f>IF(L88&lt;&gt;"",VLOOKUP($B88,Invulblad!$A$11:$S$103,9,0),"")</f>
        <v>1</v>
      </c>
      <c r="P88" s="212">
        <f>IF(L88&lt;&gt;"",IF(AND(M88=H88,O88=J88),10,IF(K88=L88,5,0)),"")</f>
        <v>5</v>
      </c>
    </row>
    <row r="89" spans="1:16">
      <c r="A89" s="188">
        <v>76</v>
      </c>
      <c r="B89" s="195">
        <v>58</v>
      </c>
      <c r="C89" s="332">
        <v>41824</v>
      </c>
      <c r="D89" s="333">
        <v>0.75</v>
      </c>
      <c r="E89" s="189" t="s">
        <v>143</v>
      </c>
      <c r="F89" s="189" t="s">
        <v>29</v>
      </c>
      <c r="G89" s="189" t="s">
        <v>177</v>
      </c>
      <c r="H89" s="366">
        <v>1</v>
      </c>
      <c r="I89" s="366" t="s">
        <v>29</v>
      </c>
      <c r="J89" s="366">
        <v>2</v>
      </c>
      <c r="K89" s="212">
        <f t="shared" si="16"/>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138</v>
      </c>
      <c r="F90" s="189" t="s">
        <v>29</v>
      </c>
      <c r="G90" s="189" t="s">
        <v>97</v>
      </c>
      <c r="H90" s="366">
        <v>0</v>
      </c>
      <c r="I90" s="366" t="s">
        <v>29</v>
      </c>
      <c r="J90" s="366">
        <v>0</v>
      </c>
      <c r="K90" s="212">
        <f t="shared" si="16"/>
        <v>3</v>
      </c>
      <c r="L90" s="210">
        <f>VLOOKUP($B90,Invulblad!$A$11:$S$103,13,0)</f>
        <v>3</v>
      </c>
      <c r="M90" s="211">
        <f>IF(L90&lt;&gt;"",VLOOKUP($B90,Invulblad!$A$11:$S$103,7,0),"")</f>
        <v>0</v>
      </c>
      <c r="N90" s="209" t="s">
        <v>29</v>
      </c>
      <c r="O90" s="211">
        <f>IF(L90&lt;&gt;"",VLOOKUP($B90,Invulblad!$A$11:$S$103,9,0),"")</f>
        <v>0</v>
      </c>
      <c r="P90" s="212">
        <f>IF(L90&lt;&gt;"",IF(AND(M90=H90,O90=J90),10,IF(K90=L90,5,0)),"")</f>
        <v>10</v>
      </c>
    </row>
    <row r="91" spans="1:16">
      <c r="A91" s="188">
        <v>78</v>
      </c>
      <c r="B91" s="195">
        <v>60</v>
      </c>
      <c r="C91" s="332">
        <v>41825</v>
      </c>
      <c r="D91" s="333">
        <v>0.75</v>
      </c>
      <c r="E91" s="189" t="s">
        <v>102</v>
      </c>
      <c r="F91" s="189" t="s">
        <v>29</v>
      </c>
      <c r="G91" s="189" t="s">
        <v>202</v>
      </c>
      <c r="H91" s="366">
        <v>2</v>
      </c>
      <c r="I91" s="366" t="s">
        <v>29</v>
      </c>
      <c r="J91" s="366">
        <v>0</v>
      </c>
      <c r="K91" s="212" t="str">
        <f t="shared" si="16"/>
        <v>1</v>
      </c>
      <c r="L91" s="210"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H92" s="367"/>
      <c r="I92" s="367"/>
      <c r="J92" s="367"/>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177</v>
      </c>
      <c r="H94" s="366">
        <v>2</v>
      </c>
      <c r="I94" s="366" t="s">
        <v>29</v>
      </c>
      <c r="J94" s="366">
        <v>1</v>
      </c>
      <c r="K94" s="212" t="str">
        <f t="shared" si="16"/>
        <v>1</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97</v>
      </c>
      <c r="F95" s="189" t="s">
        <v>29</v>
      </c>
      <c r="G95" s="189" t="s">
        <v>102</v>
      </c>
      <c r="H95" s="366">
        <v>1</v>
      </c>
      <c r="I95" s="366" t="s">
        <v>29</v>
      </c>
      <c r="J95" s="366">
        <v>2</v>
      </c>
      <c r="K95" s="212">
        <f t="shared" si="16"/>
        <v>2</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367"/>
      <c r="I96" s="367"/>
      <c r="J96" s="367"/>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177</v>
      </c>
      <c r="F98" s="189" t="s">
        <v>29</v>
      </c>
      <c r="G98" s="189" t="s">
        <v>97</v>
      </c>
      <c r="H98" s="366">
        <v>2</v>
      </c>
      <c r="I98" s="366" t="s">
        <v>29</v>
      </c>
      <c r="J98" s="366">
        <v>0</v>
      </c>
      <c r="K98" s="212" t="str">
        <f t="shared" si="16"/>
        <v>1</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367"/>
      <c r="I99" s="367"/>
      <c r="J99" s="367"/>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199</v>
      </c>
      <c r="F101" s="189" t="s">
        <v>29</v>
      </c>
      <c r="G101" s="189" t="s">
        <v>102</v>
      </c>
      <c r="H101" s="366">
        <v>2</v>
      </c>
      <c r="I101" s="366" t="s">
        <v>29</v>
      </c>
      <c r="J101" s="366">
        <v>1</v>
      </c>
      <c r="K101" s="212" t="str">
        <f t="shared" si="16"/>
        <v>1</v>
      </c>
      <c r="L101" s="210" t="str">
        <f>VLOOKUP($B101,Invulblad!$A$11:$S$103,13,0)</f>
        <v>1</v>
      </c>
      <c r="M101" s="211">
        <f>IF(L101&lt;&gt;"",VLOOKUP($B101,Invulblad!$A$11:$S$103,7,0),"")</f>
        <v>1</v>
      </c>
      <c r="N101" s="209" t="s">
        <v>29</v>
      </c>
      <c r="O101" s="211">
        <f>IF(L101&lt;&gt;"",VLOOKUP($B101,Invulblad!$A$11:$S$103,9,0),"")</f>
        <v>0</v>
      </c>
      <c r="P101" s="212">
        <f>IF(L101&lt;&gt;"",IF(AND(M101=H101,O101=J101),10,IF(K101=L101,5,0)),"")</f>
        <v>5</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152</v>
      </c>
    </row>
    <row r="112" spans="1:16">
      <c r="B112" s="201" t="s">
        <v>144</v>
      </c>
    </row>
    <row r="114" spans="2:15">
      <c r="B114" s="215" t="s">
        <v>145</v>
      </c>
      <c r="C114" s="215" t="s">
        <v>146</v>
      </c>
      <c r="D114" s="215" t="s">
        <v>147</v>
      </c>
      <c r="E114" s="215" t="s">
        <v>148</v>
      </c>
    </row>
    <row r="115" spans="2:15">
      <c r="B115" s="216" t="s">
        <v>199</v>
      </c>
      <c r="C115" s="216" t="s">
        <v>172</v>
      </c>
      <c r="D115" s="216" t="s">
        <v>153</v>
      </c>
      <c r="E115" s="216" t="s">
        <v>155</v>
      </c>
    </row>
    <row r="116" spans="2:15">
      <c r="B116" s="217" t="s">
        <v>389</v>
      </c>
      <c r="C116" s="217" t="s">
        <v>149</v>
      </c>
      <c r="D116" s="217" t="s">
        <v>150</v>
      </c>
      <c r="E116" s="217" t="s">
        <v>149</v>
      </c>
    </row>
    <row r="117" spans="2:15">
      <c r="B117" s="216" t="s">
        <v>152</v>
      </c>
      <c r="C117" s="216" t="s">
        <v>155</v>
      </c>
      <c r="D117" s="216" t="s">
        <v>153</v>
      </c>
      <c r="E117" s="216" t="s">
        <v>149</v>
      </c>
    </row>
    <row r="118" spans="2:15">
      <c r="B118" s="217" t="s">
        <v>185</v>
      </c>
      <c r="C118" s="217" t="s">
        <v>150</v>
      </c>
      <c r="D118" s="217" t="s">
        <v>180</v>
      </c>
      <c r="E118" s="217" t="s">
        <v>153</v>
      </c>
    </row>
    <row r="121" spans="2:15">
      <c r="B121" s="201" t="s">
        <v>157</v>
      </c>
    </row>
    <row r="122" spans="2:15">
      <c r="B122" s="195"/>
    </row>
    <row r="123" spans="2:15">
      <c r="B123" s="195" t="s">
        <v>158</v>
      </c>
    </row>
    <row r="124" spans="2:15">
      <c r="B124" s="195" t="s">
        <v>251</v>
      </c>
    </row>
    <row r="127" spans="2:15">
      <c r="B127" s="218"/>
      <c r="C127" s="218"/>
      <c r="D127" s="218"/>
      <c r="E127" s="218"/>
      <c r="F127" s="218"/>
      <c r="G127" s="218"/>
      <c r="H127" s="364"/>
      <c r="I127" s="364"/>
      <c r="J127" s="364"/>
      <c r="K127" s="218"/>
      <c r="L127" s="219"/>
      <c r="M127" s="218"/>
      <c r="N127" s="218"/>
      <c r="O127" s="218"/>
    </row>
    <row r="130" spans="1:5">
      <c r="B130" s="201" t="s">
        <v>160</v>
      </c>
    </row>
    <row r="132" spans="1:5">
      <c r="A132" s="227" t="s">
        <v>67</v>
      </c>
      <c r="B132" s="189" t="s">
        <v>140</v>
      </c>
      <c r="C132" s="189" t="s">
        <v>141</v>
      </c>
      <c r="D132" s="201" t="s">
        <v>138</v>
      </c>
    </row>
    <row r="133" spans="1:5">
      <c r="A133" s="188" t="s">
        <v>68</v>
      </c>
      <c r="B133" s="189" t="s">
        <v>142</v>
      </c>
      <c r="C133" s="189" t="s">
        <v>141</v>
      </c>
      <c r="D133" s="201" t="s">
        <v>207</v>
      </c>
    </row>
    <row r="136" spans="1:5">
      <c r="B136" s="201" t="s">
        <v>161</v>
      </c>
    </row>
    <row r="138" spans="1:5">
      <c r="B138" s="215" t="s">
        <v>145</v>
      </c>
      <c r="C138" s="215" t="s">
        <v>146</v>
      </c>
      <c r="D138" s="215" t="s">
        <v>147</v>
      </c>
      <c r="E138" s="215" t="s">
        <v>148</v>
      </c>
    </row>
    <row r="139" spans="1:5">
      <c r="B139" s="216" t="s">
        <v>138</v>
      </c>
      <c r="C139" s="216" t="s">
        <v>163</v>
      </c>
      <c r="D139" s="216" t="s">
        <v>149</v>
      </c>
      <c r="E139" s="216" t="s">
        <v>164</v>
      </c>
    </row>
    <row r="140" spans="1:5">
      <c r="B140" s="217" t="s">
        <v>135</v>
      </c>
      <c r="C140" s="217" t="s">
        <v>153</v>
      </c>
      <c r="D140" s="217" t="s">
        <v>154</v>
      </c>
      <c r="E140" s="217" t="s">
        <v>151</v>
      </c>
    </row>
    <row r="141" spans="1:5">
      <c r="B141" s="216" t="s">
        <v>207</v>
      </c>
      <c r="C141" s="216" t="s">
        <v>149</v>
      </c>
      <c r="D141" s="216" t="s">
        <v>156</v>
      </c>
      <c r="E141" s="216" t="s">
        <v>149</v>
      </c>
    </row>
    <row r="142" spans="1:5">
      <c r="B142" s="217" t="s">
        <v>179</v>
      </c>
      <c r="C142" s="217" t="s">
        <v>156</v>
      </c>
      <c r="D142" s="217" t="s">
        <v>180</v>
      </c>
      <c r="E142" s="217" t="s">
        <v>156</v>
      </c>
    </row>
    <row r="145" spans="1:15">
      <c r="B145" s="201" t="s">
        <v>166</v>
      </c>
    </row>
    <row r="146" spans="1:15">
      <c r="B146" s="195"/>
    </row>
    <row r="147" spans="1:15">
      <c r="B147" s="195" t="s">
        <v>167</v>
      </c>
    </row>
    <row r="148" spans="1:15">
      <c r="B148" s="195" t="s">
        <v>168</v>
      </c>
    </row>
    <row r="151" spans="1:15">
      <c r="B151" s="218"/>
      <c r="C151" s="218"/>
      <c r="D151" s="218"/>
      <c r="E151" s="218"/>
      <c r="F151" s="218"/>
      <c r="G151" s="218"/>
      <c r="H151" s="364"/>
      <c r="I151" s="364"/>
      <c r="J151" s="364"/>
      <c r="K151" s="218"/>
      <c r="L151" s="219"/>
      <c r="M151" s="218"/>
      <c r="N151" s="218"/>
      <c r="O151" s="218"/>
    </row>
    <row r="154" spans="1:15">
      <c r="B154" s="201" t="s">
        <v>169</v>
      </c>
    </row>
    <row r="156" spans="1:15">
      <c r="A156" s="188" t="s">
        <v>69</v>
      </c>
      <c r="B156" s="189" t="s">
        <v>140</v>
      </c>
      <c r="C156" s="189" t="s">
        <v>141</v>
      </c>
      <c r="D156" s="201" t="s">
        <v>106</v>
      </c>
    </row>
    <row r="157" spans="1:15">
      <c r="A157" s="188" t="s">
        <v>70</v>
      </c>
      <c r="B157" s="189" t="s">
        <v>142</v>
      </c>
      <c r="C157" s="189" t="s">
        <v>141</v>
      </c>
      <c r="D157" s="201" t="s">
        <v>187</v>
      </c>
    </row>
    <row r="160" spans="1:15">
      <c r="B160" s="201" t="s">
        <v>170</v>
      </c>
    </row>
    <row r="162" spans="2:15">
      <c r="B162" s="215" t="s">
        <v>145</v>
      </c>
      <c r="C162" s="215" t="s">
        <v>146</v>
      </c>
      <c r="D162" s="215" t="s">
        <v>147</v>
      </c>
      <c r="E162" s="215" t="s">
        <v>148</v>
      </c>
    </row>
    <row r="163" spans="2:15">
      <c r="B163" s="216" t="s">
        <v>390</v>
      </c>
      <c r="C163" s="216" t="s">
        <v>156</v>
      </c>
      <c r="D163" s="216" t="s">
        <v>165</v>
      </c>
      <c r="E163" s="216" t="s">
        <v>156</v>
      </c>
    </row>
    <row r="164" spans="2:15">
      <c r="B164" s="217" t="s">
        <v>106</v>
      </c>
      <c r="C164" s="217" t="s">
        <v>172</v>
      </c>
      <c r="D164" s="217" t="s">
        <v>153</v>
      </c>
      <c r="E164" s="217" t="s">
        <v>153</v>
      </c>
    </row>
    <row r="165" spans="2:15">
      <c r="B165" s="216" t="s">
        <v>200</v>
      </c>
      <c r="C165" s="216" t="s">
        <v>153</v>
      </c>
      <c r="D165" s="216" t="s">
        <v>154</v>
      </c>
      <c r="E165" s="216" t="s">
        <v>153</v>
      </c>
    </row>
    <row r="166" spans="2:15">
      <c r="B166" s="217" t="s">
        <v>187</v>
      </c>
      <c r="C166" s="217" t="s">
        <v>164</v>
      </c>
      <c r="D166" s="217" t="s">
        <v>156</v>
      </c>
      <c r="E166" s="217" t="s">
        <v>151</v>
      </c>
    </row>
    <row r="169" spans="2:15">
      <c r="B169" s="201" t="s">
        <v>173</v>
      </c>
    </row>
    <row r="170" spans="2:15">
      <c r="B170" s="195"/>
    </row>
    <row r="171" spans="2:15">
      <c r="B171" s="195" t="s">
        <v>174</v>
      </c>
    </row>
    <row r="172" spans="2:15">
      <c r="B172" s="195" t="s">
        <v>175</v>
      </c>
    </row>
    <row r="175" spans="2:15">
      <c r="B175" s="218"/>
      <c r="C175" s="218"/>
      <c r="D175" s="218"/>
      <c r="E175" s="218"/>
      <c r="F175" s="218"/>
      <c r="G175" s="218"/>
      <c r="H175" s="364"/>
      <c r="I175" s="364"/>
      <c r="J175" s="364"/>
      <c r="K175" s="218"/>
      <c r="L175" s="219"/>
      <c r="M175" s="218"/>
      <c r="N175" s="218"/>
      <c r="O175" s="218"/>
    </row>
    <row r="178" spans="1:5">
      <c r="B178" s="201" t="s">
        <v>176</v>
      </c>
    </row>
    <row r="180" spans="1:5">
      <c r="A180" s="188" t="s">
        <v>71</v>
      </c>
      <c r="B180" s="189" t="s">
        <v>140</v>
      </c>
      <c r="C180" s="189" t="s">
        <v>141</v>
      </c>
      <c r="D180" s="201" t="s">
        <v>97</v>
      </c>
    </row>
    <row r="181" spans="1:5">
      <c r="A181" s="188" t="s">
        <v>72</v>
      </c>
      <c r="B181" s="189" t="s">
        <v>142</v>
      </c>
      <c r="C181" s="189" t="s">
        <v>141</v>
      </c>
      <c r="D181" s="201" t="s">
        <v>193</v>
      </c>
    </row>
    <row r="184" spans="1:5">
      <c r="B184" s="201" t="s">
        <v>178</v>
      </c>
    </row>
    <row r="186" spans="1:5">
      <c r="B186" s="215" t="s">
        <v>145</v>
      </c>
      <c r="C186" s="215" t="s">
        <v>146</v>
      </c>
      <c r="D186" s="215" t="s">
        <v>147</v>
      </c>
      <c r="E186" s="215" t="s">
        <v>148</v>
      </c>
    </row>
    <row r="187" spans="1:5">
      <c r="B187" s="216" t="s">
        <v>97</v>
      </c>
      <c r="C187" s="216" t="s">
        <v>172</v>
      </c>
      <c r="D187" s="216" t="s">
        <v>151</v>
      </c>
      <c r="E187" s="216" t="s">
        <v>151</v>
      </c>
    </row>
    <row r="188" spans="1:5">
      <c r="B188" s="217" t="s">
        <v>391</v>
      </c>
      <c r="C188" s="217" t="s">
        <v>150</v>
      </c>
      <c r="D188" s="217" t="s">
        <v>162</v>
      </c>
      <c r="E188" s="217" t="s">
        <v>150</v>
      </c>
    </row>
    <row r="189" spans="1:5">
      <c r="B189" s="216" t="s">
        <v>109</v>
      </c>
      <c r="C189" s="216" t="s">
        <v>149</v>
      </c>
      <c r="D189" s="216" t="s">
        <v>156</v>
      </c>
      <c r="E189" s="216" t="s">
        <v>153</v>
      </c>
    </row>
    <row r="190" spans="1:5">
      <c r="B190" s="217" t="s">
        <v>193</v>
      </c>
      <c r="C190" s="217" t="s">
        <v>155</v>
      </c>
      <c r="D190" s="217" t="s">
        <v>156</v>
      </c>
      <c r="E190" s="217" t="s">
        <v>156</v>
      </c>
    </row>
    <row r="193" spans="1:15">
      <c r="B193" s="201" t="s">
        <v>182</v>
      </c>
    </row>
    <row r="194" spans="1:15">
      <c r="B194" s="195"/>
    </row>
    <row r="195" spans="1:15">
      <c r="B195" s="195" t="s">
        <v>239</v>
      </c>
    </row>
    <row r="196" spans="1:15">
      <c r="B196" s="195" t="s">
        <v>240</v>
      </c>
    </row>
    <row r="198" spans="1:15">
      <c r="K198" s="218"/>
      <c r="L198" s="219"/>
      <c r="M198" s="218"/>
      <c r="N198" s="218"/>
      <c r="O198" s="218"/>
    </row>
    <row r="199" spans="1:15">
      <c r="B199" s="218"/>
      <c r="C199" s="218"/>
      <c r="D199" s="218"/>
      <c r="E199" s="218"/>
      <c r="F199" s="218"/>
      <c r="G199" s="218"/>
      <c r="H199" s="364"/>
      <c r="I199" s="364"/>
      <c r="J199" s="364"/>
    </row>
    <row r="202" spans="1:15">
      <c r="B202" s="201" t="s">
        <v>184</v>
      </c>
    </row>
    <row r="204" spans="1:15">
      <c r="A204" s="188" t="s">
        <v>73</v>
      </c>
      <c r="B204" s="189" t="s">
        <v>140</v>
      </c>
      <c r="C204" s="189" t="s">
        <v>141</v>
      </c>
      <c r="D204" s="201" t="s">
        <v>143</v>
      </c>
    </row>
    <row r="205" spans="1:15">
      <c r="A205" s="188" t="s">
        <v>74</v>
      </c>
      <c r="B205" s="189" t="s">
        <v>142</v>
      </c>
      <c r="C205" s="189" t="s">
        <v>141</v>
      </c>
      <c r="D205" s="201" t="s">
        <v>209</v>
      </c>
    </row>
    <row r="208" spans="1:15">
      <c r="B208" s="201" t="s">
        <v>186</v>
      </c>
    </row>
    <row r="210" spans="2:15">
      <c r="B210" s="215" t="s">
        <v>145</v>
      </c>
      <c r="C210" s="215" t="s">
        <v>146</v>
      </c>
      <c r="D210" s="215" t="s">
        <v>147</v>
      </c>
      <c r="E210" s="215" t="s">
        <v>148</v>
      </c>
    </row>
    <row r="211" spans="2:15">
      <c r="B211" s="216" t="s">
        <v>209</v>
      </c>
      <c r="C211" s="216" t="s">
        <v>149</v>
      </c>
      <c r="D211" s="216" t="s">
        <v>150</v>
      </c>
      <c r="E211" s="216" t="s">
        <v>151</v>
      </c>
    </row>
    <row r="212" spans="2:15">
      <c r="B212" s="217" t="s">
        <v>392</v>
      </c>
      <c r="C212" s="217" t="s">
        <v>149</v>
      </c>
      <c r="D212" s="217" t="s">
        <v>150</v>
      </c>
      <c r="E212" s="217" t="s">
        <v>153</v>
      </c>
    </row>
    <row r="213" spans="2:15">
      <c r="B213" s="216" t="s">
        <v>143</v>
      </c>
      <c r="C213" s="216" t="s">
        <v>163</v>
      </c>
      <c r="D213" s="216" t="s">
        <v>149</v>
      </c>
      <c r="E213" s="216" t="s">
        <v>164</v>
      </c>
    </row>
    <row r="214" spans="2:15">
      <c r="B214" s="217" t="s">
        <v>210</v>
      </c>
      <c r="C214" s="217" t="s">
        <v>150</v>
      </c>
      <c r="D214" s="217" t="s">
        <v>180</v>
      </c>
      <c r="E214" s="217" t="s">
        <v>156</v>
      </c>
    </row>
    <row r="217" spans="2:15">
      <c r="B217" s="201" t="s">
        <v>189</v>
      </c>
    </row>
    <row r="218" spans="2:15">
      <c r="B218" s="195"/>
    </row>
    <row r="219" spans="2:15">
      <c r="B219" s="195" t="s">
        <v>190</v>
      </c>
    </row>
    <row r="220" spans="2:15">
      <c r="B220" s="195" t="s">
        <v>522</v>
      </c>
    </row>
    <row r="222" spans="2:15">
      <c r="K222" s="218"/>
      <c r="L222" s="219"/>
      <c r="M222" s="218"/>
      <c r="N222" s="218"/>
      <c r="O222" s="218"/>
    </row>
    <row r="223" spans="2:15">
      <c r="B223" s="218"/>
      <c r="C223" s="218"/>
      <c r="D223" s="218"/>
      <c r="E223" s="218"/>
      <c r="F223" s="218"/>
      <c r="G223" s="218"/>
      <c r="H223" s="364"/>
      <c r="I223" s="364"/>
      <c r="J223" s="364"/>
    </row>
    <row r="226" spans="1:5">
      <c r="B226" s="201" t="s">
        <v>192</v>
      </c>
    </row>
    <row r="228" spans="1:5">
      <c r="A228" s="188" t="s">
        <v>75</v>
      </c>
      <c r="B228" s="189" t="s">
        <v>140</v>
      </c>
      <c r="C228" s="189" t="s">
        <v>141</v>
      </c>
      <c r="D228" s="201" t="s">
        <v>102</v>
      </c>
    </row>
    <row r="229" spans="1:5">
      <c r="A229" s="188" t="s">
        <v>76</v>
      </c>
      <c r="B229" s="189" t="s">
        <v>142</v>
      </c>
      <c r="C229" s="189" t="s">
        <v>141</v>
      </c>
      <c r="D229" s="201" t="s">
        <v>572</v>
      </c>
    </row>
    <row r="232" spans="1:5">
      <c r="B232" s="201" t="s">
        <v>194</v>
      </c>
    </row>
    <row r="234" spans="1:5">
      <c r="B234" s="215" t="s">
        <v>145</v>
      </c>
      <c r="C234" s="215" t="s">
        <v>146</v>
      </c>
      <c r="D234" s="215" t="s">
        <v>147</v>
      </c>
      <c r="E234" s="215" t="s">
        <v>148</v>
      </c>
    </row>
    <row r="235" spans="1:5">
      <c r="B235" s="216" t="s">
        <v>102</v>
      </c>
      <c r="C235" s="216" t="s">
        <v>163</v>
      </c>
      <c r="D235" s="216" t="s">
        <v>149</v>
      </c>
      <c r="E235" s="216" t="s">
        <v>164</v>
      </c>
    </row>
    <row r="236" spans="1:5">
      <c r="B236" s="217" t="s">
        <v>572</v>
      </c>
      <c r="C236" s="217" t="s">
        <v>164</v>
      </c>
      <c r="D236" s="217" t="s">
        <v>156</v>
      </c>
      <c r="E236" s="217" t="s">
        <v>149</v>
      </c>
    </row>
    <row r="237" spans="1:5">
      <c r="B237" s="216" t="s">
        <v>394</v>
      </c>
      <c r="C237" s="216" t="s">
        <v>150</v>
      </c>
      <c r="D237" s="216" t="s">
        <v>180</v>
      </c>
      <c r="E237" s="216" t="s">
        <v>156</v>
      </c>
    </row>
    <row r="238" spans="1:5">
      <c r="B238" s="217" t="s">
        <v>108</v>
      </c>
      <c r="C238" s="217" t="s">
        <v>151</v>
      </c>
      <c r="D238" s="217" t="s">
        <v>154</v>
      </c>
      <c r="E238" s="217" t="s">
        <v>153</v>
      </c>
    </row>
    <row r="241" spans="1:15">
      <c r="B241" s="201" t="s">
        <v>195</v>
      </c>
    </row>
    <row r="242" spans="1:15">
      <c r="B242" s="195"/>
    </row>
    <row r="243" spans="1:15">
      <c r="B243" s="195" t="s">
        <v>196</v>
      </c>
    </row>
    <row r="244" spans="1:15">
      <c r="B244" s="195" t="s">
        <v>197</v>
      </c>
    </row>
    <row r="246" spans="1:15">
      <c r="K246" s="218"/>
      <c r="L246" s="219"/>
      <c r="M246" s="218"/>
      <c r="N246" s="218"/>
      <c r="O246" s="218"/>
    </row>
    <row r="247" spans="1:15">
      <c r="B247" s="218"/>
      <c r="C247" s="218"/>
      <c r="D247" s="218"/>
      <c r="E247" s="218"/>
      <c r="F247" s="218"/>
      <c r="G247" s="218"/>
      <c r="H247" s="364"/>
      <c r="I247" s="364"/>
      <c r="J247" s="364"/>
    </row>
    <row r="250" spans="1:15">
      <c r="B250" s="201" t="s">
        <v>198</v>
      </c>
    </row>
    <row r="252" spans="1:15">
      <c r="A252" s="188" t="s">
        <v>77</v>
      </c>
      <c r="B252" s="189" t="s">
        <v>140</v>
      </c>
      <c r="C252" s="189" t="s">
        <v>141</v>
      </c>
      <c r="D252" s="201" t="s">
        <v>177</v>
      </c>
    </row>
    <row r="253" spans="1:15">
      <c r="A253" s="188" t="s">
        <v>78</v>
      </c>
      <c r="B253" s="189" t="s">
        <v>142</v>
      </c>
      <c r="C253" s="189" t="s">
        <v>141</v>
      </c>
      <c r="D253" s="201" t="s">
        <v>202</v>
      </c>
    </row>
    <row r="256" spans="1:15">
      <c r="B256" s="201" t="s">
        <v>201</v>
      </c>
    </row>
    <row r="258" spans="2:15">
      <c r="B258" s="215" t="s">
        <v>145</v>
      </c>
      <c r="C258" s="215" t="s">
        <v>146</v>
      </c>
      <c r="D258" s="215" t="s">
        <v>147</v>
      </c>
      <c r="E258" s="215" t="s">
        <v>148</v>
      </c>
    </row>
    <row r="259" spans="2:15">
      <c r="B259" s="216" t="s">
        <v>177</v>
      </c>
      <c r="C259" s="216" t="s">
        <v>172</v>
      </c>
      <c r="D259" s="216" t="s">
        <v>151</v>
      </c>
      <c r="E259" s="216" t="s">
        <v>155</v>
      </c>
    </row>
    <row r="260" spans="2:15">
      <c r="B260" s="217" t="s">
        <v>202</v>
      </c>
      <c r="C260" s="217" t="s">
        <v>155</v>
      </c>
      <c r="D260" s="217" t="s">
        <v>156</v>
      </c>
      <c r="E260" s="217" t="s">
        <v>153</v>
      </c>
    </row>
    <row r="261" spans="2:15">
      <c r="B261" s="216" t="s">
        <v>181</v>
      </c>
      <c r="C261" s="216" t="s">
        <v>151</v>
      </c>
      <c r="D261" s="216" t="s">
        <v>165</v>
      </c>
      <c r="E261" s="216" t="s">
        <v>153</v>
      </c>
    </row>
    <row r="262" spans="2:15">
      <c r="B262" s="217" t="s">
        <v>32</v>
      </c>
      <c r="C262" s="217" t="s">
        <v>156</v>
      </c>
      <c r="D262" s="217" t="s">
        <v>165</v>
      </c>
      <c r="E262" s="217" t="s">
        <v>153</v>
      </c>
    </row>
    <row r="265" spans="2:15">
      <c r="B265" s="201" t="s">
        <v>203</v>
      </c>
    </row>
    <row r="266" spans="2:15">
      <c r="B266" s="195"/>
    </row>
    <row r="267" spans="2:15">
      <c r="B267" s="195" t="s">
        <v>204</v>
      </c>
    </row>
    <row r="268" spans="2:15">
      <c r="B268" s="195" t="s">
        <v>205</v>
      </c>
    </row>
    <row r="270" spans="2:15">
      <c r="B270" s="218"/>
      <c r="C270" s="218"/>
      <c r="D270" s="218"/>
      <c r="E270" s="218"/>
      <c r="F270" s="218"/>
      <c r="G270" s="218"/>
      <c r="K270" s="218"/>
      <c r="L270" s="219"/>
      <c r="M270" s="218"/>
      <c r="N270" s="218"/>
      <c r="O270" s="218"/>
    </row>
    <row r="271" spans="2:15">
      <c r="H271" s="364"/>
      <c r="I271" s="364"/>
      <c r="J271" s="364"/>
    </row>
    <row r="274" spans="1:5">
      <c r="B274" s="201" t="s">
        <v>206</v>
      </c>
    </row>
    <row r="276" spans="1:5">
      <c r="A276" s="188" t="s">
        <v>79</v>
      </c>
      <c r="B276" s="189" t="s">
        <v>140</v>
      </c>
      <c r="C276" s="189" t="s">
        <v>141</v>
      </c>
      <c r="D276" s="201" t="s">
        <v>395</v>
      </c>
    </row>
    <row r="277" spans="1:5">
      <c r="A277" s="188" t="s">
        <v>80</v>
      </c>
      <c r="B277" s="189" t="s">
        <v>142</v>
      </c>
      <c r="C277" s="189" t="s">
        <v>141</v>
      </c>
      <c r="D277" s="201" t="s">
        <v>396</v>
      </c>
    </row>
    <row r="280" spans="1:5">
      <c r="B280" s="201" t="s">
        <v>208</v>
      </c>
    </row>
    <row r="282" spans="1:5">
      <c r="B282" s="215" t="s">
        <v>145</v>
      </c>
      <c r="C282" s="215" t="s">
        <v>146</v>
      </c>
      <c r="D282" s="215" t="s">
        <v>147</v>
      </c>
      <c r="E282" s="215" t="s">
        <v>148</v>
      </c>
    </row>
    <row r="283" spans="1:5">
      <c r="B283" s="216" t="s">
        <v>395</v>
      </c>
      <c r="C283" s="216" t="s">
        <v>172</v>
      </c>
      <c r="D283" s="216" t="s">
        <v>151</v>
      </c>
      <c r="E283" s="216" t="s">
        <v>155</v>
      </c>
    </row>
    <row r="284" spans="1:5">
      <c r="B284" s="217" t="s">
        <v>110</v>
      </c>
      <c r="C284" s="217" t="s">
        <v>153</v>
      </c>
      <c r="D284" s="217" t="s">
        <v>165</v>
      </c>
      <c r="E284" s="217" t="s">
        <v>153</v>
      </c>
    </row>
    <row r="285" spans="1:5">
      <c r="B285" s="216" t="s">
        <v>396</v>
      </c>
      <c r="C285" s="216" t="s">
        <v>155</v>
      </c>
      <c r="D285" s="216" t="s">
        <v>156</v>
      </c>
      <c r="E285" s="216" t="s">
        <v>151</v>
      </c>
    </row>
    <row r="286" spans="1:5">
      <c r="B286" s="217" t="s">
        <v>104</v>
      </c>
      <c r="C286" s="217" t="s">
        <v>156</v>
      </c>
      <c r="D286" s="217" t="s">
        <v>165</v>
      </c>
      <c r="E286" s="217" t="s">
        <v>153</v>
      </c>
    </row>
    <row r="289" spans="2:15">
      <c r="B289" s="201" t="s">
        <v>211</v>
      </c>
    </row>
    <row r="290" spans="2:15">
      <c r="B290" s="195"/>
    </row>
    <row r="291" spans="2:15">
      <c r="B291" s="195" t="s">
        <v>212</v>
      </c>
    </row>
    <row r="292" spans="2:15">
      <c r="B292" s="195" t="s">
        <v>213</v>
      </c>
    </row>
    <row r="295" spans="2:15">
      <c r="B295" s="218"/>
      <c r="C295" s="218"/>
      <c r="D295" s="218"/>
      <c r="E295" s="218"/>
      <c r="F295" s="218"/>
      <c r="G295" s="218"/>
      <c r="H295" s="364"/>
      <c r="I295" s="364"/>
      <c r="J295" s="364"/>
      <c r="K295" s="218"/>
      <c r="L295" s="219"/>
      <c r="M295" s="218"/>
      <c r="N295" s="218"/>
      <c r="O295" s="218"/>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8.xml><?xml version="1.0" encoding="utf-8"?>
<worksheet xmlns="http://schemas.openxmlformats.org/spreadsheetml/2006/main" xmlns:r="http://schemas.openxmlformats.org/officeDocument/2006/relationships">
  <sheetPr codeName="Blad20">
    <tabColor rgb="FFFFC000"/>
  </sheetPr>
  <dimension ref="A1:U324"/>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493</v>
      </c>
      <c r="L1" s="194"/>
      <c r="P1" s="193">
        <f>SUM(P14:P101)+E11+H11+L7+L11+Q11</f>
        <v>485</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Nederland</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Japan</v>
      </c>
      <c r="C4" s="222">
        <f t="shared" si="1"/>
        <v>0</v>
      </c>
      <c r="D4" s="224" t="str">
        <f t="shared" si="2"/>
        <v>Engeland</v>
      </c>
      <c r="E4" s="222">
        <f t="shared" si="3"/>
        <v>0</v>
      </c>
      <c r="F4" s="339" t="s">
        <v>450</v>
      </c>
      <c r="G4" s="195" t="str">
        <f>G88</f>
        <v>Japan</v>
      </c>
      <c r="H4" s="222">
        <f t="shared" si="4"/>
        <v>0</v>
      </c>
      <c r="I4" s="339" t="s">
        <v>458</v>
      </c>
      <c r="J4" s="195" t="str">
        <f>G94</f>
        <v>Duitsland</v>
      </c>
      <c r="L4" s="222">
        <f>IF(ISNA(MATCH(J4,teams_halve,0)),0,20)</f>
        <v>20</v>
      </c>
      <c r="Q4" s="224"/>
    </row>
    <row r="5" spans="1:21" s="195" customFormat="1" ht="15" customHeight="1">
      <c r="B5" s="224" t="str">
        <f t="shared" si="0"/>
        <v>Spanje</v>
      </c>
      <c r="C5" s="222">
        <f t="shared" si="1"/>
        <v>0</v>
      </c>
      <c r="D5" s="224" t="str">
        <f t="shared" si="2"/>
        <v>Mexico</v>
      </c>
      <c r="E5" s="222">
        <f t="shared" si="3"/>
        <v>10</v>
      </c>
      <c r="F5" s="339" t="s">
        <v>451</v>
      </c>
      <c r="G5" s="195" t="str">
        <f>E90</f>
        <v>Spanje</v>
      </c>
      <c r="H5" s="222">
        <f t="shared" si="4"/>
        <v>0</v>
      </c>
      <c r="I5" s="339" t="s">
        <v>459</v>
      </c>
      <c r="J5" s="195" t="str">
        <f>E95</f>
        <v>Spanje</v>
      </c>
      <c r="L5" s="222">
        <f>IF(ISNA(MATCH(J5,teams_halve,0)),0,20)</f>
        <v>0</v>
      </c>
    </row>
    <row r="6" spans="1:21" s="195" customFormat="1" ht="15" customHeight="1">
      <c r="B6" s="224" t="str">
        <f t="shared" si="0"/>
        <v>Italië</v>
      </c>
      <c r="C6" s="222">
        <f t="shared" si="1"/>
        <v>0</v>
      </c>
      <c r="D6" s="224" t="str">
        <f t="shared" si="2"/>
        <v>Colombia</v>
      </c>
      <c r="E6" s="222">
        <f t="shared" si="3"/>
        <v>10</v>
      </c>
      <c r="F6" s="339" t="s">
        <v>452</v>
      </c>
      <c r="G6" s="195" t="str">
        <f>G90</f>
        <v>Italië</v>
      </c>
      <c r="H6" s="222">
        <f t="shared" si="4"/>
        <v>0</v>
      </c>
      <c r="I6" s="339" t="s">
        <v>460</v>
      </c>
      <c r="J6" s="195" t="str">
        <f>G95</f>
        <v>Argentinië</v>
      </c>
      <c r="L6" s="222">
        <f>IF(ISNA(MATCH(J6,teams_halve,0)),0,20)</f>
        <v>20</v>
      </c>
    </row>
    <row r="7" spans="1:21" s="195" customFormat="1" ht="15" customHeight="1">
      <c r="B7" s="224" t="str">
        <f t="shared" si="0"/>
        <v>Zwitserland</v>
      </c>
      <c r="C7" s="222">
        <f t="shared" si="1"/>
        <v>10</v>
      </c>
      <c r="D7" s="224" t="str">
        <f t="shared" si="2"/>
        <v>Nigeria</v>
      </c>
      <c r="E7" s="222">
        <f t="shared" si="3"/>
        <v>10</v>
      </c>
      <c r="F7" s="339" t="s">
        <v>453</v>
      </c>
      <c r="G7" s="195" t="str">
        <f>E89</f>
        <v>Zwitserland</v>
      </c>
      <c r="H7" s="222">
        <f t="shared" si="4"/>
        <v>0</v>
      </c>
      <c r="I7" s="339"/>
      <c r="J7" s="198" t="s">
        <v>83</v>
      </c>
      <c r="K7" s="199"/>
      <c r="L7" s="225">
        <f>SUM(L3:L6)</f>
        <v>60</v>
      </c>
    </row>
    <row r="8" spans="1:21" s="195" customFormat="1" ht="15" customHeight="1">
      <c r="B8" s="224" t="str">
        <f t="shared" si="0"/>
        <v>Duitsland</v>
      </c>
      <c r="C8" s="222">
        <f t="shared" si="1"/>
        <v>10</v>
      </c>
      <c r="D8" s="224" t="str">
        <f t="shared" si="2"/>
        <v>België</v>
      </c>
      <c r="E8" s="222">
        <f t="shared" si="3"/>
        <v>10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Frankrijk</v>
      </c>
      <c r="E9" s="222">
        <f t="shared" si="3"/>
        <v>10</v>
      </c>
      <c r="F9" s="339" t="s">
        <v>455</v>
      </c>
      <c r="G9" s="195" t="str">
        <f>E91</f>
        <v>Argentinië</v>
      </c>
      <c r="H9" s="222">
        <f t="shared" si="4"/>
        <v>15</v>
      </c>
      <c r="I9" s="339" t="s">
        <v>461</v>
      </c>
      <c r="J9" s="195" t="str">
        <f>E101</f>
        <v>Duitsland</v>
      </c>
      <c r="L9" s="222">
        <f>IF(ISNA(MATCH(J9,teams_fin,0)),0,30)</f>
        <v>30</v>
      </c>
      <c r="P9" s="444" t="str">
        <f>E98</f>
        <v>Brazilië</v>
      </c>
      <c r="Q9" s="222">
        <f>IF(ISNA(MATCH(P9,teams_troost,0)),0,25)</f>
        <v>25</v>
      </c>
    </row>
    <row r="10" spans="1:21" s="195" customFormat="1" ht="15" customHeight="1">
      <c r="B10" s="224" t="str">
        <f t="shared" si="0"/>
        <v>Rusland</v>
      </c>
      <c r="C10" s="222">
        <f t="shared" si="1"/>
        <v>0</v>
      </c>
      <c r="D10" s="224" t="str">
        <f t="shared" si="2"/>
        <v>USA</v>
      </c>
      <c r="E10" s="222">
        <f t="shared" si="3"/>
        <v>10</v>
      </c>
      <c r="F10" s="339" t="s">
        <v>456</v>
      </c>
      <c r="G10" s="195" t="str">
        <f>G91</f>
        <v>USA</v>
      </c>
      <c r="H10" s="222">
        <f t="shared" si="4"/>
        <v>0</v>
      </c>
      <c r="I10" s="339" t="s">
        <v>462</v>
      </c>
      <c r="J10" s="195" t="str">
        <f>G101</f>
        <v>Argentinië</v>
      </c>
      <c r="L10" s="222">
        <f>IF(ISNA(MATCH(J10,teams_fin,0)),0,30)</f>
        <v>30</v>
      </c>
      <c r="P10" s="444" t="str">
        <f>G98</f>
        <v>Spanje</v>
      </c>
      <c r="Q10" s="222">
        <f>IF(ISNA(MATCH(P10,teams_troost,0)),0,25)</f>
        <v>0</v>
      </c>
    </row>
    <row r="11" spans="1:21" s="195" customFormat="1" ht="15" customHeight="1">
      <c r="D11" s="198" t="s">
        <v>89</v>
      </c>
      <c r="E11" s="225">
        <f>SUM(C3:E10)</f>
        <v>110</v>
      </c>
      <c r="G11" s="198" t="s">
        <v>82</v>
      </c>
      <c r="H11" s="225">
        <f>SUM(H3:H10)</f>
        <v>45</v>
      </c>
      <c r="J11" s="198" t="s">
        <v>90</v>
      </c>
      <c r="K11" s="199"/>
      <c r="L11" s="225">
        <f>SUM(L9:L10)</f>
        <v>60</v>
      </c>
      <c r="P11" s="199"/>
      <c r="Q11" s="225">
        <f>SUM(Q9:Q10)</f>
        <v>25</v>
      </c>
    </row>
    <row r="12" spans="1:21">
      <c r="B12" s="201" t="s">
        <v>19</v>
      </c>
      <c r="C12" s="201"/>
      <c r="D12" s="339" t="s">
        <v>463</v>
      </c>
      <c r="E12" s="202" t="s">
        <v>177</v>
      </c>
      <c r="F12" s="226">
        <f>IF(ISNA(MATCH(E12,Invulblad!F104,0)),0,50)</f>
        <v>50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2</v>
      </c>
      <c r="I14" s="366" t="s">
        <v>29</v>
      </c>
      <c r="J14" s="366">
        <v>0</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1</v>
      </c>
      <c r="I15" s="366" t="s">
        <v>29</v>
      </c>
      <c r="J15" s="366">
        <v>1</v>
      </c>
      <c r="K15" s="212">
        <f t="shared" si="5"/>
        <v>3</v>
      </c>
      <c r="L15" s="210" t="str">
        <f>VLOOKUP($B15,Invulblad!$A$11:$S$103,13,0)</f>
        <v>1</v>
      </c>
      <c r="M15" s="211">
        <f>IF(L15&lt;&gt;"",VLOOKUP($B15,Invulblad!$A$11:$S$103,7,0),"")</f>
        <v>1</v>
      </c>
      <c r="N15" s="209" t="s">
        <v>29</v>
      </c>
      <c r="O15" s="211">
        <f>IF(L15&lt;&gt;"",VLOOKUP($B15,Invulblad!$A$11:$S$103,9,0),"")</f>
        <v>0</v>
      </c>
      <c r="P15" s="212">
        <f t="shared" si="6"/>
        <v>0</v>
      </c>
    </row>
    <row r="16" spans="1:21">
      <c r="A16" s="188">
        <v>3</v>
      </c>
      <c r="B16" s="195">
        <v>17</v>
      </c>
      <c r="C16" s="332">
        <v>41807</v>
      </c>
      <c r="D16" s="333">
        <v>0.875</v>
      </c>
      <c r="E16" s="189" t="s">
        <v>557</v>
      </c>
      <c r="F16" s="189" t="s">
        <v>29</v>
      </c>
      <c r="G16" s="189" t="s">
        <v>96</v>
      </c>
      <c r="H16" s="366">
        <v>2</v>
      </c>
      <c r="I16" s="366" t="s">
        <v>29</v>
      </c>
      <c r="J16" s="366">
        <v>0</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0</v>
      </c>
      <c r="I17" s="366" t="s">
        <v>29</v>
      </c>
      <c r="J17" s="366">
        <v>1</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0</v>
      </c>
      <c r="I18" s="366" t="s">
        <v>29</v>
      </c>
      <c r="J18" s="366">
        <v>3</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1</v>
      </c>
      <c r="I19" s="366" t="s">
        <v>29</v>
      </c>
      <c r="J19" s="366">
        <v>2</v>
      </c>
      <c r="K19" s="212">
        <f t="shared" si="5"/>
        <v>2</v>
      </c>
      <c r="L19" s="210">
        <f>VLOOKUP($B19,Invulblad!$A$11:$S$103,13,0)</f>
        <v>2</v>
      </c>
      <c r="M19" s="211">
        <f>IF(L19&lt;&gt;"",VLOOKUP($B19,Invulblad!$A$11:$S$103,7,0),"")</f>
        <v>1</v>
      </c>
      <c r="N19" s="209" t="s">
        <v>29</v>
      </c>
      <c r="O19" s="211">
        <f>IF(L19&lt;&gt;"",VLOOKUP($B19,Invulblad!$A$11:$S$103,9,0),"")</f>
        <v>3</v>
      </c>
      <c r="P19" s="212">
        <f t="shared" si="6"/>
        <v>5</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2</v>
      </c>
      <c r="I22" s="366" t="s">
        <v>29</v>
      </c>
      <c r="J22" s="366">
        <v>0</v>
      </c>
      <c r="K22" s="212" t="str">
        <f t="shared" si="5"/>
        <v>1</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1</v>
      </c>
      <c r="I23" s="366" t="s">
        <v>29</v>
      </c>
      <c r="J23" s="366">
        <v>1</v>
      </c>
      <c r="K23" s="212">
        <f t="shared" si="5"/>
        <v>3</v>
      </c>
      <c r="L23" s="210" t="str">
        <f>VLOOKUP($B23,Invulblad!$A$11:$S$103,13,0)</f>
        <v>1</v>
      </c>
      <c r="M23" s="211">
        <f>IF(L23&lt;&gt;"",VLOOKUP($B23,Invulblad!$A$11:$S$103,7,0),"")</f>
        <v>3</v>
      </c>
      <c r="N23" s="209" t="s">
        <v>29</v>
      </c>
      <c r="O23" s="211">
        <f>IF(L23&lt;&gt;"",VLOOKUP($B23,Invulblad!$A$11:$S$103,9,0),"")</f>
        <v>1</v>
      </c>
      <c r="P23" s="212">
        <f t="shared" si="7"/>
        <v>0</v>
      </c>
    </row>
    <row r="24" spans="1:16">
      <c r="A24" s="188">
        <v>11</v>
      </c>
      <c r="B24" s="195">
        <v>19</v>
      </c>
      <c r="C24" s="332">
        <v>41808</v>
      </c>
      <c r="D24" s="333">
        <v>0.875</v>
      </c>
      <c r="E24" s="189" t="s">
        <v>129</v>
      </c>
      <c r="F24" s="189" t="s">
        <v>29</v>
      </c>
      <c r="G24" s="189" t="s">
        <v>128</v>
      </c>
      <c r="H24" s="366">
        <v>1</v>
      </c>
      <c r="I24" s="366" t="s">
        <v>29</v>
      </c>
      <c r="J24" s="366">
        <v>0</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0</v>
      </c>
      <c r="I25" s="366" t="s">
        <v>29</v>
      </c>
      <c r="J25" s="366">
        <v>2</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0</v>
      </c>
      <c r="I26" s="366" t="s">
        <v>29</v>
      </c>
      <c r="J26" s="366">
        <v>2</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1</v>
      </c>
      <c r="I27" s="366" t="s">
        <v>29</v>
      </c>
      <c r="J27" s="366">
        <v>1</v>
      </c>
      <c r="K27" s="212">
        <f t="shared" si="5"/>
        <v>3</v>
      </c>
      <c r="L27" s="210" t="str">
        <f>VLOOKUP($B27,Invulblad!$A$11:$S$103,13,0)</f>
        <v>1</v>
      </c>
      <c r="M27" s="211">
        <f>IF(L27&lt;&gt;"",VLOOKUP($B27,Invulblad!$A$11:$S$103,7,0),"")</f>
        <v>2</v>
      </c>
      <c r="N27" s="209" t="s">
        <v>29</v>
      </c>
      <c r="O27" s="211">
        <f>IF(L27&lt;&gt;"",VLOOKUP($B27,Invulblad!$A$11:$S$103,9,0),"")</f>
        <v>0</v>
      </c>
      <c r="P27" s="212">
        <f t="shared" si="7"/>
        <v>0</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0</v>
      </c>
      <c r="I30" s="366" t="s">
        <v>29</v>
      </c>
      <c r="J30" s="366">
        <v>0</v>
      </c>
      <c r="K30" s="212">
        <f t="shared" si="5"/>
        <v>3</v>
      </c>
      <c r="L30" s="210" t="str">
        <f>VLOOKUP($B30,Invulblad!$A$11:$S$103,13,0)</f>
        <v>1</v>
      </c>
      <c r="M30" s="211">
        <f>IF(L30&lt;&gt;"",VLOOKUP($B30,Invulblad!$A$11:$S$103,7,0),"")</f>
        <v>3</v>
      </c>
      <c r="N30" s="209" t="s">
        <v>29</v>
      </c>
      <c r="O30" s="211">
        <f>IF(L30&lt;&gt;"",VLOOKUP($B30,Invulblad!$A$11:$S$103,9,0),"")</f>
        <v>0</v>
      </c>
      <c r="P30" s="212">
        <f t="shared" ref="P30:P35" si="8">IF(L30&lt;&gt;"",IF(AND(M30=H30,O30=J30),10,IF(K30=L30,5,0)),"")</f>
        <v>0</v>
      </c>
    </row>
    <row r="31" spans="1:16">
      <c r="A31" s="188">
        <v>18</v>
      </c>
      <c r="B31" s="195">
        <v>6</v>
      </c>
      <c r="C31" s="332">
        <v>41805</v>
      </c>
      <c r="D31" s="333">
        <v>0.125</v>
      </c>
      <c r="E31" s="189" t="s">
        <v>123</v>
      </c>
      <c r="F31" s="189" t="s">
        <v>29</v>
      </c>
      <c r="G31" s="189" t="s">
        <v>120</v>
      </c>
      <c r="H31" s="366">
        <v>2</v>
      </c>
      <c r="I31" s="366" t="s">
        <v>29</v>
      </c>
      <c r="J31" s="366">
        <v>2</v>
      </c>
      <c r="K31" s="212">
        <f t="shared" si="5"/>
        <v>3</v>
      </c>
      <c r="L31" s="210" t="str">
        <f>VLOOKUP($B31,Invulblad!$A$11:$S$103,13,0)</f>
        <v>1</v>
      </c>
      <c r="M31" s="211">
        <f>IF(L31&lt;&gt;"",VLOOKUP($B31,Invulblad!$A$11:$S$103,7,0),"")</f>
        <v>2</v>
      </c>
      <c r="N31" s="209" t="s">
        <v>29</v>
      </c>
      <c r="O31" s="211">
        <f>IF(L31&lt;&gt;"",VLOOKUP($B31,Invulblad!$A$11:$S$103,9,0),"")</f>
        <v>1</v>
      </c>
      <c r="P31" s="212">
        <f t="shared" si="8"/>
        <v>0</v>
      </c>
    </row>
    <row r="32" spans="1:16">
      <c r="A32" s="188">
        <v>19</v>
      </c>
      <c r="B32" s="195">
        <v>21</v>
      </c>
      <c r="C32" s="332">
        <v>41809</v>
      </c>
      <c r="D32" s="333">
        <v>0.75</v>
      </c>
      <c r="E32" s="189" t="s">
        <v>428</v>
      </c>
      <c r="F32" s="189" t="s">
        <v>29</v>
      </c>
      <c r="G32" s="189" t="s">
        <v>125</v>
      </c>
      <c r="H32" s="366">
        <v>1</v>
      </c>
      <c r="I32" s="366" t="s">
        <v>29</v>
      </c>
      <c r="J32" s="366">
        <v>0</v>
      </c>
      <c r="K32" s="212" t="str">
        <f t="shared" si="5"/>
        <v>1</v>
      </c>
      <c r="L32" s="210" t="str">
        <f>VLOOKUP($B32,Invulblad!$A$11:$S$103,13,0)</f>
        <v>1</v>
      </c>
      <c r="M32" s="211">
        <f>IF(L32&lt;&gt;"",VLOOKUP($B32,Invulblad!$A$11:$S$103,7,0),"")</f>
        <v>2</v>
      </c>
      <c r="N32" s="209" t="s">
        <v>29</v>
      </c>
      <c r="O32" s="211">
        <f>IF(L32&lt;&gt;"",VLOOKUP($B32,Invulblad!$A$11:$S$103,9,0),"")</f>
        <v>1</v>
      </c>
      <c r="P32" s="212">
        <f t="shared" si="8"/>
        <v>5</v>
      </c>
    </row>
    <row r="33" spans="1:16">
      <c r="A33" s="188">
        <v>20</v>
      </c>
      <c r="B33" s="195">
        <v>22</v>
      </c>
      <c r="C33" s="332">
        <v>41810</v>
      </c>
      <c r="D33" s="333">
        <v>0</v>
      </c>
      <c r="E33" s="189" t="s">
        <v>118</v>
      </c>
      <c r="F33" s="189" t="s">
        <v>29</v>
      </c>
      <c r="G33" s="189" t="s">
        <v>105</v>
      </c>
      <c r="H33" s="366">
        <v>1</v>
      </c>
      <c r="I33" s="366" t="s">
        <v>29</v>
      </c>
      <c r="J33" s="366">
        <v>0</v>
      </c>
      <c r="K33" s="212" t="str">
        <f t="shared" si="5"/>
        <v>1</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2</v>
      </c>
      <c r="I34" s="366" t="s">
        <v>29</v>
      </c>
      <c r="J34" s="366">
        <v>1</v>
      </c>
      <c r="K34" s="212" t="str">
        <f t="shared" si="5"/>
        <v>1</v>
      </c>
      <c r="L34" s="210">
        <f>VLOOKUP($B34,Invulblad!$A$11:$S$103,13,0)</f>
        <v>2</v>
      </c>
      <c r="M34" s="211">
        <f>IF(L34&lt;&gt;"",VLOOKUP($B34,Invulblad!$A$11:$S$103,7,0),"")</f>
        <v>1</v>
      </c>
      <c r="N34" s="209" t="s">
        <v>29</v>
      </c>
      <c r="O34" s="211">
        <f>IF(L34&lt;&gt;"",VLOOKUP($B34,Invulblad!$A$11:$S$103,9,0),"")</f>
        <v>4</v>
      </c>
      <c r="P34" s="212">
        <f t="shared" si="8"/>
        <v>0</v>
      </c>
    </row>
    <row r="35" spans="1:16">
      <c r="A35" s="188">
        <v>22</v>
      </c>
      <c r="B35" s="195">
        <v>38</v>
      </c>
      <c r="C35" s="332">
        <v>41814</v>
      </c>
      <c r="D35" s="333">
        <v>0.91666666666666663</v>
      </c>
      <c r="E35" s="189" t="s">
        <v>233</v>
      </c>
      <c r="F35" s="189" t="s">
        <v>29</v>
      </c>
      <c r="G35" s="189" t="s">
        <v>125</v>
      </c>
      <c r="H35" s="366">
        <v>1</v>
      </c>
      <c r="I35" s="366" t="s">
        <v>29</v>
      </c>
      <c r="J35" s="366">
        <v>0</v>
      </c>
      <c r="K35" s="212" t="str">
        <f t="shared" si="5"/>
        <v>1</v>
      </c>
      <c r="L35" s="210" t="str">
        <f>VLOOKUP($B35,Invulblad!$A$11:$S$103,13,0)</f>
        <v>1</v>
      </c>
      <c r="M35" s="211">
        <f>IF(L35&lt;&gt;"",VLOOKUP($B35,Invulblad!$A$11:$S$103,7,0),"")</f>
        <v>2</v>
      </c>
      <c r="N35" s="209" t="s">
        <v>29</v>
      </c>
      <c r="O35" s="211">
        <f>IF(L35&lt;&gt;"",VLOOKUP($B35,Invulblad!$A$11:$S$103,9,0),"")</f>
        <v>1</v>
      </c>
      <c r="P35" s="212">
        <f t="shared" si="8"/>
        <v>5</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2</v>
      </c>
      <c r="I38" s="366" t="s">
        <v>29</v>
      </c>
      <c r="J38" s="366">
        <v>1</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1</v>
      </c>
      <c r="K39" s="212">
        <f t="shared" si="5"/>
        <v>3</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2</v>
      </c>
      <c r="I40" s="366" t="s">
        <v>29</v>
      </c>
      <c r="J40" s="366">
        <v>2</v>
      </c>
      <c r="K40" s="212">
        <f t="shared" si="5"/>
        <v>3</v>
      </c>
      <c r="L40" s="210" t="str">
        <f>VLOOKUP($B40,Invulblad!$A$11:$S$103,13,0)</f>
        <v>1</v>
      </c>
      <c r="M40" s="211">
        <f>IF(L40&lt;&gt;"",VLOOKUP($B40,Invulblad!$A$11:$S$103,7,0),"")</f>
        <v>2</v>
      </c>
      <c r="N40" s="209" t="s">
        <v>29</v>
      </c>
      <c r="O40" s="211">
        <f>IF(L40&lt;&gt;"",VLOOKUP($B40,Invulblad!$A$11:$S$103,9,0),"")</f>
        <v>1</v>
      </c>
      <c r="P40" s="212">
        <f t="shared" si="9"/>
        <v>0</v>
      </c>
    </row>
    <row r="41" spans="1:16">
      <c r="A41" s="188">
        <v>28</v>
      </c>
      <c r="B41" s="195">
        <v>24</v>
      </c>
      <c r="C41" s="332">
        <v>41810</v>
      </c>
      <c r="D41" s="333">
        <v>0.75</v>
      </c>
      <c r="E41" s="189" t="s">
        <v>564</v>
      </c>
      <c r="F41" s="189" t="s">
        <v>29</v>
      </c>
      <c r="G41" s="189" t="s">
        <v>430</v>
      </c>
      <c r="H41" s="366">
        <v>2</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1</v>
      </c>
      <c r="I42" s="366" t="s">
        <v>29</v>
      </c>
      <c r="J42" s="366">
        <v>0</v>
      </c>
      <c r="K42" s="212" t="str">
        <f t="shared" si="5"/>
        <v>1</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3</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2</v>
      </c>
      <c r="I46" s="366" t="s">
        <v>29</v>
      </c>
      <c r="J46" s="366">
        <v>0</v>
      </c>
      <c r="K46" s="212" t="str">
        <f t="shared" si="5"/>
        <v>1</v>
      </c>
      <c r="L46" s="210" t="str">
        <f>VLOOKUP($B46,Invulblad!$A$11:$S$103,13,0)</f>
        <v>1</v>
      </c>
      <c r="M46" s="211">
        <f>IF(L46&lt;&gt;"",VLOOKUP($B46,Invulblad!$A$11:$S$103,7,0),"")</f>
        <v>2</v>
      </c>
      <c r="N46" s="209" t="s">
        <v>29</v>
      </c>
      <c r="O46" s="211">
        <f>IF(L46&lt;&gt;"",VLOOKUP($B46,Invulblad!$A$11:$S$103,9,0),"")</f>
        <v>1</v>
      </c>
      <c r="P46" s="212">
        <f t="shared" ref="P46:P51" si="10">IF(L46&lt;&gt;"",IF(AND(M46=H46,O46=J46),10,IF(K46=L46,5,0)),"")</f>
        <v>5</v>
      </c>
    </row>
    <row r="47" spans="1:16">
      <c r="A47" s="188">
        <v>34</v>
      </c>
      <c r="B47" s="195">
        <v>10</v>
      </c>
      <c r="C47" s="332">
        <v>41805</v>
      </c>
      <c r="D47" s="333">
        <v>0.875</v>
      </c>
      <c r="E47" s="189" t="s">
        <v>100</v>
      </c>
      <c r="F47" s="189" t="s">
        <v>29</v>
      </c>
      <c r="G47" s="189" t="s">
        <v>132</v>
      </c>
      <c r="H47" s="366">
        <v>2</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0</v>
      </c>
      <c r="I48" s="366" t="s">
        <v>29</v>
      </c>
      <c r="J48" s="366">
        <v>0</v>
      </c>
      <c r="K48" s="212">
        <f t="shared" si="5"/>
        <v>3</v>
      </c>
      <c r="L48" s="210">
        <f>VLOOKUP($B48,Invulblad!$A$11:$S$103,13,0)</f>
        <v>2</v>
      </c>
      <c r="M48" s="211">
        <f>IF(L48&lt;&gt;"",VLOOKUP($B48,Invulblad!$A$11:$S$103,7,0),"")</f>
        <v>2</v>
      </c>
      <c r="N48" s="209" t="s">
        <v>29</v>
      </c>
      <c r="O48" s="211">
        <f>IF(L48&lt;&gt;"",VLOOKUP($B48,Invulblad!$A$11:$S$103,9,0),"")</f>
        <v>5</v>
      </c>
      <c r="P48" s="212">
        <f t="shared" si="10"/>
        <v>0</v>
      </c>
    </row>
    <row r="49" spans="1:16">
      <c r="A49" s="188">
        <v>36</v>
      </c>
      <c r="B49" s="195">
        <v>26</v>
      </c>
      <c r="C49" s="332">
        <v>41811</v>
      </c>
      <c r="D49" s="333">
        <v>0</v>
      </c>
      <c r="E49" s="189" t="s">
        <v>127</v>
      </c>
      <c r="F49" s="189" t="s">
        <v>29</v>
      </c>
      <c r="G49" s="189" t="s">
        <v>434</v>
      </c>
      <c r="H49" s="366">
        <v>0</v>
      </c>
      <c r="I49" s="366" t="s">
        <v>29</v>
      </c>
      <c r="J49" s="366">
        <v>1</v>
      </c>
      <c r="K49" s="212">
        <f t="shared" si="5"/>
        <v>2</v>
      </c>
      <c r="L49" s="210">
        <f>VLOOKUP($B49,Invulblad!$A$11:$S$103,13,0)</f>
        <v>2</v>
      </c>
      <c r="M49" s="211">
        <f>IF(L49&lt;&gt;"",VLOOKUP($B49,Invulblad!$A$11:$S$103,7,0),"")</f>
        <v>1</v>
      </c>
      <c r="N49" s="209" t="s">
        <v>29</v>
      </c>
      <c r="O49" s="211">
        <f>IF(L49&lt;&gt;"",VLOOKUP($B49,Invulblad!$A$11:$S$103,9,0),"")</f>
        <v>2</v>
      </c>
      <c r="P49" s="212">
        <f t="shared" si="10"/>
        <v>5</v>
      </c>
    </row>
    <row r="50" spans="1:16">
      <c r="A50" s="188">
        <v>37</v>
      </c>
      <c r="B50" s="195">
        <v>41</v>
      </c>
      <c r="C50" s="332">
        <v>41815</v>
      </c>
      <c r="D50" s="333">
        <v>0.91666666666666663</v>
      </c>
      <c r="E50" s="189" t="s">
        <v>127</v>
      </c>
      <c r="F50" s="189" t="s">
        <v>29</v>
      </c>
      <c r="G50" s="189" t="s">
        <v>130</v>
      </c>
      <c r="H50" s="366">
        <v>1</v>
      </c>
      <c r="I50" s="366" t="s">
        <v>29</v>
      </c>
      <c r="J50" s="366">
        <v>4</v>
      </c>
      <c r="K50" s="212">
        <f t="shared" ref="K50:K85" si="11">IF(AND(H50="",J50=""),"",IF(OR(H50="",J50=""),"FOUT",IF(H50&gt;J50,"1",IF(H50=J50,3,2))))</f>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1</v>
      </c>
      <c r="I51" s="366" t="s">
        <v>29</v>
      </c>
      <c r="J51" s="366">
        <v>1</v>
      </c>
      <c r="K51" s="212">
        <f t="shared" si="11"/>
        <v>3</v>
      </c>
      <c r="L51" s="210">
        <f>VLOOKUP($B51,Invulblad!$A$11:$S$103,13,0)</f>
        <v>3</v>
      </c>
      <c r="M51" s="211">
        <f>IF(L51&lt;&gt;"",VLOOKUP($B51,Invulblad!$A$11:$S$103,7,0),"")</f>
        <v>0</v>
      </c>
      <c r="N51" s="209" t="s">
        <v>29</v>
      </c>
      <c r="O51" s="211">
        <f>IF(L51&lt;&gt;"",VLOOKUP($B51,Invulblad!$A$11:$S$103,9,0),"")</f>
        <v>0</v>
      </c>
      <c r="P51" s="212">
        <f t="shared" si="10"/>
        <v>5</v>
      </c>
    </row>
    <row r="52" spans="1:16">
      <c r="A52" s="188">
        <v>39</v>
      </c>
      <c r="B52" s="201" t="s">
        <v>35</v>
      </c>
      <c r="H52" s="367"/>
      <c r="I52" s="367"/>
      <c r="J52" s="367"/>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2</v>
      </c>
      <c r="I54" s="366" t="s">
        <v>29</v>
      </c>
      <c r="J54" s="366">
        <v>0</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2">
        <v>41806</v>
      </c>
      <c r="D55" s="333">
        <v>0.875</v>
      </c>
      <c r="E55" s="189" t="s">
        <v>438</v>
      </c>
      <c r="F55" s="189" t="s">
        <v>29</v>
      </c>
      <c r="G55" s="189" t="s">
        <v>103</v>
      </c>
      <c r="H55" s="366">
        <v>1</v>
      </c>
      <c r="I55" s="366" t="s">
        <v>29</v>
      </c>
      <c r="J55" s="366">
        <v>3</v>
      </c>
      <c r="K55" s="212">
        <f t="shared" si="11"/>
        <v>2</v>
      </c>
      <c r="L55" s="210">
        <f>VLOOKUP($B55,Invulblad!$A$11:$S$103,13,0)</f>
        <v>3</v>
      </c>
      <c r="M55" s="211">
        <f>IF(L55&lt;&gt;"",VLOOKUP($B55,Invulblad!$A$11:$S$103,7,0),"")</f>
        <v>0</v>
      </c>
      <c r="N55" s="209" t="s">
        <v>29</v>
      </c>
      <c r="O55" s="211">
        <f>IF(L55&lt;&gt;"",VLOOKUP($B55,Invulblad!$A$11:$S$103,9,0),"")</f>
        <v>0</v>
      </c>
      <c r="P55" s="212">
        <f t="shared" si="12"/>
        <v>0</v>
      </c>
    </row>
    <row r="56" spans="1:16">
      <c r="A56" s="188">
        <v>43</v>
      </c>
      <c r="B56" s="195">
        <v>27</v>
      </c>
      <c r="C56" s="332">
        <v>41811</v>
      </c>
      <c r="D56" s="333">
        <v>0.75</v>
      </c>
      <c r="E56" s="189" t="s">
        <v>565</v>
      </c>
      <c r="F56" s="189" t="s">
        <v>29</v>
      </c>
      <c r="G56" s="189" t="s">
        <v>439</v>
      </c>
      <c r="H56" s="366">
        <v>4</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1</v>
      </c>
      <c r="I57" s="366" t="s">
        <v>29</v>
      </c>
      <c r="J57" s="366">
        <v>0</v>
      </c>
      <c r="K57" s="212" t="str">
        <f t="shared" si="11"/>
        <v>1</v>
      </c>
      <c r="L57" s="210" t="str">
        <f>VLOOKUP($B57,Invulblad!$A$11:$S$103,13,0)</f>
        <v>1</v>
      </c>
      <c r="M57" s="211">
        <f>IF(L57&lt;&gt;"",VLOOKUP($B57,Invulblad!$A$11:$S$103,7,0),"")</f>
        <v>1</v>
      </c>
      <c r="N57" s="209" t="s">
        <v>29</v>
      </c>
      <c r="O57" s="211">
        <f>IF(L57&lt;&gt;"",VLOOKUP($B57,Invulblad!$A$11:$S$103,9,0),"")</f>
        <v>0</v>
      </c>
      <c r="P57" s="212">
        <f t="shared" si="12"/>
        <v>10</v>
      </c>
    </row>
    <row r="58" spans="1:16">
      <c r="A58" s="188">
        <v>45</v>
      </c>
      <c r="B58" s="195">
        <v>43</v>
      </c>
      <c r="C58" s="332">
        <v>41815</v>
      </c>
      <c r="D58" s="333">
        <v>0.75</v>
      </c>
      <c r="E58" s="189" t="s">
        <v>234</v>
      </c>
      <c r="F58" s="189" t="s">
        <v>29</v>
      </c>
      <c r="G58" s="189" t="s">
        <v>567</v>
      </c>
      <c r="H58" s="366">
        <v>0</v>
      </c>
      <c r="I58" s="366" t="s">
        <v>29</v>
      </c>
      <c r="J58" s="366">
        <v>2</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1</v>
      </c>
      <c r="I59" s="366" t="s">
        <v>29</v>
      </c>
      <c r="J59" s="366">
        <v>1</v>
      </c>
      <c r="K59" s="212">
        <f t="shared" si="11"/>
        <v>3</v>
      </c>
      <c r="L59" s="210" t="str">
        <f>VLOOKUP($B59,Invulblad!$A$11:$S$103,13,0)</f>
        <v>1</v>
      </c>
      <c r="M59" s="211">
        <f>IF(L59&lt;&gt;"",VLOOKUP($B59,Invulblad!$A$11:$S$103,7,0),"")</f>
        <v>3</v>
      </c>
      <c r="N59" s="209" t="s">
        <v>29</v>
      </c>
      <c r="O59" s="211">
        <f>IF(L59&lt;&gt;"",VLOOKUP($B59,Invulblad!$A$11:$S$103,9,0),"")</f>
        <v>1</v>
      </c>
      <c r="P59" s="212">
        <f t="shared" si="12"/>
        <v>0</v>
      </c>
    </row>
    <row r="60" spans="1:16">
      <c r="A60" s="188">
        <v>47</v>
      </c>
      <c r="B60" s="201" t="s">
        <v>36</v>
      </c>
      <c r="H60" s="367"/>
      <c r="I60" s="367"/>
      <c r="J60" s="367"/>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3</v>
      </c>
      <c r="I62" s="366" t="s">
        <v>29</v>
      </c>
      <c r="J62" s="366">
        <v>0</v>
      </c>
      <c r="K62" s="212" t="str">
        <f t="shared" si="11"/>
        <v>1</v>
      </c>
      <c r="L62" s="210" t="str">
        <f>VLOOKUP($B62,Invulblad!$A$11:$S$103,13,0)</f>
        <v>1</v>
      </c>
      <c r="M62" s="211">
        <f>IF(L62&lt;&gt;"",VLOOKUP($B62,Invulblad!$A$11:$S$103,7,0),"")</f>
        <v>4</v>
      </c>
      <c r="N62" s="209" t="s">
        <v>29</v>
      </c>
      <c r="O62" s="211">
        <f>IF(L62&lt;&gt;"",VLOOKUP($B62,Invulblad!$A$11:$S$103,9,0),"")</f>
        <v>0</v>
      </c>
      <c r="P62" s="212">
        <f t="shared" ref="P62:P67" si="13">IF(L62&lt;&gt;"",IF(AND(M62=H62,O62=J62),10,IF(K62=L62,5,0)),"")</f>
        <v>5</v>
      </c>
    </row>
    <row r="63" spans="1:16">
      <c r="A63" s="188">
        <v>50</v>
      </c>
      <c r="B63" s="195">
        <v>14</v>
      </c>
      <c r="C63" s="332">
        <v>41807</v>
      </c>
      <c r="D63" s="333">
        <v>0</v>
      </c>
      <c r="E63" s="189" t="s">
        <v>115</v>
      </c>
      <c r="F63" s="189" t="s">
        <v>29</v>
      </c>
      <c r="G63" s="189" t="s">
        <v>577</v>
      </c>
      <c r="H63" s="366">
        <v>1</v>
      </c>
      <c r="I63" s="366" t="s">
        <v>29</v>
      </c>
      <c r="J63" s="366">
        <v>2</v>
      </c>
      <c r="K63" s="212">
        <f t="shared" si="11"/>
        <v>2</v>
      </c>
      <c r="L63" s="210">
        <f>VLOOKUP($B63,Invulblad!$A$11:$S$103,13,0)</f>
        <v>2</v>
      </c>
      <c r="M63" s="211">
        <f>IF(L63&lt;&gt;"",VLOOKUP($B63,Invulblad!$A$11:$S$103,7,0),"")</f>
        <v>1</v>
      </c>
      <c r="N63" s="209" t="s">
        <v>29</v>
      </c>
      <c r="O63" s="211">
        <f>IF(L63&lt;&gt;"",VLOOKUP($B63,Invulblad!$A$11:$S$103,9,0),"")</f>
        <v>2</v>
      </c>
      <c r="P63" s="212">
        <f t="shared" si="13"/>
        <v>10</v>
      </c>
    </row>
    <row r="64" spans="1:16">
      <c r="A64" s="188">
        <v>51</v>
      </c>
      <c r="B64" s="195">
        <v>29</v>
      </c>
      <c r="C64" s="332">
        <v>41811</v>
      </c>
      <c r="D64" s="333">
        <v>0.875</v>
      </c>
      <c r="E64" s="189" t="s">
        <v>113</v>
      </c>
      <c r="F64" s="189" t="s">
        <v>29</v>
      </c>
      <c r="G64" s="189" t="s">
        <v>114</v>
      </c>
      <c r="H64" s="366">
        <v>2</v>
      </c>
      <c r="I64" s="366" t="s">
        <v>29</v>
      </c>
      <c r="J64" s="366">
        <v>0</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1</v>
      </c>
      <c r="I65" s="366" t="s">
        <v>29</v>
      </c>
      <c r="J65" s="366">
        <v>1</v>
      </c>
      <c r="K65" s="212">
        <f t="shared" si="11"/>
        <v>3</v>
      </c>
      <c r="L65" s="210">
        <f>VLOOKUP($B65,Invulblad!$A$11:$S$103,13,0)</f>
        <v>3</v>
      </c>
      <c r="M65" s="211">
        <f>IF(L65&lt;&gt;"",VLOOKUP($B65,Invulblad!$A$11:$S$103,7,0),"")</f>
        <v>2</v>
      </c>
      <c r="N65" s="209" t="s">
        <v>29</v>
      </c>
      <c r="O65" s="211">
        <f>IF(L65&lt;&gt;"",VLOOKUP($B65,Invulblad!$A$11:$S$103,9,0),"")</f>
        <v>2</v>
      </c>
      <c r="P65" s="212">
        <f t="shared" si="13"/>
        <v>5</v>
      </c>
    </row>
    <row r="66" spans="1:16">
      <c r="A66" s="188">
        <v>53</v>
      </c>
      <c r="B66" s="195">
        <v>45</v>
      </c>
      <c r="C66" s="332">
        <v>41816</v>
      </c>
      <c r="D66" s="333">
        <v>0.75</v>
      </c>
      <c r="E66" s="189" t="s">
        <v>578</v>
      </c>
      <c r="F66" s="189" t="s">
        <v>29</v>
      </c>
      <c r="G66" s="189" t="s">
        <v>116</v>
      </c>
      <c r="H66" s="366">
        <v>1</v>
      </c>
      <c r="I66" s="366" t="s">
        <v>29</v>
      </c>
      <c r="J66" s="366">
        <v>1</v>
      </c>
      <c r="K66" s="212">
        <f t="shared" si="11"/>
        <v>3</v>
      </c>
      <c r="L66" s="210">
        <f>VLOOKUP($B66,Invulblad!$A$11:$S$103,13,0)</f>
        <v>2</v>
      </c>
      <c r="M66" s="211">
        <f>IF(L66&lt;&gt;"",VLOOKUP($B66,Invulblad!$A$11:$S$103,7,0),"")</f>
        <v>0</v>
      </c>
      <c r="N66" s="209" t="s">
        <v>29</v>
      </c>
      <c r="O66" s="211">
        <f>IF(L66&lt;&gt;"",VLOOKUP($B66,Invulblad!$A$11:$S$103,9,0),"")</f>
        <v>1</v>
      </c>
      <c r="P66" s="212">
        <f t="shared" si="13"/>
        <v>0</v>
      </c>
    </row>
    <row r="67" spans="1:16">
      <c r="A67" s="188">
        <v>54</v>
      </c>
      <c r="B67" s="195">
        <v>46</v>
      </c>
      <c r="C67" s="332">
        <v>41816</v>
      </c>
      <c r="D67" s="333">
        <v>0.75</v>
      </c>
      <c r="E67" s="189" t="s">
        <v>126</v>
      </c>
      <c r="F67" s="189" t="s">
        <v>29</v>
      </c>
      <c r="G67" s="189" t="s">
        <v>114</v>
      </c>
      <c r="H67" s="366">
        <v>2</v>
      </c>
      <c r="I67" s="366" t="s">
        <v>29</v>
      </c>
      <c r="J67" s="366">
        <v>0</v>
      </c>
      <c r="K67" s="212" t="str">
        <f t="shared" si="11"/>
        <v>1</v>
      </c>
      <c r="L67" s="210" t="str">
        <f>VLOOKUP($B67,Invulblad!$A$11:$S$103,13,0)</f>
        <v>1</v>
      </c>
      <c r="M67" s="211">
        <f>IF(L67&lt;&gt;"",VLOOKUP($B67,Invulblad!$A$11:$S$103,7,0),"")</f>
        <v>2</v>
      </c>
      <c r="N67" s="209" t="s">
        <v>29</v>
      </c>
      <c r="O67" s="211">
        <f>IF(L67&lt;&gt;"",VLOOKUP($B67,Invulblad!$A$11:$S$103,9,0),"")</f>
        <v>1</v>
      </c>
      <c r="P67" s="212">
        <f t="shared" si="13"/>
        <v>5</v>
      </c>
    </row>
    <row r="68" spans="1:16">
      <c r="A68" s="188">
        <v>55</v>
      </c>
      <c r="B68" s="201" t="s">
        <v>37</v>
      </c>
      <c r="H68" s="367"/>
      <c r="I68" s="367"/>
      <c r="J68" s="367"/>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2</v>
      </c>
      <c r="I70" s="366" t="s">
        <v>29</v>
      </c>
      <c r="J70" s="366">
        <v>0</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c r="A71" s="188">
        <v>58</v>
      </c>
      <c r="B71" s="195">
        <v>16</v>
      </c>
      <c r="C71" s="332">
        <v>41808</v>
      </c>
      <c r="D71" s="333">
        <v>0</v>
      </c>
      <c r="E71" s="189" t="s">
        <v>445</v>
      </c>
      <c r="F71" s="189" t="s">
        <v>29</v>
      </c>
      <c r="G71" s="189" t="s">
        <v>107</v>
      </c>
      <c r="H71" s="366">
        <v>2</v>
      </c>
      <c r="I71" s="366" t="s">
        <v>29</v>
      </c>
      <c r="J71" s="366">
        <v>0</v>
      </c>
      <c r="K71" s="212" t="str">
        <f t="shared" si="11"/>
        <v>1</v>
      </c>
      <c r="L71" s="210">
        <f>VLOOKUP($B71,Invulblad!$A$11:$S$103,13,0)</f>
        <v>3</v>
      </c>
      <c r="M71" s="211">
        <f>IF(L71&lt;&gt;"",VLOOKUP($B71,Invulblad!$A$11:$S$103,7,0),"")</f>
        <v>1</v>
      </c>
      <c r="N71" s="209" t="s">
        <v>29</v>
      </c>
      <c r="O71" s="211">
        <f>IF(L71&lt;&gt;"",VLOOKUP($B71,Invulblad!$A$11:$S$103,9,0),"")</f>
        <v>1</v>
      </c>
      <c r="P71" s="212">
        <f t="shared" si="14"/>
        <v>0</v>
      </c>
    </row>
    <row r="72" spans="1:16">
      <c r="A72" s="188">
        <v>59</v>
      </c>
      <c r="B72" s="195">
        <v>31</v>
      </c>
      <c r="C72" s="332">
        <v>41812</v>
      </c>
      <c r="D72" s="333">
        <v>0.75</v>
      </c>
      <c r="E72" s="189" t="s">
        <v>569</v>
      </c>
      <c r="F72" s="189" t="s">
        <v>29</v>
      </c>
      <c r="G72" s="189" t="s">
        <v>446</v>
      </c>
      <c r="H72" s="366">
        <v>0</v>
      </c>
      <c r="I72" s="366" t="s">
        <v>29</v>
      </c>
      <c r="J72" s="366">
        <v>1</v>
      </c>
      <c r="K72" s="212">
        <f t="shared" si="11"/>
        <v>2</v>
      </c>
      <c r="L72" s="210" t="str">
        <f>VLOOKUP($B72,Invulblad!$A$11:$S$103,13,0)</f>
        <v>1</v>
      </c>
      <c r="M72" s="211">
        <f>IF(L72&lt;&gt;"",VLOOKUP($B72,Invulblad!$A$11:$S$103,7,0),"")</f>
        <v>1</v>
      </c>
      <c r="N72" s="209" t="s">
        <v>29</v>
      </c>
      <c r="O72" s="211">
        <f>IF(L72&lt;&gt;"",VLOOKUP($B72,Invulblad!$A$11:$S$103,9,0),"")</f>
        <v>0</v>
      </c>
      <c r="P72" s="212">
        <f t="shared" si="14"/>
        <v>0</v>
      </c>
    </row>
    <row r="73" spans="1:16">
      <c r="A73" s="188">
        <v>60</v>
      </c>
      <c r="B73" s="195">
        <v>32</v>
      </c>
      <c r="C73" s="332">
        <v>41812</v>
      </c>
      <c r="D73" s="333">
        <v>0.875</v>
      </c>
      <c r="E73" s="189" t="s">
        <v>232</v>
      </c>
      <c r="F73" s="189" t="s">
        <v>29</v>
      </c>
      <c r="G73" s="189" t="s">
        <v>111</v>
      </c>
      <c r="H73" s="366">
        <v>0</v>
      </c>
      <c r="I73" s="366" t="s">
        <v>29</v>
      </c>
      <c r="J73" s="366">
        <v>0</v>
      </c>
      <c r="K73" s="212">
        <f t="shared" si="11"/>
        <v>3</v>
      </c>
      <c r="L73" s="210">
        <f>VLOOKUP($B73,Invulblad!$A$11:$S$103,13,0)</f>
        <v>2</v>
      </c>
      <c r="M73" s="211">
        <f>IF(L73&lt;&gt;"",VLOOKUP($B73,Invulblad!$A$11:$S$103,7,0),"")</f>
        <v>2</v>
      </c>
      <c r="N73" s="209" t="s">
        <v>29</v>
      </c>
      <c r="O73" s="211">
        <f>IF(L73&lt;&gt;"",VLOOKUP($B73,Invulblad!$A$11:$S$103,9,0),"")</f>
        <v>4</v>
      </c>
      <c r="P73" s="212">
        <f t="shared" si="14"/>
        <v>0</v>
      </c>
    </row>
    <row r="74" spans="1:16">
      <c r="A74" s="188">
        <v>61</v>
      </c>
      <c r="B74" s="195">
        <v>47</v>
      </c>
      <c r="C74" s="332">
        <v>41816</v>
      </c>
      <c r="D74" s="333">
        <v>0.91666666666666663</v>
      </c>
      <c r="E74" s="189" t="s">
        <v>232</v>
      </c>
      <c r="F74" s="189" t="s">
        <v>29</v>
      </c>
      <c r="G74" s="189" t="s">
        <v>570</v>
      </c>
      <c r="H74" s="366">
        <v>1</v>
      </c>
      <c r="I74" s="366" t="s">
        <v>29</v>
      </c>
      <c r="J74" s="366">
        <v>1</v>
      </c>
      <c r="K74" s="212">
        <f t="shared" si="11"/>
        <v>3</v>
      </c>
      <c r="L74" s="210">
        <f>VLOOKUP($B74,Invulblad!$A$11:$S$103,13,0)</f>
        <v>2</v>
      </c>
      <c r="M74" s="211">
        <f>IF(L74&lt;&gt;"",VLOOKUP($B74,Invulblad!$A$11:$S$103,7,0),"")</f>
        <v>0</v>
      </c>
      <c r="N74" s="209" t="s">
        <v>29</v>
      </c>
      <c r="O74" s="211">
        <f>IF(L74&lt;&gt;"",VLOOKUP($B74,Invulblad!$A$11:$S$103,9,0),"")</f>
        <v>1</v>
      </c>
      <c r="P74" s="212">
        <f t="shared" si="14"/>
        <v>0</v>
      </c>
    </row>
    <row r="75" spans="1:16">
      <c r="A75" s="188">
        <v>62</v>
      </c>
      <c r="B75" s="195">
        <v>48</v>
      </c>
      <c r="C75" s="332">
        <v>41816</v>
      </c>
      <c r="D75" s="333">
        <v>0.91666666666666663</v>
      </c>
      <c r="E75" s="189" t="s">
        <v>236</v>
      </c>
      <c r="F75" s="189" t="s">
        <v>29</v>
      </c>
      <c r="G75" s="189" t="s">
        <v>446</v>
      </c>
      <c r="H75" s="366">
        <v>0</v>
      </c>
      <c r="I75" s="366" t="s">
        <v>29</v>
      </c>
      <c r="J75" s="366">
        <v>3</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367"/>
      <c r="I76" s="367"/>
      <c r="J76" s="367"/>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135</v>
      </c>
      <c r="H78" s="366">
        <v>4</v>
      </c>
      <c r="I78" s="366" t="s">
        <v>29</v>
      </c>
      <c r="J78" s="366">
        <v>1</v>
      </c>
      <c r="K78" s="212" t="str">
        <f t="shared" si="11"/>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187</v>
      </c>
      <c r="F79" s="189" t="s">
        <v>29</v>
      </c>
      <c r="G79" s="189" t="s">
        <v>109</v>
      </c>
      <c r="H79" s="366">
        <v>2</v>
      </c>
      <c r="I79" s="366" t="s">
        <v>29</v>
      </c>
      <c r="J79" s="366">
        <v>2</v>
      </c>
      <c r="K79" s="212">
        <f t="shared" si="11"/>
        <v>3</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138</v>
      </c>
      <c r="F80" s="189" t="s">
        <v>29</v>
      </c>
      <c r="G80" s="189" t="s">
        <v>152</v>
      </c>
      <c r="H80" s="366">
        <v>1</v>
      </c>
      <c r="I80" s="366" t="s">
        <v>29</v>
      </c>
      <c r="J80" s="366">
        <v>0</v>
      </c>
      <c r="K80" s="212" t="str">
        <f t="shared" si="11"/>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193</v>
      </c>
      <c r="F81" s="189" t="s">
        <v>29</v>
      </c>
      <c r="G81" s="189" t="s">
        <v>390</v>
      </c>
      <c r="H81" s="366">
        <v>1</v>
      </c>
      <c r="I81" s="366" t="s">
        <v>29</v>
      </c>
      <c r="J81" s="366">
        <v>1</v>
      </c>
      <c r="K81" s="212">
        <f t="shared" si="11"/>
        <v>3</v>
      </c>
      <c r="L81" s="210">
        <f>VLOOKUP($B81,Invulblad!$A$11:$S$103,13,0)</f>
        <v>3</v>
      </c>
      <c r="M81" s="211">
        <f>IF(L81&lt;&gt;"",VLOOKUP($B81,Invulblad!$A$11:$S$103,7,0),"")</f>
        <v>1</v>
      </c>
      <c r="N81" s="209" t="s">
        <v>29</v>
      </c>
      <c r="O81" s="211">
        <f>IF(L81&lt;&gt;"",VLOOKUP($B81,Invulblad!$A$11:$S$103,9,0),"")</f>
        <v>1</v>
      </c>
      <c r="P81" s="212">
        <f t="shared" si="15"/>
        <v>10</v>
      </c>
    </row>
    <row r="82" spans="1:16">
      <c r="A82" s="188">
        <v>69</v>
      </c>
      <c r="B82" s="195">
        <v>53</v>
      </c>
      <c r="C82" s="332">
        <v>41820</v>
      </c>
      <c r="D82" s="333">
        <v>0.75</v>
      </c>
      <c r="E82" s="189" t="s">
        <v>209</v>
      </c>
      <c r="F82" s="189" t="s">
        <v>29</v>
      </c>
      <c r="G82" s="189" t="s">
        <v>108</v>
      </c>
      <c r="H82" s="366">
        <v>2</v>
      </c>
      <c r="I82" s="366" t="s">
        <v>29</v>
      </c>
      <c r="J82" s="366">
        <v>0</v>
      </c>
      <c r="K82" s="212" t="str">
        <f t="shared" si="11"/>
        <v>1</v>
      </c>
      <c r="L82" s="210" t="str">
        <f>VLOOKUP($B82,Invulblad!$A$11:$S$103,13,0)</f>
        <v>1</v>
      </c>
      <c r="M82" s="211">
        <f>IF(L82&lt;&gt;"",VLOOKUP($B82,Invulblad!$A$11:$S$103,7,0),"")</f>
        <v>2</v>
      </c>
      <c r="N82" s="209" t="s">
        <v>29</v>
      </c>
      <c r="O82" s="211">
        <f>IF(L82&lt;&gt;"",VLOOKUP($B82,Invulblad!$A$11:$S$103,9,0),"")</f>
        <v>0</v>
      </c>
      <c r="P82" s="212">
        <f t="shared" si="15"/>
        <v>10</v>
      </c>
    </row>
    <row r="83" spans="1:16">
      <c r="A83" s="188">
        <v>70</v>
      </c>
      <c r="B83" s="195">
        <v>54</v>
      </c>
      <c r="C83" s="332">
        <v>41820</v>
      </c>
      <c r="D83" s="333">
        <v>0.91666666666666663</v>
      </c>
      <c r="E83" s="189" t="s">
        <v>177</v>
      </c>
      <c r="F83" s="189" t="s">
        <v>29</v>
      </c>
      <c r="G83" s="189" t="s">
        <v>395</v>
      </c>
      <c r="H83" s="366">
        <v>2</v>
      </c>
      <c r="I83" s="366" t="s">
        <v>29</v>
      </c>
      <c r="J83" s="366">
        <v>0</v>
      </c>
      <c r="K83" s="212" t="str">
        <f t="shared" si="11"/>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143</v>
      </c>
      <c r="H84" s="366">
        <v>3</v>
      </c>
      <c r="I84" s="366" t="s">
        <v>29</v>
      </c>
      <c r="J84" s="366">
        <v>1</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396</v>
      </c>
      <c r="F85" s="189" t="s">
        <v>29</v>
      </c>
      <c r="G85" s="189" t="s">
        <v>32</v>
      </c>
      <c r="H85" s="366">
        <v>1</v>
      </c>
      <c r="I85" s="366" t="s">
        <v>29</v>
      </c>
      <c r="J85" s="366">
        <v>1</v>
      </c>
      <c r="K85" s="212">
        <f t="shared" si="11"/>
        <v>3</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187</v>
      </c>
      <c r="H88" s="366">
        <v>3</v>
      </c>
      <c r="I88" s="366" t="s">
        <v>29</v>
      </c>
      <c r="J88" s="366">
        <v>0</v>
      </c>
      <c r="K88" s="212" t="str">
        <f t="shared" si="16"/>
        <v>1</v>
      </c>
      <c r="L88" s="210" t="str">
        <f>VLOOKUP($B88,Invulblad!$A$11:$S$103,13,0)</f>
        <v>1</v>
      </c>
      <c r="M88" s="211">
        <f>IF(L88&lt;&gt;"",VLOOKUP($B88,Invulblad!$A$11:$S$103,7,0),"")</f>
        <v>2</v>
      </c>
      <c r="N88" s="209" t="s">
        <v>29</v>
      </c>
      <c r="O88" s="211">
        <f>IF(L88&lt;&gt;"",VLOOKUP($B88,Invulblad!$A$11:$S$103,9,0),"")</f>
        <v>1</v>
      </c>
      <c r="P88" s="212">
        <f>IF(L88&lt;&gt;"",IF(AND(M88=H88,O88=J88),10,IF(K88=L88,5,0)),"")</f>
        <v>5</v>
      </c>
    </row>
    <row r="89" spans="1:16">
      <c r="A89" s="188">
        <v>76</v>
      </c>
      <c r="B89" s="195">
        <v>58</v>
      </c>
      <c r="C89" s="332">
        <v>41824</v>
      </c>
      <c r="D89" s="333">
        <v>0.75</v>
      </c>
      <c r="E89" s="189" t="s">
        <v>209</v>
      </c>
      <c r="F89" s="189" t="s">
        <v>29</v>
      </c>
      <c r="G89" s="189" t="s">
        <v>177</v>
      </c>
      <c r="H89" s="366">
        <v>1</v>
      </c>
      <c r="I89" s="366" t="s">
        <v>29</v>
      </c>
      <c r="J89" s="366">
        <v>2</v>
      </c>
      <c r="K89" s="212">
        <f t="shared" si="16"/>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138</v>
      </c>
      <c r="F90" s="189" t="s">
        <v>29</v>
      </c>
      <c r="G90" s="189" t="s">
        <v>193</v>
      </c>
      <c r="H90" s="366">
        <v>2</v>
      </c>
      <c r="I90" s="366" t="s">
        <v>29</v>
      </c>
      <c r="J90" s="366">
        <v>1</v>
      </c>
      <c r="K90" s="212" t="str">
        <f t="shared" si="16"/>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32</v>
      </c>
      <c r="H91" s="366">
        <v>3</v>
      </c>
      <c r="I91" s="366" t="s">
        <v>29</v>
      </c>
      <c r="J91" s="366">
        <v>0</v>
      </c>
      <c r="K91" s="212" t="str">
        <f t="shared" si="16"/>
        <v>1</v>
      </c>
      <c r="L91" s="210"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H92" s="367"/>
      <c r="I92" s="367"/>
      <c r="J92" s="367"/>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177</v>
      </c>
      <c r="H94" s="366">
        <v>1</v>
      </c>
      <c r="I94" s="366" t="s">
        <v>29</v>
      </c>
      <c r="J94" s="366">
        <v>2</v>
      </c>
      <c r="K94" s="212">
        <f t="shared" si="16"/>
        <v>2</v>
      </c>
      <c r="L94" s="210">
        <f>VLOOKUP($B94,Invulblad!$A$11:$S$103,13,0)</f>
        <v>2</v>
      </c>
      <c r="M94" s="211">
        <f>IF(L94&lt;&gt;"",VLOOKUP($B94,Invulblad!$A$11:$S$103,7,0),"")</f>
        <v>1</v>
      </c>
      <c r="N94" s="209" t="s">
        <v>29</v>
      </c>
      <c r="O94" s="211">
        <f>IF(L94&lt;&gt;"",VLOOKUP($B94,Invulblad!$A$11:$S$103,9,0),"")</f>
        <v>7</v>
      </c>
      <c r="P94" s="212">
        <f>IF(L94&lt;&gt;"",IF(AND(M94=H94,O94=J94),10,IF(K94=L94,5,0)),"")</f>
        <v>5</v>
      </c>
    </row>
    <row r="95" spans="1:16">
      <c r="A95" s="188">
        <v>82</v>
      </c>
      <c r="B95" s="195">
        <v>62</v>
      </c>
      <c r="C95" s="332">
        <v>41829</v>
      </c>
      <c r="D95" s="333">
        <v>0.91666666666666663</v>
      </c>
      <c r="E95" s="189" t="s">
        <v>138</v>
      </c>
      <c r="F95" s="189" t="s">
        <v>29</v>
      </c>
      <c r="G95" s="189" t="s">
        <v>102</v>
      </c>
      <c r="H95" s="366">
        <v>1</v>
      </c>
      <c r="I95" s="366" t="s">
        <v>29</v>
      </c>
      <c r="J95" s="366">
        <v>1</v>
      </c>
      <c r="K95" s="212">
        <f t="shared" si="16"/>
        <v>3</v>
      </c>
      <c r="L95" s="210">
        <f>VLOOKUP($B95,Invulblad!$A$11:$S$103,13,0)</f>
        <v>3</v>
      </c>
      <c r="M95" s="211">
        <f>IF(L95&lt;&gt;"",VLOOKUP($B95,Invulblad!$A$11:$S$103,7,0),"")</f>
        <v>0</v>
      </c>
      <c r="N95" s="209" t="s">
        <v>29</v>
      </c>
      <c r="O95" s="211">
        <f>IF(L95&lt;&gt;"",VLOOKUP($B95,Invulblad!$A$11:$S$103,9,0),"")</f>
        <v>0</v>
      </c>
      <c r="P95" s="212">
        <f>IF(L95&lt;&gt;"",IF(AND(M95=H95,O95=J95),10,IF(K95=L95,5,0)),"")</f>
        <v>5</v>
      </c>
    </row>
    <row r="96" spans="1:16">
      <c r="A96" s="188">
        <v>83</v>
      </c>
      <c r="B96" s="201" t="s">
        <v>571</v>
      </c>
      <c r="H96" s="367"/>
      <c r="I96" s="367"/>
      <c r="J96" s="367"/>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199</v>
      </c>
      <c r="F98" s="189" t="s">
        <v>29</v>
      </c>
      <c r="G98" s="189" t="s">
        <v>138</v>
      </c>
      <c r="H98" s="366">
        <v>0</v>
      </c>
      <c r="I98" s="366" t="s">
        <v>29</v>
      </c>
      <c r="J98" s="366">
        <v>0</v>
      </c>
      <c r="K98" s="212">
        <f t="shared" si="16"/>
        <v>3</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367"/>
      <c r="I99" s="367"/>
      <c r="J99" s="367"/>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177</v>
      </c>
      <c r="F101" s="189" t="s">
        <v>29</v>
      </c>
      <c r="G101" s="189" t="s">
        <v>102</v>
      </c>
      <c r="H101" s="366">
        <v>3</v>
      </c>
      <c r="I101" s="366" t="s">
        <v>29</v>
      </c>
      <c r="J101" s="366">
        <v>1</v>
      </c>
      <c r="K101" s="212" t="str">
        <f t="shared" si="16"/>
        <v>1</v>
      </c>
      <c r="L101" s="210" t="str">
        <f>VLOOKUP($B101,Invulblad!$A$11:$S$103,13,0)</f>
        <v>1</v>
      </c>
      <c r="M101" s="211">
        <f>IF(L101&lt;&gt;"",VLOOKUP($B101,Invulblad!$A$11:$S$103,7,0),"")</f>
        <v>1</v>
      </c>
      <c r="N101" s="209" t="s">
        <v>29</v>
      </c>
      <c r="O101" s="211">
        <f>IF(L101&lt;&gt;"",VLOOKUP($B101,Invulblad!$A$11:$S$103,9,0),"")</f>
        <v>0</v>
      </c>
      <c r="P101" s="212">
        <f>IF(L101&lt;&gt;"",IF(AND(M101=H101,O101=J101),10,IF(K101=L101,5,0)),"")</f>
        <v>5</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152</v>
      </c>
    </row>
    <row r="112" spans="1:16">
      <c r="B112" s="201" t="s">
        <v>144</v>
      </c>
    </row>
    <row r="114" spans="2:15">
      <c r="B114" s="215" t="s">
        <v>145</v>
      </c>
      <c r="C114" s="215" t="s">
        <v>146</v>
      </c>
      <c r="D114" s="215" t="s">
        <v>147</v>
      </c>
      <c r="E114" s="215" t="s">
        <v>148</v>
      </c>
    </row>
    <row r="115" spans="2:15">
      <c r="B115" s="216" t="s">
        <v>199</v>
      </c>
      <c r="C115" s="216" t="s">
        <v>163</v>
      </c>
      <c r="D115" s="216" t="s">
        <v>172</v>
      </c>
      <c r="E115" s="216" t="s">
        <v>172</v>
      </c>
    </row>
    <row r="116" spans="2:15">
      <c r="B116" s="217" t="s">
        <v>389</v>
      </c>
      <c r="C116" s="217" t="s">
        <v>151</v>
      </c>
      <c r="D116" s="217" t="s">
        <v>165</v>
      </c>
      <c r="E116" s="217" t="s">
        <v>153</v>
      </c>
    </row>
    <row r="117" spans="2:15">
      <c r="B117" s="216" t="s">
        <v>152</v>
      </c>
      <c r="C117" s="216" t="s">
        <v>149</v>
      </c>
      <c r="D117" s="216" t="s">
        <v>154</v>
      </c>
      <c r="E117" s="216" t="s">
        <v>151</v>
      </c>
    </row>
    <row r="118" spans="2:15">
      <c r="B118" s="217" t="s">
        <v>185</v>
      </c>
      <c r="C118" s="217" t="s">
        <v>156</v>
      </c>
      <c r="D118" s="217" t="s">
        <v>180</v>
      </c>
      <c r="E118" s="217" t="s">
        <v>156</v>
      </c>
    </row>
    <row r="121" spans="2:15">
      <c r="B121" s="201" t="s">
        <v>157</v>
      </c>
    </row>
    <row r="122" spans="2:15">
      <c r="B122" s="195"/>
    </row>
    <row r="123" spans="2:15">
      <c r="B123" s="195" t="s">
        <v>158</v>
      </c>
    </row>
    <row r="124" spans="2:15">
      <c r="B124" s="195" t="s">
        <v>251</v>
      </c>
    </row>
    <row r="127" spans="2:15">
      <c r="B127" s="218"/>
      <c r="C127" s="218"/>
      <c r="D127" s="218"/>
      <c r="E127" s="218"/>
      <c r="F127" s="218"/>
      <c r="G127" s="218"/>
      <c r="H127" s="364"/>
      <c r="I127" s="364"/>
      <c r="J127" s="364"/>
      <c r="K127" s="218"/>
      <c r="L127" s="219"/>
      <c r="M127" s="218"/>
      <c r="N127" s="218"/>
      <c r="O127" s="218"/>
    </row>
    <row r="130" spans="1:5">
      <c r="B130" s="201" t="s">
        <v>160</v>
      </c>
    </row>
    <row r="132" spans="1:5">
      <c r="A132" s="227" t="s">
        <v>67</v>
      </c>
      <c r="B132" s="189" t="s">
        <v>140</v>
      </c>
      <c r="C132" s="189" t="s">
        <v>141</v>
      </c>
      <c r="D132" s="201" t="s">
        <v>138</v>
      </c>
    </row>
    <row r="133" spans="1:5">
      <c r="A133" s="188" t="s">
        <v>68</v>
      </c>
      <c r="B133" s="189" t="s">
        <v>142</v>
      </c>
      <c r="C133" s="189" t="s">
        <v>141</v>
      </c>
      <c r="D133" s="201" t="s">
        <v>135</v>
      </c>
    </row>
    <row r="136" spans="1:5">
      <c r="B136" s="201" t="s">
        <v>161</v>
      </c>
    </row>
    <row r="138" spans="1:5">
      <c r="B138" s="215" t="s">
        <v>145</v>
      </c>
      <c r="C138" s="215" t="s">
        <v>146</v>
      </c>
      <c r="D138" s="215" t="s">
        <v>147</v>
      </c>
      <c r="E138" s="215" t="s">
        <v>148</v>
      </c>
    </row>
    <row r="139" spans="1:5">
      <c r="B139" s="216" t="s">
        <v>138</v>
      </c>
      <c r="C139" s="216" t="s">
        <v>163</v>
      </c>
      <c r="D139" s="216" t="s">
        <v>155</v>
      </c>
      <c r="E139" s="216" t="s">
        <v>155</v>
      </c>
    </row>
    <row r="140" spans="1:5">
      <c r="B140" s="217" t="s">
        <v>135</v>
      </c>
      <c r="C140" s="217" t="s">
        <v>149</v>
      </c>
      <c r="D140" s="217" t="s">
        <v>150</v>
      </c>
      <c r="E140" s="217" t="s">
        <v>151</v>
      </c>
    </row>
    <row r="141" spans="1:5">
      <c r="B141" s="216" t="s">
        <v>207</v>
      </c>
      <c r="C141" s="216" t="s">
        <v>153</v>
      </c>
      <c r="D141" s="216" t="s">
        <v>154</v>
      </c>
      <c r="E141" s="216" t="s">
        <v>153</v>
      </c>
    </row>
    <row r="142" spans="1:5">
      <c r="B142" s="217" t="s">
        <v>179</v>
      </c>
      <c r="C142" s="217" t="s">
        <v>156</v>
      </c>
      <c r="D142" s="217" t="s">
        <v>180</v>
      </c>
      <c r="E142" s="217" t="s">
        <v>156</v>
      </c>
    </row>
    <row r="145" spans="1:15">
      <c r="B145" s="201" t="s">
        <v>166</v>
      </c>
    </row>
    <row r="146" spans="1:15">
      <c r="B146" s="195"/>
    </row>
    <row r="147" spans="1:15">
      <c r="B147" s="195" t="s">
        <v>167</v>
      </c>
    </row>
    <row r="148" spans="1:15">
      <c r="B148" s="195" t="s">
        <v>168</v>
      </c>
    </row>
    <row r="151" spans="1:15">
      <c r="B151" s="218"/>
      <c r="C151" s="218"/>
      <c r="D151" s="218"/>
      <c r="E151" s="218"/>
      <c r="F151" s="218"/>
      <c r="G151" s="218"/>
      <c r="H151" s="364"/>
      <c r="I151" s="364"/>
      <c r="J151" s="364"/>
      <c r="K151" s="218"/>
      <c r="L151" s="219"/>
      <c r="M151" s="218"/>
      <c r="N151" s="218"/>
      <c r="O151" s="218"/>
    </row>
    <row r="154" spans="1:15">
      <c r="B154" s="201" t="s">
        <v>169</v>
      </c>
    </row>
    <row r="156" spans="1:15">
      <c r="A156" s="188" t="s">
        <v>69</v>
      </c>
      <c r="B156" s="189" t="s">
        <v>140</v>
      </c>
      <c r="C156" s="189" t="s">
        <v>141</v>
      </c>
      <c r="D156" s="201" t="s">
        <v>187</v>
      </c>
    </row>
    <row r="157" spans="1:15">
      <c r="A157" s="188" t="s">
        <v>70</v>
      </c>
      <c r="B157" s="189" t="s">
        <v>142</v>
      </c>
      <c r="C157" s="189" t="s">
        <v>141</v>
      </c>
      <c r="D157" s="201" t="s">
        <v>390</v>
      </c>
    </row>
    <row r="160" spans="1:15">
      <c r="B160" s="201" t="s">
        <v>170</v>
      </c>
    </row>
    <row r="162" spans="2:15">
      <c r="B162" s="215" t="s">
        <v>145</v>
      </c>
      <c r="C162" s="215" t="s">
        <v>146</v>
      </c>
      <c r="D162" s="215" t="s">
        <v>147</v>
      </c>
      <c r="E162" s="215" t="s">
        <v>148</v>
      </c>
    </row>
    <row r="163" spans="2:15">
      <c r="B163" s="216" t="s">
        <v>390</v>
      </c>
      <c r="C163" s="216" t="s">
        <v>149</v>
      </c>
      <c r="D163" s="216" t="s">
        <v>150</v>
      </c>
      <c r="E163" s="216" t="s">
        <v>153</v>
      </c>
    </row>
    <row r="164" spans="2:15">
      <c r="B164" s="217" t="s">
        <v>106</v>
      </c>
      <c r="C164" s="217" t="s">
        <v>149</v>
      </c>
      <c r="D164" s="217" t="s">
        <v>150</v>
      </c>
      <c r="E164" s="217" t="s">
        <v>156</v>
      </c>
    </row>
    <row r="165" spans="2:15">
      <c r="B165" s="216" t="s">
        <v>200</v>
      </c>
      <c r="C165" s="216" t="s">
        <v>156</v>
      </c>
      <c r="D165" s="216" t="s">
        <v>165</v>
      </c>
      <c r="E165" s="216" t="s">
        <v>153</v>
      </c>
    </row>
    <row r="166" spans="2:15">
      <c r="B166" s="217" t="s">
        <v>187</v>
      </c>
      <c r="C166" s="217" t="s">
        <v>172</v>
      </c>
      <c r="D166" s="217" t="s">
        <v>153</v>
      </c>
      <c r="E166" s="217" t="s">
        <v>155</v>
      </c>
    </row>
    <row r="169" spans="2:15">
      <c r="B169" s="201" t="s">
        <v>173</v>
      </c>
    </row>
    <row r="170" spans="2:15">
      <c r="B170" s="195"/>
    </row>
    <row r="171" spans="2:15">
      <c r="B171" s="195" t="s">
        <v>174</v>
      </c>
    </row>
    <row r="172" spans="2:15">
      <c r="B172" s="195" t="s">
        <v>523</v>
      </c>
    </row>
    <row r="175" spans="2:15">
      <c r="B175" s="218"/>
      <c r="C175" s="218"/>
      <c r="D175" s="218"/>
      <c r="E175" s="218"/>
      <c r="F175" s="218"/>
      <c r="G175" s="218"/>
      <c r="H175" s="364"/>
      <c r="I175" s="364"/>
      <c r="J175" s="364"/>
      <c r="K175" s="218"/>
      <c r="L175" s="219"/>
      <c r="M175" s="218"/>
      <c r="N175" s="218"/>
      <c r="O175" s="218"/>
    </row>
    <row r="178" spans="1:5">
      <c r="B178" s="201" t="s">
        <v>176</v>
      </c>
    </row>
    <row r="180" spans="1:5">
      <c r="A180" s="188" t="s">
        <v>71</v>
      </c>
      <c r="B180" s="189" t="s">
        <v>140</v>
      </c>
      <c r="C180" s="189" t="s">
        <v>141</v>
      </c>
      <c r="D180" s="201" t="s">
        <v>193</v>
      </c>
    </row>
    <row r="181" spans="1:5">
      <c r="A181" s="188" t="s">
        <v>72</v>
      </c>
      <c r="B181" s="189" t="s">
        <v>142</v>
      </c>
      <c r="C181" s="189" t="s">
        <v>141</v>
      </c>
      <c r="D181" s="201" t="s">
        <v>109</v>
      </c>
    </row>
    <row r="184" spans="1:5">
      <c r="B184" s="201" t="s">
        <v>178</v>
      </c>
    </row>
    <row r="186" spans="1:5">
      <c r="B186" s="215" t="s">
        <v>145</v>
      </c>
      <c r="C186" s="215" t="s">
        <v>146</v>
      </c>
      <c r="D186" s="215" t="s">
        <v>147</v>
      </c>
      <c r="E186" s="215" t="s">
        <v>148</v>
      </c>
    </row>
    <row r="187" spans="1:5">
      <c r="B187" s="216" t="s">
        <v>97</v>
      </c>
      <c r="C187" s="216" t="s">
        <v>149</v>
      </c>
      <c r="D187" s="216" t="s">
        <v>150</v>
      </c>
      <c r="E187" s="216" t="s">
        <v>149</v>
      </c>
    </row>
    <row r="188" spans="1:5">
      <c r="B188" s="217" t="s">
        <v>391</v>
      </c>
      <c r="C188" s="217" t="s">
        <v>150</v>
      </c>
      <c r="D188" s="217" t="s">
        <v>241</v>
      </c>
      <c r="E188" s="217" t="s">
        <v>156</v>
      </c>
    </row>
    <row r="189" spans="1:5">
      <c r="B189" s="216" t="s">
        <v>109</v>
      </c>
      <c r="C189" s="216" t="s">
        <v>155</v>
      </c>
      <c r="D189" s="216" t="s">
        <v>151</v>
      </c>
      <c r="E189" s="216" t="s">
        <v>164</v>
      </c>
    </row>
    <row r="190" spans="1:5">
      <c r="B190" s="217" t="s">
        <v>193</v>
      </c>
      <c r="C190" s="217" t="s">
        <v>172</v>
      </c>
      <c r="D190" s="217" t="s">
        <v>151</v>
      </c>
      <c r="E190" s="217" t="s">
        <v>149</v>
      </c>
    </row>
    <row r="193" spans="1:15">
      <c r="B193" s="201" t="s">
        <v>182</v>
      </c>
    </row>
    <row r="194" spans="1:15">
      <c r="B194" s="195"/>
    </row>
    <row r="195" spans="1:15">
      <c r="B195" s="195" t="s">
        <v>239</v>
      </c>
    </row>
    <row r="196" spans="1:15">
      <c r="B196" s="195" t="s">
        <v>240</v>
      </c>
    </row>
    <row r="198" spans="1:15">
      <c r="K198" s="218"/>
      <c r="L198" s="219"/>
      <c r="M198" s="218"/>
      <c r="N198" s="218"/>
      <c r="O198" s="218"/>
    </row>
    <row r="199" spans="1:15">
      <c r="B199" s="218"/>
      <c r="C199" s="218"/>
      <c r="D199" s="218"/>
      <c r="E199" s="218"/>
      <c r="F199" s="218"/>
      <c r="G199" s="218"/>
      <c r="H199" s="364"/>
      <c r="I199" s="364"/>
      <c r="J199" s="364"/>
    </row>
    <row r="202" spans="1:15">
      <c r="B202" s="201" t="s">
        <v>184</v>
      </c>
    </row>
    <row r="204" spans="1:15">
      <c r="A204" s="188" t="s">
        <v>73</v>
      </c>
      <c r="B204" s="189" t="s">
        <v>140</v>
      </c>
      <c r="C204" s="189" t="s">
        <v>141</v>
      </c>
      <c r="D204" s="201" t="s">
        <v>209</v>
      </c>
    </row>
    <row r="205" spans="1:15">
      <c r="A205" s="188" t="s">
        <v>74</v>
      </c>
      <c r="B205" s="189" t="s">
        <v>142</v>
      </c>
      <c r="C205" s="189" t="s">
        <v>141</v>
      </c>
      <c r="D205" s="201" t="s">
        <v>143</v>
      </c>
    </row>
    <row r="208" spans="1:15">
      <c r="B208" s="201" t="s">
        <v>186</v>
      </c>
    </row>
    <row r="210" spans="2:15">
      <c r="B210" s="215" t="s">
        <v>145</v>
      </c>
      <c r="C210" s="215" t="s">
        <v>146</v>
      </c>
      <c r="D210" s="215" t="s">
        <v>147</v>
      </c>
      <c r="E210" s="215" t="s">
        <v>148</v>
      </c>
    </row>
    <row r="211" spans="2:15">
      <c r="B211" s="216" t="s">
        <v>209</v>
      </c>
      <c r="C211" s="216" t="s">
        <v>172</v>
      </c>
      <c r="D211" s="216" t="s">
        <v>155</v>
      </c>
      <c r="E211" s="216" t="s">
        <v>164</v>
      </c>
    </row>
    <row r="212" spans="2:15">
      <c r="B212" s="217" t="s">
        <v>392</v>
      </c>
      <c r="C212" s="217" t="s">
        <v>149</v>
      </c>
      <c r="D212" s="217" t="s">
        <v>154</v>
      </c>
      <c r="E212" s="217" t="s">
        <v>153</v>
      </c>
    </row>
    <row r="213" spans="2:15">
      <c r="B213" s="216" t="s">
        <v>143</v>
      </c>
      <c r="C213" s="216" t="s">
        <v>155</v>
      </c>
      <c r="D213" s="216" t="s">
        <v>153</v>
      </c>
      <c r="E213" s="216" t="s">
        <v>151</v>
      </c>
    </row>
    <row r="214" spans="2:15">
      <c r="B214" s="217" t="s">
        <v>210</v>
      </c>
      <c r="C214" s="217" t="s">
        <v>150</v>
      </c>
      <c r="D214" s="217" t="s">
        <v>241</v>
      </c>
      <c r="E214" s="217" t="s">
        <v>156</v>
      </c>
    </row>
    <row r="217" spans="2:15">
      <c r="B217" s="201" t="s">
        <v>189</v>
      </c>
    </row>
    <row r="218" spans="2:15">
      <c r="B218" s="195"/>
    </row>
    <row r="219" spans="2:15">
      <c r="B219" s="195" t="s">
        <v>190</v>
      </c>
    </row>
    <row r="220" spans="2:15">
      <c r="B220" s="195" t="s">
        <v>191</v>
      </c>
    </row>
    <row r="222" spans="2:15">
      <c r="K222" s="218"/>
      <c r="L222" s="219"/>
      <c r="M222" s="218"/>
      <c r="N222" s="218"/>
      <c r="O222" s="218"/>
    </row>
    <row r="223" spans="2:15">
      <c r="B223" s="218"/>
      <c r="C223" s="218"/>
      <c r="D223" s="218"/>
      <c r="E223" s="218"/>
      <c r="F223" s="218"/>
      <c r="G223" s="218"/>
      <c r="H223" s="364"/>
      <c r="I223" s="364"/>
      <c r="J223" s="364"/>
    </row>
    <row r="226" spans="1:5">
      <c r="B226" s="201" t="s">
        <v>192</v>
      </c>
    </row>
    <row r="228" spans="1:5">
      <c r="A228" s="188" t="s">
        <v>75</v>
      </c>
      <c r="B228" s="189" t="s">
        <v>140</v>
      </c>
      <c r="C228" s="189" t="s">
        <v>141</v>
      </c>
      <c r="D228" s="201" t="s">
        <v>102</v>
      </c>
    </row>
    <row r="229" spans="1:5">
      <c r="A229" s="188" t="s">
        <v>76</v>
      </c>
      <c r="B229" s="189" t="s">
        <v>142</v>
      </c>
      <c r="C229" s="189" t="s">
        <v>141</v>
      </c>
      <c r="D229" s="201" t="s">
        <v>108</v>
      </c>
    </row>
    <row r="232" spans="1:5">
      <c r="B232" s="201" t="s">
        <v>194</v>
      </c>
    </row>
    <row r="234" spans="1:5">
      <c r="B234" s="215" t="s">
        <v>145</v>
      </c>
      <c r="C234" s="215" t="s">
        <v>146</v>
      </c>
      <c r="D234" s="215" t="s">
        <v>147</v>
      </c>
      <c r="E234" s="215" t="s">
        <v>148</v>
      </c>
    </row>
    <row r="235" spans="1:5">
      <c r="B235" s="216" t="s">
        <v>102</v>
      </c>
      <c r="C235" s="216" t="s">
        <v>163</v>
      </c>
      <c r="D235" s="216" t="s">
        <v>243</v>
      </c>
      <c r="E235" s="216" t="s">
        <v>243</v>
      </c>
    </row>
    <row r="236" spans="1:5">
      <c r="B236" s="217" t="s">
        <v>572</v>
      </c>
      <c r="C236" s="217" t="s">
        <v>156</v>
      </c>
      <c r="D236" s="217" t="s">
        <v>171</v>
      </c>
      <c r="E236" s="217" t="s">
        <v>156</v>
      </c>
    </row>
    <row r="237" spans="1:5">
      <c r="B237" s="216" t="s">
        <v>394</v>
      </c>
      <c r="C237" s="216" t="s">
        <v>156</v>
      </c>
      <c r="D237" s="216" t="s">
        <v>241</v>
      </c>
      <c r="E237" s="216" t="s">
        <v>153</v>
      </c>
    </row>
    <row r="238" spans="1:5">
      <c r="B238" s="217" t="s">
        <v>108</v>
      </c>
      <c r="C238" s="217" t="s">
        <v>164</v>
      </c>
      <c r="D238" s="217" t="s">
        <v>156</v>
      </c>
      <c r="E238" s="217" t="s">
        <v>149</v>
      </c>
    </row>
    <row r="241" spans="1:15">
      <c r="B241" s="201" t="s">
        <v>195</v>
      </c>
    </row>
    <row r="242" spans="1:15">
      <c r="B242" s="195"/>
    </row>
    <row r="243" spans="1:15">
      <c r="B243" s="195" t="s">
        <v>196</v>
      </c>
    </row>
    <row r="244" spans="1:15">
      <c r="B244" s="195" t="s">
        <v>197</v>
      </c>
    </row>
    <row r="246" spans="1:15">
      <c r="K246" s="218"/>
      <c r="L246" s="219"/>
      <c r="M246" s="218"/>
      <c r="N246" s="218"/>
      <c r="O246" s="218"/>
    </row>
    <row r="247" spans="1:15">
      <c r="B247" s="218"/>
      <c r="C247" s="218"/>
      <c r="D247" s="218"/>
      <c r="E247" s="218"/>
      <c r="F247" s="218"/>
      <c r="G247" s="218"/>
      <c r="H247" s="364"/>
      <c r="I247" s="364"/>
      <c r="J247" s="364"/>
    </row>
    <row r="250" spans="1:15">
      <c r="B250" s="201" t="s">
        <v>198</v>
      </c>
    </row>
    <row r="252" spans="1:15">
      <c r="A252" s="188" t="s">
        <v>77</v>
      </c>
      <c r="B252" s="189" t="s">
        <v>140</v>
      </c>
      <c r="C252" s="189" t="s">
        <v>141</v>
      </c>
      <c r="D252" s="201" t="s">
        <v>177</v>
      </c>
    </row>
    <row r="253" spans="1:15">
      <c r="A253" s="188" t="s">
        <v>78</v>
      </c>
      <c r="B253" s="189" t="s">
        <v>142</v>
      </c>
      <c r="C253" s="189" t="s">
        <v>141</v>
      </c>
      <c r="D253" s="201" t="s">
        <v>32</v>
      </c>
    </row>
    <row r="256" spans="1:15">
      <c r="B256" s="201" t="s">
        <v>201</v>
      </c>
    </row>
    <row r="258" spans="2:10">
      <c r="B258" s="215" t="s">
        <v>145</v>
      </c>
      <c r="C258" s="215" t="s">
        <v>146</v>
      </c>
      <c r="D258" s="215" t="s">
        <v>147</v>
      </c>
      <c r="E258" s="215" t="s">
        <v>148</v>
      </c>
    </row>
    <row r="259" spans="2:10">
      <c r="B259" s="216" t="s">
        <v>177</v>
      </c>
      <c r="C259" s="216" t="s">
        <v>172</v>
      </c>
      <c r="D259" s="216" t="s">
        <v>155</v>
      </c>
      <c r="E259" s="216" t="s">
        <v>164</v>
      </c>
    </row>
    <row r="260" spans="2:10">
      <c r="B260" s="217" t="s">
        <v>202</v>
      </c>
      <c r="C260" s="217" t="s">
        <v>149</v>
      </c>
      <c r="D260" s="217" t="s">
        <v>154</v>
      </c>
      <c r="E260" s="217" t="s">
        <v>151</v>
      </c>
    </row>
    <row r="261" spans="2:10">
      <c r="B261" s="216" t="s">
        <v>181</v>
      </c>
      <c r="C261" s="216" t="s">
        <v>150</v>
      </c>
      <c r="D261" s="216" t="s">
        <v>162</v>
      </c>
      <c r="E261" s="216" t="s">
        <v>156</v>
      </c>
    </row>
    <row r="262" spans="2:10">
      <c r="B262" s="217" t="s">
        <v>32</v>
      </c>
      <c r="C262" s="217" t="s">
        <v>155</v>
      </c>
      <c r="D262" s="217" t="s">
        <v>156</v>
      </c>
      <c r="E262" s="217" t="s">
        <v>149</v>
      </c>
    </row>
    <row r="265" spans="2:10">
      <c r="B265" s="201" t="s">
        <v>203</v>
      </c>
    </row>
    <row r="266" spans="2:10">
      <c r="B266" s="195"/>
    </row>
    <row r="267" spans="2:10">
      <c r="B267" s="195" t="s">
        <v>204</v>
      </c>
    </row>
    <row r="268" spans="2:10">
      <c r="B268" s="195" t="s">
        <v>205</v>
      </c>
    </row>
    <row r="270" spans="2:10">
      <c r="B270" s="218"/>
      <c r="C270" s="218"/>
      <c r="D270" s="218"/>
      <c r="E270" s="218"/>
      <c r="F270" s="218"/>
      <c r="G270" s="218"/>
    </row>
    <row r="271" spans="2:10">
      <c r="H271" s="364"/>
      <c r="I271" s="364"/>
      <c r="J271" s="364"/>
    </row>
    <row r="274" spans="1:5">
      <c r="B274" s="201" t="s">
        <v>206</v>
      </c>
    </row>
    <row r="276" spans="1:5">
      <c r="A276" s="188" t="s">
        <v>79</v>
      </c>
      <c r="B276" s="189" t="s">
        <v>140</v>
      </c>
      <c r="C276" s="189" t="s">
        <v>141</v>
      </c>
      <c r="D276" s="201" t="s">
        <v>396</v>
      </c>
    </row>
    <row r="277" spans="1:5">
      <c r="A277" s="188" t="s">
        <v>80</v>
      </c>
      <c r="B277" s="189" t="s">
        <v>142</v>
      </c>
      <c r="C277" s="189" t="s">
        <v>141</v>
      </c>
      <c r="D277" s="201" t="s">
        <v>395</v>
      </c>
    </row>
    <row r="280" spans="1:5">
      <c r="B280" s="201" t="s">
        <v>208</v>
      </c>
    </row>
    <row r="282" spans="1:5">
      <c r="B282" s="215" t="s">
        <v>145</v>
      </c>
      <c r="C282" s="215" t="s">
        <v>146</v>
      </c>
      <c r="D282" s="215" t="s">
        <v>147</v>
      </c>
      <c r="E282" s="215" t="s">
        <v>148</v>
      </c>
    </row>
    <row r="283" spans="1:5">
      <c r="B283" s="216" t="s">
        <v>395</v>
      </c>
      <c r="C283" s="216" t="s">
        <v>149</v>
      </c>
      <c r="D283" s="216" t="s">
        <v>156</v>
      </c>
      <c r="E283" s="216" t="s">
        <v>151</v>
      </c>
    </row>
    <row r="284" spans="1:5">
      <c r="B284" s="217" t="s">
        <v>110</v>
      </c>
      <c r="C284" s="217" t="s">
        <v>156</v>
      </c>
      <c r="D284" s="217" t="s">
        <v>162</v>
      </c>
      <c r="E284" s="217" t="s">
        <v>150</v>
      </c>
    </row>
    <row r="285" spans="1:5">
      <c r="B285" s="216" t="s">
        <v>396</v>
      </c>
      <c r="C285" s="216" t="s">
        <v>163</v>
      </c>
      <c r="D285" s="216" t="s">
        <v>164</v>
      </c>
      <c r="E285" s="216" t="s">
        <v>164</v>
      </c>
    </row>
    <row r="286" spans="1:5">
      <c r="B286" s="217" t="s">
        <v>104</v>
      </c>
      <c r="C286" s="217" t="s">
        <v>153</v>
      </c>
      <c r="D286" s="217" t="s">
        <v>165</v>
      </c>
      <c r="E286" s="217" t="s">
        <v>156</v>
      </c>
    </row>
    <row r="289" spans="2:15">
      <c r="B289" s="201" t="s">
        <v>211</v>
      </c>
    </row>
    <row r="290" spans="2:15">
      <c r="B290" s="195"/>
    </row>
    <row r="291" spans="2:15">
      <c r="B291" s="195" t="s">
        <v>212</v>
      </c>
    </row>
    <row r="292" spans="2:15">
      <c r="B292" s="189" t="s">
        <v>213</v>
      </c>
    </row>
    <row r="294" spans="2:15">
      <c r="B294" s="218"/>
      <c r="C294" s="218"/>
      <c r="D294" s="218"/>
      <c r="E294" s="218"/>
      <c r="F294" s="218"/>
      <c r="G294" s="218"/>
      <c r="K294" s="218"/>
      <c r="L294" s="219"/>
      <c r="M294" s="218"/>
      <c r="N294" s="218"/>
      <c r="O294" s="218"/>
    </row>
    <row r="295" spans="2:15">
      <c r="H295" s="364"/>
      <c r="I295" s="364"/>
      <c r="J295" s="364"/>
    </row>
    <row r="299" spans="2:15">
      <c r="B299" s="189" t="s">
        <v>214</v>
      </c>
    </row>
    <row r="301" spans="2:15">
      <c r="B301" s="220" t="s">
        <v>573</v>
      </c>
    </row>
    <row r="302" spans="2:15">
      <c r="B302" s="220"/>
    </row>
    <row r="304" spans="2:15">
      <c r="B304" s="220" t="s">
        <v>574</v>
      </c>
    </row>
    <row r="305" spans="2:2">
      <c r="B305" s="220"/>
    </row>
    <row r="307" spans="2:2">
      <c r="B307" s="195"/>
    </row>
    <row r="308" spans="2:2">
      <c r="B308" s="204" t="s">
        <v>215</v>
      </c>
    </row>
    <row r="309" spans="2:2">
      <c r="B309" s="221" t="s">
        <v>216</v>
      </c>
    </row>
    <row r="310" spans="2:2">
      <c r="B310" s="221" t="s">
        <v>217</v>
      </c>
    </row>
    <row r="311" spans="2:2">
      <c r="B311" s="221" t="s">
        <v>218</v>
      </c>
    </row>
    <row r="312" spans="2:2">
      <c r="B312" s="221" t="s">
        <v>219</v>
      </c>
    </row>
    <row r="313" spans="2:2">
      <c r="B313" s="204" t="s">
        <v>220</v>
      </c>
    </row>
    <row r="314" spans="2:2">
      <c r="B314" s="221" t="s">
        <v>221</v>
      </c>
    </row>
    <row r="315" spans="2:2">
      <c r="B315" s="221" t="s">
        <v>222</v>
      </c>
    </row>
    <row r="316" spans="2:2">
      <c r="B316" s="221" t="s">
        <v>223</v>
      </c>
    </row>
    <row r="317" spans="2:2">
      <c r="B317" s="204" t="s">
        <v>224</v>
      </c>
    </row>
    <row r="318" spans="2:2">
      <c r="B318" s="221" t="s">
        <v>225</v>
      </c>
    </row>
    <row r="319" spans="2:2">
      <c r="B319" s="221" t="s">
        <v>226</v>
      </c>
    </row>
    <row r="320" spans="2:2">
      <c r="B320" s="221" t="s">
        <v>227</v>
      </c>
    </row>
    <row r="321" spans="2:2">
      <c r="B321" s="204" t="s">
        <v>228</v>
      </c>
    </row>
    <row r="322" spans="2:2">
      <c r="B322" s="221" t="s">
        <v>229</v>
      </c>
    </row>
    <row r="324" spans="2:2">
      <c r="B324"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9.xml><?xml version="1.0" encoding="utf-8"?>
<worksheet xmlns="http://schemas.openxmlformats.org/spreadsheetml/2006/main" xmlns:r="http://schemas.openxmlformats.org/officeDocument/2006/relationships">
  <sheetPr codeName="Blad12">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248</v>
      </c>
      <c r="L1" s="194"/>
      <c r="P1" s="193">
        <f>SUM(P14:P101)+E11+H11+L7+L11+Q11</f>
        <v>375</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Chili</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Colombia</v>
      </c>
      <c r="C4" s="222">
        <f t="shared" si="1"/>
        <v>10</v>
      </c>
      <c r="D4" s="224" t="str">
        <f t="shared" si="2"/>
        <v>Uruguay</v>
      </c>
      <c r="E4" s="222">
        <f t="shared" si="3"/>
        <v>10</v>
      </c>
      <c r="F4" s="339" t="s">
        <v>450</v>
      </c>
      <c r="G4" s="195" t="str">
        <f>G88</f>
        <v>Uruguay</v>
      </c>
      <c r="H4" s="222">
        <f t="shared" si="4"/>
        <v>0</v>
      </c>
      <c r="I4" s="339" t="s">
        <v>458</v>
      </c>
      <c r="J4" s="195" t="str">
        <f>G94</f>
        <v>Duitsland</v>
      </c>
      <c r="L4" s="222">
        <f>IF(ISNA(MATCH(J4,teams_halve,0)),0,20)</f>
        <v>20</v>
      </c>
      <c r="Q4" s="224"/>
    </row>
    <row r="5" spans="1:21" s="195" customFormat="1" ht="15" customHeight="1">
      <c r="B5" s="224" t="str">
        <f t="shared" si="0"/>
        <v>Spanje</v>
      </c>
      <c r="C5" s="222">
        <f t="shared" si="1"/>
        <v>0</v>
      </c>
      <c r="D5" s="224" t="str">
        <f t="shared" si="2"/>
        <v>Kroatië</v>
      </c>
      <c r="E5" s="222">
        <f t="shared" si="3"/>
        <v>0</v>
      </c>
      <c r="F5" s="339" t="s">
        <v>451</v>
      </c>
      <c r="G5" s="195" t="str">
        <f>E90</f>
        <v>Spanje</v>
      </c>
      <c r="H5" s="222">
        <f t="shared" si="4"/>
        <v>0</v>
      </c>
      <c r="I5" s="339" t="s">
        <v>459</v>
      </c>
      <c r="J5" s="195" t="str">
        <f>E95</f>
        <v>Spanje</v>
      </c>
      <c r="L5" s="222">
        <f>IF(ISNA(MATCH(J5,teams_halve,0)),0,20)</f>
        <v>0</v>
      </c>
    </row>
    <row r="6" spans="1:21" s="195" customFormat="1" ht="15" customHeight="1">
      <c r="B6" s="224" t="str">
        <f t="shared" si="0"/>
        <v>Italië</v>
      </c>
      <c r="C6" s="222">
        <f t="shared" si="1"/>
        <v>0</v>
      </c>
      <c r="D6" s="224" t="str">
        <f t="shared" si="2"/>
        <v>Ivoorkust</v>
      </c>
      <c r="E6" s="222">
        <f t="shared" si="3"/>
        <v>0</v>
      </c>
      <c r="F6" s="339" t="s">
        <v>452</v>
      </c>
      <c r="G6" s="195" t="str">
        <f>G90</f>
        <v>Italië</v>
      </c>
      <c r="H6" s="222">
        <f t="shared" si="4"/>
        <v>0</v>
      </c>
      <c r="I6" s="339" t="s">
        <v>460</v>
      </c>
      <c r="J6" s="195" t="str">
        <f>G95</f>
        <v>Ecuador</v>
      </c>
      <c r="L6" s="222">
        <f>IF(ISNA(MATCH(J6,teams_halve,0)),0,20)</f>
        <v>0</v>
      </c>
    </row>
    <row r="7" spans="1:21" s="195" customFormat="1" ht="15" customHeight="1">
      <c r="B7" s="224" t="str">
        <f t="shared" si="0"/>
        <v>Zwitserland</v>
      </c>
      <c r="C7" s="222">
        <f t="shared" si="1"/>
        <v>10</v>
      </c>
      <c r="D7" s="224" t="str">
        <f t="shared" si="2"/>
        <v>Bosnië en Herzegovina</v>
      </c>
      <c r="E7" s="222">
        <f t="shared" si="3"/>
        <v>0</v>
      </c>
      <c r="F7" s="339" t="s">
        <v>453</v>
      </c>
      <c r="G7" s="195" t="str">
        <f>E89</f>
        <v>Zwitserland</v>
      </c>
      <c r="H7" s="222">
        <f t="shared" si="4"/>
        <v>0</v>
      </c>
      <c r="I7" s="339"/>
      <c r="J7" s="198" t="s">
        <v>83</v>
      </c>
      <c r="K7" s="199"/>
      <c r="L7" s="225">
        <f>SUM(L3:L6)</f>
        <v>40</v>
      </c>
    </row>
    <row r="8" spans="1:21" s="195" customFormat="1" ht="15" customHeight="1">
      <c r="B8" s="224" t="str">
        <f t="shared" si="0"/>
        <v>Duitsland</v>
      </c>
      <c r="C8" s="222">
        <f t="shared" si="1"/>
        <v>10</v>
      </c>
      <c r="D8" s="224" t="str">
        <f t="shared" si="2"/>
        <v>Rusland</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Ecuador</v>
      </c>
      <c r="E9" s="222">
        <f t="shared" si="3"/>
        <v>0</v>
      </c>
      <c r="F9" s="339" t="s">
        <v>455</v>
      </c>
      <c r="G9" s="195" t="str">
        <f>E91</f>
        <v>Ecuador</v>
      </c>
      <c r="H9" s="222">
        <f t="shared" si="4"/>
        <v>0</v>
      </c>
      <c r="I9" s="339" t="s">
        <v>461</v>
      </c>
      <c r="J9" s="195" t="str">
        <f>E101</f>
        <v>Brazilië</v>
      </c>
      <c r="L9" s="222">
        <f>IF(ISNA(MATCH(J9,teams_fin,0)),0,30)</f>
        <v>0</v>
      </c>
      <c r="P9" s="444" t="str">
        <f>E98</f>
        <v>Duitsland</v>
      </c>
      <c r="Q9" s="222">
        <f>IF(ISNA(MATCH(P9,teams_troost,0)),0,25)</f>
        <v>0</v>
      </c>
    </row>
    <row r="10" spans="1:21" s="195" customFormat="1" ht="15" customHeight="1">
      <c r="B10" s="224" t="str">
        <f t="shared" si="0"/>
        <v>België</v>
      </c>
      <c r="C10" s="222">
        <f t="shared" si="1"/>
        <v>10</v>
      </c>
      <c r="D10" s="224" t="str">
        <f t="shared" si="2"/>
        <v>Portugal</v>
      </c>
      <c r="E10" s="222">
        <f t="shared" si="3"/>
        <v>0</v>
      </c>
      <c r="F10" s="339" t="s">
        <v>456</v>
      </c>
      <c r="G10" s="195" t="str">
        <f>G91</f>
        <v>Portugal</v>
      </c>
      <c r="H10" s="222">
        <f t="shared" si="4"/>
        <v>0</v>
      </c>
      <c r="I10" s="339" t="s">
        <v>462</v>
      </c>
      <c r="J10" s="195" t="str">
        <f>G101</f>
        <v>Spanje</v>
      </c>
      <c r="L10" s="222">
        <f>IF(ISNA(MATCH(J10,teams_fin,0)),0,30)</f>
        <v>0</v>
      </c>
      <c r="P10" s="444" t="str">
        <f>G98</f>
        <v>Ecuador</v>
      </c>
      <c r="Q10" s="222">
        <f>IF(ISNA(MATCH(P10,teams_troost,0)),0,25)</f>
        <v>0</v>
      </c>
    </row>
    <row r="11" spans="1:21" s="195" customFormat="1" ht="15" customHeight="1">
      <c r="D11" s="198" t="s">
        <v>89</v>
      </c>
      <c r="E11" s="225">
        <f>SUM(C3:E10)</f>
        <v>80</v>
      </c>
      <c r="G11" s="198" t="s">
        <v>82</v>
      </c>
      <c r="H11" s="225">
        <f>SUM(H3:H10)</f>
        <v>30</v>
      </c>
      <c r="J11" s="198" t="s">
        <v>90</v>
      </c>
      <c r="K11" s="199"/>
      <c r="L11" s="225">
        <f>SUM(L9:L10)</f>
        <v>0</v>
      </c>
      <c r="P11" s="199"/>
      <c r="Q11" s="225">
        <f>SUM(Q9:Q10)</f>
        <v>0</v>
      </c>
    </row>
    <row r="12" spans="1:21">
      <c r="B12" s="201" t="s">
        <v>19</v>
      </c>
      <c r="C12" s="201"/>
      <c r="D12" s="339" t="s">
        <v>463</v>
      </c>
      <c r="E12" s="202" t="s">
        <v>199</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2</v>
      </c>
      <c r="I14" s="366" t="s">
        <v>29</v>
      </c>
      <c r="J14" s="366">
        <v>1</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1</v>
      </c>
      <c r="I15" s="366" t="s">
        <v>29</v>
      </c>
      <c r="J15" s="366">
        <v>0</v>
      </c>
      <c r="K15" s="212" t="str">
        <f t="shared" si="5"/>
        <v>1</v>
      </c>
      <c r="L15" s="210" t="str">
        <f>VLOOKUP($B15,Invulblad!$A$11:$S$103,13,0)</f>
        <v>1</v>
      </c>
      <c r="M15" s="211">
        <f>IF(L15&lt;&gt;"",VLOOKUP($B15,Invulblad!$A$11:$S$103,7,0),"")</f>
        <v>1</v>
      </c>
      <c r="N15" s="209" t="s">
        <v>29</v>
      </c>
      <c r="O15" s="211">
        <f>IF(L15&lt;&gt;"",VLOOKUP($B15,Invulblad!$A$11:$S$103,9,0),"")</f>
        <v>0</v>
      </c>
      <c r="P15" s="212">
        <f t="shared" si="6"/>
        <v>10</v>
      </c>
    </row>
    <row r="16" spans="1:21">
      <c r="A16" s="188">
        <v>3</v>
      </c>
      <c r="B16" s="195">
        <v>17</v>
      </c>
      <c r="C16" s="332">
        <v>41807</v>
      </c>
      <c r="D16" s="333">
        <v>0.875</v>
      </c>
      <c r="E16" s="189" t="s">
        <v>557</v>
      </c>
      <c r="F16" s="189" t="s">
        <v>29</v>
      </c>
      <c r="G16" s="189" t="s">
        <v>96</v>
      </c>
      <c r="H16" s="366">
        <v>1</v>
      </c>
      <c r="I16" s="366" t="s">
        <v>29</v>
      </c>
      <c r="J16" s="366">
        <v>0</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0</v>
      </c>
      <c r="I17" s="366" t="s">
        <v>29</v>
      </c>
      <c r="J17" s="366">
        <v>1</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0</v>
      </c>
      <c r="I18" s="366" t="s">
        <v>29</v>
      </c>
      <c r="J18" s="366">
        <v>1</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0</v>
      </c>
      <c r="I19" s="366" t="s">
        <v>29</v>
      </c>
      <c r="J19" s="366">
        <v>0</v>
      </c>
      <c r="K19" s="212">
        <f t="shared" si="5"/>
        <v>3</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1</v>
      </c>
      <c r="I22" s="366" t="s">
        <v>29</v>
      </c>
      <c r="J22" s="366">
        <v>0</v>
      </c>
      <c r="K22" s="212" t="str">
        <f t="shared" si="5"/>
        <v>1</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1</v>
      </c>
      <c r="I23" s="366" t="s">
        <v>29</v>
      </c>
      <c r="J23" s="366">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1</v>
      </c>
      <c r="I24" s="366" t="s">
        <v>29</v>
      </c>
      <c r="J24" s="366">
        <v>1</v>
      </c>
      <c r="K24" s="212">
        <f t="shared" si="5"/>
        <v>3</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0</v>
      </c>
      <c r="I25" s="366" t="s">
        <v>29</v>
      </c>
      <c r="J25" s="366">
        <v>1</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0</v>
      </c>
      <c r="I26" s="366" t="s">
        <v>29</v>
      </c>
      <c r="J26" s="366">
        <v>1</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1</v>
      </c>
      <c r="I27" s="366" t="s">
        <v>29</v>
      </c>
      <c r="J27" s="366">
        <v>1</v>
      </c>
      <c r="K27" s="212">
        <f t="shared" si="5"/>
        <v>3</v>
      </c>
      <c r="L27" s="210" t="str">
        <f>VLOOKUP($B27,Invulblad!$A$11:$S$103,13,0)</f>
        <v>1</v>
      </c>
      <c r="M27" s="211">
        <f>IF(L27&lt;&gt;"",VLOOKUP($B27,Invulblad!$A$11:$S$103,7,0),"")</f>
        <v>2</v>
      </c>
      <c r="N27" s="209" t="s">
        <v>29</v>
      </c>
      <c r="O27" s="211">
        <f>IF(L27&lt;&gt;"",VLOOKUP($B27,Invulblad!$A$11:$S$103,9,0),"")</f>
        <v>0</v>
      </c>
      <c r="P27" s="212">
        <f t="shared" si="7"/>
        <v>0</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1</v>
      </c>
      <c r="I30" s="366" t="s">
        <v>29</v>
      </c>
      <c r="J30" s="366">
        <v>0</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2</v>
      </c>
      <c r="I31" s="366" t="s">
        <v>29</v>
      </c>
      <c r="J31" s="366">
        <v>0</v>
      </c>
      <c r="K31" s="212" t="str">
        <f t="shared" si="5"/>
        <v>1</v>
      </c>
      <c r="L31" s="210" t="str">
        <f>VLOOKUP($B31,Invulblad!$A$11:$S$103,13,0)</f>
        <v>1</v>
      </c>
      <c r="M31" s="211">
        <f>IF(L31&lt;&gt;"",VLOOKUP($B31,Invulblad!$A$11:$S$103,7,0),"")</f>
        <v>2</v>
      </c>
      <c r="N31" s="209" t="s">
        <v>29</v>
      </c>
      <c r="O31" s="211">
        <f>IF(L31&lt;&gt;"",VLOOKUP($B31,Invulblad!$A$11:$S$103,9,0),"")</f>
        <v>1</v>
      </c>
      <c r="P31" s="212">
        <f t="shared" si="8"/>
        <v>5</v>
      </c>
    </row>
    <row r="32" spans="1:16">
      <c r="A32" s="188">
        <v>19</v>
      </c>
      <c r="B32" s="195">
        <v>21</v>
      </c>
      <c r="C32" s="332">
        <v>41809</v>
      </c>
      <c r="D32" s="333">
        <v>0.75</v>
      </c>
      <c r="E32" s="189" t="s">
        <v>428</v>
      </c>
      <c r="F32" s="189" t="s">
        <v>29</v>
      </c>
      <c r="G32" s="189" t="s">
        <v>125</v>
      </c>
      <c r="H32" s="366">
        <v>1</v>
      </c>
      <c r="I32" s="366" t="s">
        <v>29</v>
      </c>
      <c r="J32" s="366">
        <v>0</v>
      </c>
      <c r="K32" s="212" t="str">
        <f t="shared" si="5"/>
        <v>1</v>
      </c>
      <c r="L32" s="210" t="str">
        <f>VLOOKUP($B32,Invulblad!$A$11:$S$103,13,0)</f>
        <v>1</v>
      </c>
      <c r="M32" s="211">
        <f>IF(L32&lt;&gt;"",VLOOKUP($B32,Invulblad!$A$11:$S$103,7,0),"")</f>
        <v>2</v>
      </c>
      <c r="N32" s="209" t="s">
        <v>29</v>
      </c>
      <c r="O32" s="211">
        <f>IF(L32&lt;&gt;"",VLOOKUP($B32,Invulblad!$A$11:$S$103,9,0),"")</f>
        <v>1</v>
      </c>
      <c r="P32" s="212">
        <f t="shared" si="8"/>
        <v>5</v>
      </c>
    </row>
    <row r="33" spans="1:16">
      <c r="A33" s="188">
        <v>20</v>
      </c>
      <c r="B33" s="195">
        <v>22</v>
      </c>
      <c r="C33" s="332">
        <v>41810</v>
      </c>
      <c r="D33" s="333">
        <v>0</v>
      </c>
      <c r="E33" s="189" t="s">
        <v>118</v>
      </c>
      <c r="F33" s="189" t="s">
        <v>29</v>
      </c>
      <c r="G33" s="189" t="s">
        <v>105</v>
      </c>
      <c r="H33" s="366">
        <v>0</v>
      </c>
      <c r="I33" s="366" t="s">
        <v>29</v>
      </c>
      <c r="J33" s="366">
        <v>1</v>
      </c>
      <c r="K33" s="212">
        <f t="shared" si="5"/>
        <v>2</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0</v>
      </c>
      <c r="I34" s="366" t="s">
        <v>29</v>
      </c>
      <c r="J34" s="366">
        <v>1</v>
      </c>
      <c r="K34" s="212">
        <f t="shared" si="5"/>
        <v>2</v>
      </c>
      <c r="L34" s="210">
        <f>VLOOKUP($B34,Invulblad!$A$11:$S$103,13,0)</f>
        <v>2</v>
      </c>
      <c r="M34" s="211">
        <f>IF(L34&lt;&gt;"",VLOOKUP($B34,Invulblad!$A$11:$S$103,7,0),"")</f>
        <v>1</v>
      </c>
      <c r="N34" s="209" t="s">
        <v>29</v>
      </c>
      <c r="O34" s="211">
        <f>IF(L34&lt;&gt;"",VLOOKUP($B34,Invulblad!$A$11:$S$103,9,0),"")</f>
        <v>4</v>
      </c>
      <c r="P34" s="212">
        <f t="shared" si="8"/>
        <v>5</v>
      </c>
    </row>
    <row r="35" spans="1:16">
      <c r="A35" s="188">
        <v>22</v>
      </c>
      <c r="B35" s="195">
        <v>38</v>
      </c>
      <c r="C35" s="332">
        <v>41814</v>
      </c>
      <c r="D35" s="333">
        <v>0.91666666666666663</v>
      </c>
      <c r="E35" s="189" t="s">
        <v>233</v>
      </c>
      <c r="F35" s="189" t="s">
        <v>29</v>
      </c>
      <c r="G35" s="189" t="s">
        <v>125</v>
      </c>
      <c r="H35" s="366">
        <v>0</v>
      </c>
      <c r="I35" s="366" t="s">
        <v>29</v>
      </c>
      <c r="J35" s="366">
        <v>0</v>
      </c>
      <c r="K35" s="212">
        <f t="shared" si="5"/>
        <v>3</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1</v>
      </c>
      <c r="I38" s="366" t="s">
        <v>29</v>
      </c>
      <c r="J38" s="366">
        <v>0</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1</v>
      </c>
      <c r="K39" s="212">
        <f t="shared" si="5"/>
        <v>3</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1</v>
      </c>
      <c r="I40" s="366" t="s">
        <v>29</v>
      </c>
      <c r="J40" s="366">
        <v>0</v>
      </c>
      <c r="K40" s="212" t="str">
        <f t="shared" si="5"/>
        <v>1</v>
      </c>
      <c r="L40" s="210" t="str">
        <f>VLOOKUP($B40,Invulblad!$A$11:$S$103,13,0)</f>
        <v>1</v>
      </c>
      <c r="M40" s="211">
        <f>IF(L40&lt;&gt;"",VLOOKUP($B40,Invulblad!$A$11:$S$103,7,0),"")</f>
        <v>2</v>
      </c>
      <c r="N40" s="209" t="s">
        <v>29</v>
      </c>
      <c r="O40" s="211">
        <f>IF(L40&lt;&gt;"",VLOOKUP($B40,Invulblad!$A$11:$S$103,9,0),"")</f>
        <v>1</v>
      </c>
      <c r="P40" s="212">
        <f t="shared" si="9"/>
        <v>5</v>
      </c>
    </row>
    <row r="41" spans="1:16">
      <c r="A41" s="188">
        <v>28</v>
      </c>
      <c r="B41" s="195">
        <v>24</v>
      </c>
      <c r="C41" s="332">
        <v>41810</v>
      </c>
      <c r="D41" s="333">
        <v>0.75</v>
      </c>
      <c r="E41" s="189" t="s">
        <v>564</v>
      </c>
      <c r="F41" s="189" t="s">
        <v>29</v>
      </c>
      <c r="G41" s="189" t="s">
        <v>430</v>
      </c>
      <c r="H41" s="366">
        <v>1</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1</v>
      </c>
      <c r="I42" s="366" t="s">
        <v>29</v>
      </c>
      <c r="J42" s="366">
        <v>0</v>
      </c>
      <c r="K42" s="212" t="str">
        <f t="shared" si="5"/>
        <v>1</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1</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1</v>
      </c>
      <c r="I46" s="366" t="s">
        <v>29</v>
      </c>
      <c r="J46" s="366">
        <v>0</v>
      </c>
      <c r="K46" s="212" t="str">
        <f t="shared" si="5"/>
        <v>1</v>
      </c>
      <c r="L46" s="210" t="str">
        <f>VLOOKUP($B46,Invulblad!$A$11:$S$103,13,0)</f>
        <v>1</v>
      </c>
      <c r="M46" s="211">
        <f>IF(L46&lt;&gt;"",VLOOKUP($B46,Invulblad!$A$11:$S$103,7,0),"")</f>
        <v>2</v>
      </c>
      <c r="N46" s="209" t="s">
        <v>29</v>
      </c>
      <c r="O46" s="211">
        <f>IF(L46&lt;&gt;"",VLOOKUP($B46,Invulblad!$A$11:$S$103,9,0),"")</f>
        <v>1</v>
      </c>
      <c r="P46" s="212">
        <f t="shared" ref="P46:P51" si="10">IF(L46&lt;&gt;"",IF(AND(M46=H46,O46=J46),10,IF(K46=L46,5,0)),"")</f>
        <v>5</v>
      </c>
    </row>
    <row r="47" spans="1:16">
      <c r="A47" s="188">
        <v>34</v>
      </c>
      <c r="B47" s="195">
        <v>10</v>
      </c>
      <c r="C47" s="332">
        <v>41805</v>
      </c>
      <c r="D47" s="333">
        <v>0.875</v>
      </c>
      <c r="E47" s="189" t="s">
        <v>100</v>
      </c>
      <c r="F47" s="189" t="s">
        <v>29</v>
      </c>
      <c r="G47" s="189" t="s">
        <v>132</v>
      </c>
      <c r="H47" s="366">
        <v>1</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1</v>
      </c>
      <c r="I48" s="366" t="s">
        <v>29</v>
      </c>
      <c r="J48" s="366">
        <v>0</v>
      </c>
      <c r="K48" s="212" t="str">
        <f t="shared" si="5"/>
        <v>1</v>
      </c>
      <c r="L48" s="210">
        <f>VLOOKUP($B48,Invulblad!$A$11:$S$103,13,0)</f>
        <v>2</v>
      </c>
      <c r="M48" s="211">
        <f>IF(L48&lt;&gt;"",VLOOKUP($B48,Invulblad!$A$11:$S$103,7,0),"")</f>
        <v>2</v>
      </c>
      <c r="N48" s="209" t="s">
        <v>29</v>
      </c>
      <c r="O48" s="211">
        <f>IF(L48&lt;&gt;"",VLOOKUP($B48,Invulblad!$A$11:$S$103,9,0),"")</f>
        <v>5</v>
      </c>
      <c r="P48" s="212">
        <f t="shared" si="10"/>
        <v>0</v>
      </c>
    </row>
    <row r="49" spans="1:16">
      <c r="A49" s="188">
        <v>36</v>
      </c>
      <c r="B49" s="195">
        <v>26</v>
      </c>
      <c r="C49" s="332">
        <v>41811</v>
      </c>
      <c r="D49" s="333">
        <v>0</v>
      </c>
      <c r="E49" s="189" t="s">
        <v>127</v>
      </c>
      <c r="F49" s="189" t="s">
        <v>29</v>
      </c>
      <c r="G49" s="189" t="s">
        <v>434</v>
      </c>
      <c r="H49" s="366">
        <v>0</v>
      </c>
      <c r="I49" s="366" t="s">
        <v>29</v>
      </c>
      <c r="J49" s="366">
        <v>1</v>
      </c>
      <c r="K49" s="212">
        <f t="shared" si="5"/>
        <v>2</v>
      </c>
      <c r="L49" s="210">
        <f>VLOOKUP($B49,Invulblad!$A$11:$S$103,13,0)</f>
        <v>2</v>
      </c>
      <c r="M49" s="211">
        <f>IF(L49&lt;&gt;"",VLOOKUP($B49,Invulblad!$A$11:$S$103,7,0),"")</f>
        <v>1</v>
      </c>
      <c r="N49" s="209" t="s">
        <v>29</v>
      </c>
      <c r="O49" s="211">
        <f>IF(L49&lt;&gt;"",VLOOKUP($B49,Invulblad!$A$11:$S$103,9,0),"")</f>
        <v>2</v>
      </c>
      <c r="P49" s="212">
        <f t="shared" si="10"/>
        <v>5</v>
      </c>
    </row>
    <row r="50" spans="1:16">
      <c r="A50" s="188">
        <v>37</v>
      </c>
      <c r="B50" s="195">
        <v>41</v>
      </c>
      <c r="C50" s="332">
        <v>41815</v>
      </c>
      <c r="D50" s="333">
        <v>0.91666666666666663</v>
      </c>
      <c r="E50" s="189" t="s">
        <v>127</v>
      </c>
      <c r="F50" s="189" t="s">
        <v>29</v>
      </c>
      <c r="G50" s="189" t="s">
        <v>130</v>
      </c>
      <c r="H50" s="366">
        <v>0</v>
      </c>
      <c r="I50" s="366" t="s">
        <v>29</v>
      </c>
      <c r="J50" s="366">
        <v>1</v>
      </c>
      <c r="K50" s="212">
        <f t="shared" ref="K50:K85" si="11">IF(AND(H50="",J50=""),"",IF(OR(H50="",J50=""),"FOUT",IF(H50&gt;J50,"1",IF(H50=J50,3,2))))</f>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0</v>
      </c>
      <c r="I51" s="366" t="s">
        <v>29</v>
      </c>
      <c r="J51" s="366">
        <v>0</v>
      </c>
      <c r="K51" s="212">
        <f t="shared" si="11"/>
        <v>3</v>
      </c>
      <c r="L51" s="210">
        <f>VLOOKUP($B51,Invulblad!$A$11:$S$103,13,0)</f>
        <v>3</v>
      </c>
      <c r="M51" s="211">
        <f>IF(L51&lt;&gt;"",VLOOKUP($B51,Invulblad!$A$11:$S$103,7,0),"")</f>
        <v>0</v>
      </c>
      <c r="N51" s="209" t="s">
        <v>29</v>
      </c>
      <c r="O51" s="211">
        <f>IF(L51&lt;&gt;"",VLOOKUP($B51,Invulblad!$A$11:$S$103,9,0),"")</f>
        <v>0</v>
      </c>
      <c r="P51" s="212">
        <f t="shared" si="10"/>
        <v>10</v>
      </c>
    </row>
    <row r="52" spans="1:16">
      <c r="A52" s="188">
        <v>39</v>
      </c>
      <c r="B52" s="201" t="s">
        <v>35</v>
      </c>
      <c r="H52" s="367"/>
      <c r="I52" s="367"/>
      <c r="J52" s="367"/>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1</v>
      </c>
      <c r="I54" s="366" t="s">
        <v>29</v>
      </c>
      <c r="J54" s="366">
        <v>0</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2">
        <v>41806</v>
      </c>
      <c r="D55" s="333">
        <v>0.875</v>
      </c>
      <c r="E55" s="189" t="s">
        <v>438</v>
      </c>
      <c r="F55" s="189" t="s">
        <v>29</v>
      </c>
      <c r="G55" s="189" t="s">
        <v>103</v>
      </c>
      <c r="H55" s="366">
        <v>0</v>
      </c>
      <c r="I55" s="366" t="s">
        <v>29</v>
      </c>
      <c r="J55" s="366">
        <v>1</v>
      </c>
      <c r="K55" s="212">
        <f t="shared" si="11"/>
        <v>2</v>
      </c>
      <c r="L55" s="210">
        <f>VLOOKUP($B55,Invulblad!$A$11:$S$103,13,0)</f>
        <v>3</v>
      </c>
      <c r="M55" s="211">
        <f>IF(L55&lt;&gt;"",VLOOKUP($B55,Invulblad!$A$11:$S$103,7,0),"")</f>
        <v>0</v>
      </c>
      <c r="N55" s="209" t="s">
        <v>29</v>
      </c>
      <c r="O55" s="211">
        <f>IF(L55&lt;&gt;"",VLOOKUP($B55,Invulblad!$A$11:$S$103,9,0),"")</f>
        <v>0</v>
      </c>
      <c r="P55" s="212">
        <f t="shared" si="12"/>
        <v>0</v>
      </c>
    </row>
    <row r="56" spans="1:16">
      <c r="A56" s="188">
        <v>43</v>
      </c>
      <c r="B56" s="195">
        <v>27</v>
      </c>
      <c r="C56" s="332">
        <v>41811</v>
      </c>
      <c r="D56" s="333">
        <v>0.75</v>
      </c>
      <c r="E56" s="189" t="s">
        <v>565</v>
      </c>
      <c r="F56" s="189" t="s">
        <v>29</v>
      </c>
      <c r="G56" s="189" t="s">
        <v>439</v>
      </c>
      <c r="H56" s="366">
        <v>1</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10</v>
      </c>
    </row>
    <row r="57" spans="1:16">
      <c r="A57" s="188">
        <v>44</v>
      </c>
      <c r="B57" s="195">
        <v>28</v>
      </c>
      <c r="C57" s="332">
        <v>41812</v>
      </c>
      <c r="D57" s="333">
        <v>0</v>
      </c>
      <c r="E57" s="189" t="s">
        <v>234</v>
      </c>
      <c r="F57" s="189" t="s">
        <v>29</v>
      </c>
      <c r="G57" s="189" t="s">
        <v>566</v>
      </c>
      <c r="H57" s="366">
        <v>0</v>
      </c>
      <c r="I57" s="366" t="s">
        <v>29</v>
      </c>
      <c r="J57" s="366">
        <v>1</v>
      </c>
      <c r="K57" s="212">
        <f t="shared" si="11"/>
        <v>2</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0</v>
      </c>
      <c r="I58" s="366" t="s">
        <v>29</v>
      </c>
      <c r="J58" s="366">
        <v>1</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1</v>
      </c>
      <c r="I59" s="366" t="s">
        <v>29</v>
      </c>
      <c r="J59" s="366">
        <v>0</v>
      </c>
      <c r="K59" s="212" t="str">
        <f t="shared" si="11"/>
        <v>1</v>
      </c>
      <c r="L59" s="210" t="str">
        <f>VLOOKUP($B59,Invulblad!$A$11:$S$103,13,0)</f>
        <v>1</v>
      </c>
      <c r="M59" s="211">
        <f>IF(L59&lt;&gt;"",VLOOKUP($B59,Invulblad!$A$11:$S$103,7,0),"")</f>
        <v>3</v>
      </c>
      <c r="N59" s="209" t="s">
        <v>29</v>
      </c>
      <c r="O59" s="211">
        <f>IF(L59&lt;&gt;"",VLOOKUP($B59,Invulblad!$A$11:$S$103,9,0),"")</f>
        <v>1</v>
      </c>
      <c r="P59" s="212">
        <f t="shared" si="12"/>
        <v>5</v>
      </c>
    </row>
    <row r="60" spans="1:16">
      <c r="A60" s="188">
        <v>47</v>
      </c>
      <c r="B60" s="201" t="s">
        <v>36</v>
      </c>
      <c r="H60" s="367"/>
      <c r="I60" s="367"/>
      <c r="J60" s="367"/>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1</v>
      </c>
      <c r="I62" s="366" t="s">
        <v>29</v>
      </c>
      <c r="J62" s="366">
        <v>0</v>
      </c>
      <c r="K62" s="212" t="str">
        <f t="shared" si="11"/>
        <v>1</v>
      </c>
      <c r="L62" s="210" t="str">
        <f>VLOOKUP($B62,Invulblad!$A$11:$S$103,13,0)</f>
        <v>1</v>
      </c>
      <c r="M62" s="211">
        <f>IF(L62&lt;&gt;"",VLOOKUP($B62,Invulblad!$A$11:$S$103,7,0),"")</f>
        <v>4</v>
      </c>
      <c r="N62" s="209" t="s">
        <v>29</v>
      </c>
      <c r="O62" s="211">
        <f>IF(L62&lt;&gt;"",VLOOKUP($B62,Invulblad!$A$11:$S$103,9,0),"")</f>
        <v>0</v>
      </c>
      <c r="P62" s="212">
        <f t="shared" ref="P62:P67" si="13">IF(L62&lt;&gt;"",IF(AND(M62=H62,O62=J62),10,IF(K62=L62,5,0)),"")</f>
        <v>5</v>
      </c>
    </row>
    <row r="63" spans="1:16">
      <c r="A63" s="188">
        <v>50</v>
      </c>
      <c r="B63" s="195">
        <v>14</v>
      </c>
      <c r="C63" s="332">
        <v>41807</v>
      </c>
      <c r="D63" s="333">
        <v>0</v>
      </c>
      <c r="E63" s="189" t="s">
        <v>115</v>
      </c>
      <c r="F63" s="189" t="s">
        <v>29</v>
      </c>
      <c r="G63" s="189" t="s">
        <v>577</v>
      </c>
      <c r="H63" s="366">
        <v>0</v>
      </c>
      <c r="I63" s="366" t="s">
        <v>29</v>
      </c>
      <c r="J63" s="366">
        <v>1</v>
      </c>
      <c r="K63" s="212">
        <f t="shared" si="11"/>
        <v>2</v>
      </c>
      <c r="L63" s="210">
        <f>VLOOKUP($B63,Invulblad!$A$11:$S$103,13,0)</f>
        <v>2</v>
      </c>
      <c r="M63" s="211">
        <f>IF(L63&lt;&gt;"",VLOOKUP($B63,Invulblad!$A$11:$S$103,7,0),"")</f>
        <v>1</v>
      </c>
      <c r="N63" s="209" t="s">
        <v>29</v>
      </c>
      <c r="O63" s="211">
        <f>IF(L63&lt;&gt;"",VLOOKUP($B63,Invulblad!$A$11:$S$103,9,0),"")</f>
        <v>2</v>
      </c>
      <c r="P63" s="212">
        <f t="shared" si="13"/>
        <v>5</v>
      </c>
    </row>
    <row r="64" spans="1:16">
      <c r="A64" s="188">
        <v>51</v>
      </c>
      <c r="B64" s="195">
        <v>29</v>
      </c>
      <c r="C64" s="332">
        <v>41811</v>
      </c>
      <c r="D64" s="333">
        <v>0.875</v>
      </c>
      <c r="E64" s="189" t="s">
        <v>113</v>
      </c>
      <c r="F64" s="189" t="s">
        <v>29</v>
      </c>
      <c r="G64" s="189" t="s">
        <v>114</v>
      </c>
      <c r="H64" s="366">
        <v>1</v>
      </c>
      <c r="I64" s="366" t="s">
        <v>29</v>
      </c>
      <c r="J64" s="366">
        <v>0</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0</v>
      </c>
      <c r="I65" s="366" t="s">
        <v>29</v>
      </c>
      <c r="J65" s="366">
        <v>1</v>
      </c>
      <c r="K65" s="212">
        <f t="shared" si="11"/>
        <v>2</v>
      </c>
      <c r="L65" s="210">
        <f>VLOOKUP($B65,Invulblad!$A$11:$S$103,13,0)</f>
        <v>3</v>
      </c>
      <c r="M65" s="211">
        <f>IF(L65&lt;&gt;"",VLOOKUP($B65,Invulblad!$A$11:$S$103,7,0),"")</f>
        <v>2</v>
      </c>
      <c r="N65" s="209" t="s">
        <v>29</v>
      </c>
      <c r="O65" s="211">
        <f>IF(L65&lt;&gt;"",VLOOKUP($B65,Invulblad!$A$11:$S$103,9,0),"")</f>
        <v>2</v>
      </c>
      <c r="P65" s="212">
        <f t="shared" si="13"/>
        <v>0</v>
      </c>
    </row>
    <row r="66" spans="1:16">
      <c r="A66" s="188">
        <v>53</v>
      </c>
      <c r="B66" s="195">
        <v>45</v>
      </c>
      <c r="C66" s="332">
        <v>41816</v>
      </c>
      <c r="D66" s="333">
        <v>0.75</v>
      </c>
      <c r="E66" s="189" t="s">
        <v>578</v>
      </c>
      <c r="F66" s="189" t="s">
        <v>29</v>
      </c>
      <c r="G66" s="189" t="s">
        <v>116</v>
      </c>
      <c r="H66" s="366">
        <v>0</v>
      </c>
      <c r="I66" s="366" t="s">
        <v>29</v>
      </c>
      <c r="J66" s="366">
        <v>1</v>
      </c>
      <c r="K66" s="212">
        <f t="shared" si="11"/>
        <v>2</v>
      </c>
      <c r="L66" s="210">
        <f>VLOOKUP($B66,Invulblad!$A$11:$S$103,13,0)</f>
        <v>2</v>
      </c>
      <c r="M66" s="211">
        <f>IF(L66&lt;&gt;"",VLOOKUP($B66,Invulblad!$A$11:$S$103,7,0),"")</f>
        <v>0</v>
      </c>
      <c r="N66" s="209" t="s">
        <v>29</v>
      </c>
      <c r="O66" s="211">
        <f>IF(L66&lt;&gt;"",VLOOKUP($B66,Invulblad!$A$11:$S$103,9,0),"")</f>
        <v>1</v>
      </c>
      <c r="P66" s="212">
        <f t="shared" si="13"/>
        <v>10</v>
      </c>
    </row>
    <row r="67" spans="1:16">
      <c r="A67" s="188">
        <v>54</v>
      </c>
      <c r="B67" s="195">
        <v>46</v>
      </c>
      <c r="C67" s="332">
        <v>41816</v>
      </c>
      <c r="D67" s="333">
        <v>0.75</v>
      </c>
      <c r="E67" s="189" t="s">
        <v>126</v>
      </c>
      <c r="F67" s="189" t="s">
        <v>29</v>
      </c>
      <c r="G67" s="189" t="s">
        <v>114</v>
      </c>
      <c r="H67" s="366">
        <v>1</v>
      </c>
      <c r="I67" s="366" t="s">
        <v>29</v>
      </c>
      <c r="J67" s="366">
        <v>0</v>
      </c>
      <c r="K67" s="212" t="str">
        <f t="shared" si="11"/>
        <v>1</v>
      </c>
      <c r="L67" s="210" t="str">
        <f>VLOOKUP($B67,Invulblad!$A$11:$S$103,13,0)</f>
        <v>1</v>
      </c>
      <c r="M67" s="211">
        <f>IF(L67&lt;&gt;"",VLOOKUP($B67,Invulblad!$A$11:$S$103,7,0),"")</f>
        <v>2</v>
      </c>
      <c r="N67" s="209" t="s">
        <v>29</v>
      </c>
      <c r="O67" s="211">
        <f>IF(L67&lt;&gt;"",VLOOKUP($B67,Invulblad!$A$11:$S$103,9,0),"")</f>
        <v>1</v>
      </c>
      <c r="P67" s="212">
        <f t="shared" si="13"/>
        <v>5</v>
      </c>
    </row>
    <row r="68" spans="1:16">
      <c r="A68" s="188">
        <v>55</v>
      </c>
      <c r="B68" s="201" t="s">
        <v>37</v>
      </c>
      <c r="H68" s="367"/>
      <c r="I68" s="367"/>
      <c r="J68" s="367"/>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1</v>
      </c>
      <c r="I70" s="366" t="s">
        <v>29</v>
      </c>
      <c r="J70" s="366">
        <v>0</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c r="A71" s="188">
        <v>58</v>
      </c>
      <c r="B71" s="195">
        <v>16</v>
      </c>
      <c r="C71" s="332">
        <v>41808</v>
      </c>
      <c r="D71" s="333">
        <v>0</v>
      </c>
      <c r="E71" s="189" t="s">
        <v>445</v>
      </c>
      <c r="F71" s="189" t="s">
        <v>29</v>
      </c>
      <c r="G71" s="189" t="s">
        <v>107</v>
      </c>
      <c r="H71" s="366">
        <v>1</v>
      </c>
      <c r="I71" s="366" t="s">
        <v>29</v>
      </c>
      <c r="J71" s="366">
        <v>0</v>
      </c>
      <c r="K71" s="212" t="str">
        <f t="shared" si="11"/>
        <v>1</v>
      </c>
      <c r="L71" s="210">
        <f>VLOOKUP($B71,Invulblad!$A$11:$S$103,13,0)</f>
        <v>3</v>
      </c>
      <c r="M71" s="211">
        <f>IF(L71&lt;&gt;"",VLOOKUP($B71,Invulblad!$A$11:$S$103,7,0),"")</f>
        <v>1</v>
      </c>
      <c r="N71" s="209" t="s">
        <v>29</v>
      </c>
      <c r="O71" s="211">
        <f>IF(L71&lt;&gt;"",VLOOKUP($B71,Invulblad!$A$11:$S$103,9,0),"")</f>
        <v>1</v>
      </c>
      <c r="P71" s="212">
        <f t="shared" si="14"/>
        <v>0</v>
      </c>
    </row>
    <row r="72" spans="1:16">
      <c r="A72" s="188">
        <v>59</v>
      </c>
      <c r="B72" s="195">
        <v>31</v>
      </c>
      <c r="C72" s="332">
        <v>41812</v>
      </c>
      <c r="D72" s="333">
        <v>0.75</v>
      </c>
      <c r="E72" s="189" t="s">
        <v>569</v>
      </c>
      <c r="F72" s="189" t="s">
        <v>29</v>
      </c>
      <c r="G72" s="189" t="s">
        <v>446</v>
      </c>
      <c r="H72" s="366">
        <v>1</v>
      </c>
      <c r="I72" s="366" t="s">
        <v>29</v>
      </c>
      <c r="J72" s="366">
        <v>0</v>
      </c>
      <c r="K72" s="212" t="str">
        <f t="shared" si="11"/>
        <v>1</v>
      </c>
      <c r="L72" s="210" t="str">
        <f>VLOOKUP($B72,Invulblad!$A$11:$S$103,13,0)</f>
        <v>1</v>
      </c>
      <c r="M72" s="211">
        <f>IF(L72&lt;&gt;"",VLOOKUP($B72,Invulblad!$A$11:$S$103,7,0),"")</f>
        <v>1</v>
      </c>
      <c r="N72" s="209" t="s">
        <v>29</v>
      </c>
      <c r="O72" s="211">
        <f>IF(L72&lt;&gt;"",VLOOKUP($B72,Invulblad!$A$11:$S$103,9,0),"")</f>
        <v>0</v>
      </c>
      <c r="P72" s="212">
        <f t="shared" si="14"/>
        <v>10</v>
      </c>
    </row>
    <row r="73" spans="1:16">
      <c r="A73" s="188">
        <v>60</v>
      </c>
      <c r="B73" s="195">
        <v>32</v>
      </c>
      <c r="C73" s="332">
        <v>41812</v>
      </c>
      <c r="D73" s="333">
        <v>0.875</v>
      </c>
      <c r="E73" s="189" t="s">
        <v>232</v>
      </c>
      <c r="F73" s="189" t="s">
        <v>29</v>
      </c>
      <c r="G73" s="189" t="s">
        <v>111</v>
      </c>
      <c r="H73" s="366">
        <v>0</v>
      </c>
      <c r="I73" s="366" t="s">
        <v>29</v>
      </c>
      <c r="J73" s="366">
        <v>1</v>
      </c>
      <c r="K73" s="212">
        <f t="shared" si="11"/>
        <v>2</v>
      </c>
      <c r="L73" s="210">
        <f>VLOOKUP($B73,Invulblad!$A$11:$S$103,13,0)</f>
        <v>2</v>
      </c>
      <c r="M73" s="211">
        <f>IF(L73&lt;&gt;"",VLOOKUP($B73,Invulblad!$A$11:$S$103,7,0),"")</f>
        <v>2</v>
      </c>
      <c r="N73" s="209" t="s">
        <v>29</v>
      </c>
      <c r="O73" s="211">
        <f>IF(L73&lt;&gt;"",VLOOKUP($B73,Invulblad!$A$11:$S$103,9,0),"")</f>
        <v>4</v>
      </c>
      <c r="P73" s="212">
        <f t="shared" si="14"/>
        <v>5</v>
      </c>
    </row>
    <row r="74" spans="1:16">
      <c r="A74" s="188">
        <v>61</v>
      </c>
      <c r="B74" s="195">
        <v>47</v>
      </c>
      <c r="C74" s="332">
        <v>41816</v>
      </c>
      <c r="D74" s="333">
        <v>0.91666666666666663</v>
      </c>
      <c r="E74" s="189" t="s">
        <v>232</v>
      </c>
      <c r="F74" s="189" t="s">
        <v>29</v>
      </c>
      <c r="G74" s="189" t="s">
        <v>570</v>
      </c>
      <c r="H74" s="366">
        <v>0</v>
      </c>
      <c r="I74" s="366" t="s">
        <v>29</v>
      </c>
      <c r="J74" s="366">
        <v>1</v>
      </c>
      <c r="K74" s="212">
        <f t="shared" si="11"/>
        <v>2</v>
      </c>
      <c r="L74" s="210">
        <f>VLOOKUP($B74,Invulblad!$A$11:$S$103,13,0)</f>
        <v>2</v>
      </c>
      <c r="M74" s="211">
        <f>IF(L74&lt;&gt;"",VLOOKUP($B74,Invulblad!$A$11:$S$103,7,0),"")</f>
        <v>0</v>
      </c>
      <c r="N74" s="209" t="s">
        <v>29</v>
      </c>
      <c r="O74" s="211">
        <f>IF(L74&lt;&gt;"",VLOOKUP($B74,Invulblad!$A$11:$S$103,9,0),"")</f>
        <v>1</v>
      </c>
      <c r="P74" s="212">
        <f t="shared" si="14"/>
        <v>10</v>
      </c>
    </row>
    <row r="75" spans="1:16">
      <c r="A75" s="188">
        <v>62</v>
      </c>
      <c r="B75" s="195">
        <v>48</v>
      </c>
      <c r="C75" s="332">
        <v>41816</v>
      </c>
      <c r="D75" s="333">
        <v>0.91666666666666663</v>
      </c>
      <c r="E75" s="189" t="s">
        <v>236</v>
      </c>
      <c r="F75" s="189" t="s">
        <v>29</v>
      </c>
      <c r="G75" s="189" t="s">
        <v>446</v>
      </c>
      <c r="H75" s="366">
        <v>0</v>
      </c>
      <c r="I75" s="366" t="s">
        <v>29</v>
      </c>
      <c r="J75" s="366">
        <v>1</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367"/>
      <c r="I76" s="367"/>
      <c r="J76" s="367"/>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207</v>
      </c>
      <c r="H78" s="366">
        <v>0</v>
      </c>
      <c r="I78" s="366" t="s">
        <v>29</v>
      </c>
      <c r="J78" s="366">
        <v>0</v>
      </c>
      <c r="K78" s="212">
        <f t="shared" si="11"/>
        <v>3</v>
      </c>
      <c r="L78" s="210">
        <f>VLOOKUP($B78,Invulblad!$A$11:$S$103,13,0)</f>
        <v>3</v>
      </c>
      <c r="M78" s="211">
        <f>IF(L78&lt;&gt;"",VLOOKUP($B78,Invulblad!$A$11:$S$103,7,0),"")</f>
        <v>1</v>
      </c>
      <c r="N78" s="209" t="s">
        <v>29</v>
      </c>
      <c r="O78" s="211">
        <f>IF(L78&lt;&gt;"",VLOOKUP($B78,Invulblad!$A$11:$S$103,9,0),"")</f>
        <v>1</v>
      </c>
      <c r="P78" s="212">
        <f t="shared" ref="P78:P85" si="15">IF(L78&lt;&gt;"",IF(AND(M78=H78,O78=J78),10,IF(K78=L78,5,0)),"")</f>
        <v>5</v>
      </c>
    </row>
    <row r="79" spans="1:16">
      <c r="A79" s="188">
        <v>66</v>
      </c>
      <c r="B79" s="195">
        <v>50</v>
      </c>
      <c r="C79" s="332">
        <v>41818</v>
      </c>
      <c r="D79" s="333">
        <v>0.91666666666666663</v>
      </c>
      <c r="E79" s="189" t="s">
        <v>390</v>
      </c>
      <c r="F79" s="189" t="s">
        <v>29</v>
      </c>
      <c r="G79" s="189" t="s">
        <v>97</v>
      </c>
      <c r="H79" s="366">
        <v>0</v>
      </c>
      <c r="I79" s="366" t="s">
        <v>29</v>
      </c>
      <c r="J79" s="366">
        <v>1</v>
      </c>
      <c r="K79" s="212">
        <f t="shared" si="11"/>
        <v>2</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138</v>
      </c>
      <c r="F80" s="189" t="s">
        <v>29</v>
      </c>
      <c r="G80" s="189" t="s">
        <v>389</v>
      </c>
      <c r="H80" s="366">
        <v>1</v>
      </c>
      <c r="I80" s="366" t="s">
        <v>29</v>
      </c>
      <c r="J80" s="366">
        <v>0</v>
      </c>
      <c r="K80" s="212" t="str">
        <f t="shared" si="11"/>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193</v>
      </c>
      <c r="F81" s="189" t="s">
        <v>29</v>
      </c>
      <c r="G81" s="189" t="s">
        <v>200</v>
      </c>
      <c r="H81" s="366">
        <v>1</v>
      </c>
      <c r="I81" s="366" t="s">
        <v>29</v>
      </c>
      <c r="J81" s="366">
        <v>0</v>
      </c>
      <c r="K81" s="212" t="str">
        <f t="shared" si="11"/>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209</v>
      </c>
      <c r="F82" s="189" t="s">
        <v>29</v>
      </c>
      <c r="G82" s="189" t="s">
        <v>572</v>
      </c>
      <c r="H82" s="366">
        <v>1</v>
      </c>
      <c r="I82" s="366" t="s">
        <v>29</v>
      </c>
      <c r="J82" s="366">
        <v>0</v>
      </c>
      <c r="K82" s="212" t="str">
        <f t="shared" si="11"/>
        <v>1</v>
      </c>
      <c r="L82" s="210" t="str">
        <f>VLOOKUP($B82,Invulblad!$A$11:$S$103,13,0)</f>
        <v>1</v>
      </c>
      <c r="M82" s="211">
        <f>IF(L82&lt;&gt;"",VLOOKUP($B82,Invulblad!$A$11:$S$103,7,0),"")</f>
        <v>2</v>
      </c>
      <c r="N82" s="209" t="s">
        <v>29</v>
      </c>
      <c r="O82" s="211">
        <f>IF(L82&lt;&gt;"",VLOOKUP($B82,Invulblad!$A$11:$S$103,9,0),"")</f>
        <v>0</v>
      </c>
      <c r="P82" s="212">
        <f t="shared" si="15"/>
        <v>5</v>
      </c>
    </row>
    <row r="83" spans="1:16">
      <c r="A83" s="188">
        <v>70</v>
      </c>
      <c r="B83" s="195">
        <v>54</v>
      </c>
      <c r="C83" s="332">
        <v>41820</v>
      </c>
      <c r="D83" s="333">
        <v>0.91666666666666663</v>
      </c>
      <c r="E83" s="189" t="s">
        <v>177</v>
      </c>
      <c r="F83" s="189" t="s">
        <v>29</v>
      </c>
      <c r="G83" s="189" t="s">
        <v>396</v>
      </c>
      <c r="H83" s="366">
        <v>1</v>
      </c>
      <c r="I83" s="366" t="s">
        <v>29</v>
      </c>
      <c r="J83" s="366">
        <v>0</v>
      </c>
      <c r="K83" s="212" t="str">
        <f t="shared" si="11"/>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392</v>
      </c>
      <c r="H84" s="366">
        <v>0</v>
      </c>
      <c r="I84" s="366" t="s">
        <v>29</v>
      </c>
      <c r="J84" s="366">
        <v>1</v>
      </c>
      <c r="K84" s="212">
        <f t="shared" si="11"/>
        <v>2</v>
      </c>
      <c r="L84" s="210" t="str">
        <f>VLOOKUP($B84,Invulblad!$A$11:$S$103,13,0)</f>
        <v>1</v>
      </c>
      <c r="M84" s="211">
        <f>IF(L84&lt;&gt;"",VLOOKUP($B84,Invulblad!$A$11:$S$103,7,0),"")</f>
        <v>1</v>
      </c>
      <c r="N84" s="209" t="s">
        <v>29</v>
      </c>
      <c r="O84" s="211">
        <f>IF(L84&lt;&gt;"",VLOOKUP($B84,Invulblad!$A$11:$S$103,9,0),"")</f>
        <v>0</v>
      </c>
      <c r="P84" s="212">
        <f t="shared" si="15"/>
        <v>0</v>
      </c>
    </row>
    <row r="85" spans="1:16">
      <c r="A85" s="188">
        <v>72</v>
      </c>
      <c r="B85" s="195">
        <v>56</v>
      </c>
      <c r="C85" s="332">
        <v>41821</v>
      </c>
      <c r="D85" s="333">
        <v>0.91666666666666663</v>
      </c>
      <c r="E85" s="189" t="s">
        <v>395</v>
      </c>
      <c r="F85" s="189" t="s">
        <v>29</v>
      </c>
      <c r="G85" s="189" t="s">
        <v>202</v>
      </c>
      <c r="H85" s="366">
        <v>0</v>
      </c>
      <c r="I85" s="366" t="s">
        <v>29</v>
      </c>
      <c r="J85" s="366">
        <v>1</v>
      </c>
      <c r="K85" s="212">
        <f t="shared" si="11"/>
        <v>2</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97</v>
      </c>
      <c r="H88" s="366">
        <v>0</v>
      </c>
      <c r="I88" s="366" t="s">
        <v>29</v>
      </c>
      <c r="J88" s="366">
        <v>0</v>
      </c>
      <c r="K88" s="212">
        <f t="shared" si="16"/>
        <v>3</v>
      </c>
      <c r="L88" s="210" t="str">
        <f>VLOOKUP($B88,Invulblad!$A$11:$S$103,13,0)</f>
        <v>1</v>
      </c>
      <c r="M88" s="211">
        <f>IF(L88&lt;&gt;"",VLOOKUP($B88,Invulblad!$A$11:$S$103,7,0),"")</f>
        <v>2</v>
      </c>
      <c r="N88" s="209" t="s">
        <v>29</v>
      </c>
      <c r="O88" s="211">
        <f>IF(L88&lt;&gt;"",VLOOKUP($B88,Invulblad!$A$11:$S$103,9,0),"")</f>
        <v>1</v>
      </c>
      <c r="P88" s="212">
        <f>IF(L88&lt;&gt;"",IF(AND(M88=H88,O88=J88),10,IF(K88=L88,5,0)),"")</f>
        <v>0</v>
      </c>
    </row>
    <row r="89" spans="1:16">
      <c r="A89" s="188">
        <v>76</v>
      </c>
      <c r="B89" s="195">
        <v>58</v>
      </c>
      <c r="C89" s="332">
        <v>41824</v>
      </c>
      <c r="D89" s="333">
        <v>0.75</v>
      </c>
      <c r="E89" s="189" t="s">
        <v>209</v>
      </c>
      <c r="F89" s="189" t="s">
        <v>29</v>
      </c>
      <c r="G89" s="189" t="s">
        <v>177</v>
      </c>
      <c r="H89" s="366">
        <v>0</v>
      </c>
      <c r="I89" s="366" t="s">
        <v>29</v>
      </c>
      <c r="J89" s="366">
        <v>1</v>
      </c>
      <c r="K89" s="212">
        <f t="shared" si="16"/>
        <v>2</v>
      </c>
      <c r="L89" s="210">
        <f>VLOOKUP($B89,Invulblad!$A$11:$S$103,13,0)</f>
        <v>2</v>
      </c>
      <c r="M89" s="211">
        <f>IF(L89&lt;&gt;"",VLOOKUP($B89,Invulblad!$A$11:$S$103,7,0),"")</f>
        <v>0</v>
      </c>
      <c r="N89" s="209" t="s">
        <v>29</v>
      </c>
      <c r="O89" s="211">
        <f>IF(L89&lt;&gt;"",VLOOKUP($B89,Invulblad!$A$11:$S$103,9,0),"")</f>
        <v>1</v>
      </c>
      <c r="P89" s="212">
        <f>IF(L89&lt;&gt;"",IF(AND(M89=H89,O89=J89),10,IF(K89=L89,5,0)),"")</f>
        <v>10</v>
      </c>
    </row>
    <row r="90" spans="1:16">
      <c r="A90" s="188">
        <v>77</v>
      </c>
      <c r="B90" s="195">
        <v>59</v>
      </c>
      <c r="C90" s="332">
        <v>41825</v>
      </c>
      <c r="D90" s="333">
        <v>0.91666666666666663</v>
      </c>
      <c r="E90" s="189" t="s">
        <v>138</v>
      </c>
      <c r="F90" s="189" t="s">
        <v>29</v>
      </c>
      <c r="G90" s="189" t="s">
        <v>193</v>
      </c>
      <c r="H90" s="366">
        <v>1</v>
      </c>
      <c r="I90" s="366" t="s">
        <v>29</v>
      </c>
      <c r="J90" s="366">
        <v>0</v>
      </c>
      <c r="K90" s="212" t="str">
        <f t="shared" si="16"/>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392</v>
      </c>
      <c r="F91" s="189" t="s">
        <v>29</v>
      </c>
      <c r="G91" s="189" t="s">
        <v>202</v>
      </c>
      <c r="H91" s="366">
        <v>1</v>
      </c>
      <c r="I91" s="366" t="s">
        <v>29</v>
      </c>
      <c r="J91" s="366">
        <v>0</v>
      </c>
      <c r="K91" s="212" t="str">
        <f t="shared" si="16"/>
        <v>1</v>
      </c>
      <c r="L91" s="210" t="str">
        <f>VLOOKUP($B91,Invulblad!$A$11:$S$103,13,0)</f>
        <v>1</v>
      </c>
      <c r="M91" s="211">
        <f>IF(L91&lt;&gt;"",VLOOKUP($B91,Invulblad!$A$11:$S$103,7,0),"")</f>
        <v>1</v>
      </c>
      <c r="N91" s="209" t="s">
        <v>29</v>
      </c>
      <c r="O91" s="211">
        <f>IF(L91&lt;&gt;"",VLOOKUP($B91,Invulblad!$A$11:$S$103,9,0),"")</f>
        <v>0</v>
      </c>
      <c r="P91" s="212">
        <f>IF(L91&lt;&gt;"",IF(AND(M91=H91,O91=J91),10,IF(K91=L91,5,0)),"")</f>
        <v>10</v>
      </c>
    </row>
    <row r="92" spans="1:16">
      <c r="A92" s="188">
        <v>79</v>
      </c>
      <c r="B92" s="201" t="s">
        <v>88</v>
      </c>
      <c r="H92" s="367"/>
      <c r="I92" s="367"/>
      <c r="J92" s="367"/>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177</v>
      </c>
      <c r="H94" s="366">
        <v>1</v>
      </c>
      <c r="I94" s="366" t="s">
        <v>29</v>
      </c>
      <c r="J94" s="366">
        <v>0</v>
      </c>
      <c r="K94" s="212" t="str">
        <f t="shared" si="16"/>
        <v>1</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138</v>
      </c>
      <c r="F95" s="189" t="s">
        <v>29</v>
      </c>
      <c r="G95" s="189" t="s">
        <v>392</v>
      </c>
      <c r="H95" s="366">
        <v>1</v>
      </c>
      <c r="I95" s="366" t="s">
        <v>29</v>
      </c>
      <c r="J95" s="366">
        <v>0</v>
      </c>
      <c r="K95" s="212" t="str">
        <f t="shared" si="16"/>
        <v>1</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367"/>
      <c r="I96" s="367"/>
      <c r="J96" s="367"/>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177</v>
      </c>
      <c r="F98" s="189" t="s">
        <v>29</v>
      </c>
      <c r="G98" s="189" t="s">
        <v>392</v>
      </c>
      <c r="H98" s="366">
        <v>1</v>
      </c>
      <c r="I98" s="366" t="s">
        <v>29</v>
      </c>
      <c r="J98" s="366">
        <v>0</v>
      </c>
      <c r="K98" s="212" t="str">
        <f t="shared" si="16"/>
        <v>1</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367"/>
      <c r="I99" s="367"/>
      <c r="J99" s="367"/>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199</v>
      </c>
      <c r="F101" s="189" t="s">
        <v>29</v>
      </c>
      <c r="G101" s="189" t="s">
        <v>138</v>
      </c>
      <c r="H101" s="366">
        <v>1</v>
      </c>
      <c r="I101" s="366" t="s">
        <v>29</v>
      </c>
      <c r="J101" s="366">
        <v>0</v>
      </c>
      <c r="K101" s="212" t="str">
        <f t="shared" si="16"/>
        <v>1</v>
      </c>
      <c r="L101" s="210" t="str">
        <f>VLOOKUP($B101,Invulblad!$A$11:$S$103,13,0)</f>
        <v>1</v>
      </c>
      <c r="M101" s="211">
        <f>IF(L101&lt;&gt;"",VLOOKUP($B101,Invulblad!$A$11:$S$103,7,0),"")</f>
        <v>1</v>
      </c>
      <c r="N101" s="209" t="s">
        <v>29</v>
      </c>
      <c r="O101" s="211">
        <f>IF(L101&lt;&gt;"",VLOOKUP($B101,Invulblad!$A$11:$S$103,9,0),"")</f>
        <v>0</v>
      </c>
      <c r="P101" s="212">
        <f>IF(L101&lt;&gt;"",IF(AND(M101=H101,O101=J101),10,IF(K101=L101,5,0)),"")</f>
        <v>10</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389</v>
      </c>
    </row>
    <row r="112" spans="1:16">
      <c r="B112" s="201" t="s">
        <v>144</v>
      </c>
    </row>
    <row r="114" spans="2:15">
      <c r="B114" s="215" t="s">
        <v>145</v>
      </c>
      <c r="C114" s="215" t="s">
        <v>146</v>
      </c>
      <c r="D114" s="215" t="s">
        <v>147</v>
      </c>
      <c r="E114" s="215" t="s">
        <v>148</v>
      </c>
    </row>
    <row r="115" spans="2:15">
      <c r="B115" s="216" t="s">
        <v>199</v>
      </c>
      <c r="C115" s="216" t="s">
        <v>163</v>
      </c>
      <c r="D115" s="216" t="s">
        <v>151</v>
      </c>
      <c r="E115" s="216" t="s">
        <v>149</v>
      </c>
    </row>
    <row r="116" spans="2:15">
      <c r="B116" s="217" t="s">
        <v>389</v>
      </c>
      <c r="C116" s="217" t="s">
        <v>149</v>
      </c>
      <c r="D116" s="217" t="s">
        <v>150</v>
      </c>
      <c r="E116" s="217" t="s">
        <v>153</v>
      </c>
    </row>
    <row r="117" spans="2:15">
      <c r="B117" s="216" t="s">
        <v>152</v>
      </c>
      <c r="C117" s="216" t="s">
        <v>149</v>
      </c>
      <c r="D117" s="216" t="s">
        <v>150</v>
      </c>
      <c r="E117" s="216" t="s">
        <v>156</v>
      </c>
    </row>
    <row r="118" spans="2:15">
      <c r="B118" s="217" t="s">
        <v>185</v>
      </c>
      <c r="C118" s="217" t="s">
        <v>150</v>
      </c>
      <c r="D118" s="217" t="s">
        <v>171</v>
      </c>
      <c r="E118" s="217" t="s">
        <v>150</v>
      </c>
    </row>
    <row r="121" spans="2:15">
      <c r="B121" s="201" t="s">
        <v>157</v>
      </c>
    </row>
    <row r="122" spans="2:15">
      <c r="B122" s="195"/>
    </row>
    <row r="123" spans="2:15">
      <c r="B123" s="195" t="s">
        <v>158</v>
      </c>
    </row>
    <row r="124" spans="2:15">
      <c r="B124" s="195" t="s">
        <v>159</v>
      </c>
    </row>
    <row r="127" spans="2:15">
      <c r="B127" s="218"/>
      <c r="C127" s="218"/>
      <c r="D127" s="218"/>
      <c r="E127" s="218"/>
      <c r="F127" s="218"/>
      <c r="G127" s="218"/>
      <c r="H127" s="364"/>
      <c r="I127" s="364"/>
      <c r="J127" s="364"/>
      <c r="K127" s="218"/>
      <c r="L127" s="219"/>
      <c r="M127" s="218"/>
      <c r="N127" s="218"/>
      <c r="O127" s="218"/>
    </row>
    <row r="130" spans="1:5">
      <c r="B130" s="201" t="s">
        <v>160</v>
      </c>
    </row>
    <row r="132" spans="1:5">
      <c r="A132" s="227" t="s">
        <v>67</v>
      </c>
      <c r="B132" s="189" t="s">
        <v>140</v>
      </c>
      <c r="C132" s="189" t="s">
        <v>141</v>
      </c>
      <c r="D132" s="201" t="s">
        <v>138</v>
      </c>
    </row>
    <row r="133" spans="1:5">
      <c r="A133" s="188" t="s">
        <v>68</v>
      </c>
      <c r="B133" s="189" t="s">
        <v>142</v>
      </c>
      <c r="C133" s="189" t="s">
        <v>141</v>
      </c>
      <c r="D133" s="201" t="s">
        <v>207</v>
      </c>
    </row>
    <row r="136" spans="1:5">
      <c r="B136" s="201" t="s">
        <v>161</v>
      </c>
    </row>
    <row r="138" spans="1:5">
      <c r="B138" s="215" t="s">
        <v>145</v>
      </c>
      <c r="C138" s="215" t="s">
        <v>146</v>
      </c>
      <c r="D138" s="215" t="s">
        <v>147</v>
      </c>
      <c r="E138" s="215" t="s">
        <v>148</v>
      </c>
    </row>
    <row r="139" spans="1:5">
      <c r="B139" s="216" t="s">
        <v>138</v>
      </c>
      <c r="C139" s="216" t="s">
        <v>172</v>
      </c>
      <c r="D139" s="216" t="s">
        <v>153</v>
      </c>
      <c r="E139" s="216" t="s">
        <v>151</v>
      </c>
    </row>
    <row r="140" spans="1:5">
      <c r="B140" s="217" t="s">
        <v>135</v>
      </c>
      <c r="C140" s="217" t="s">
        <v>149</v>
      </c>
      <c r="D140" s="217" t="s">
        <v>150</v>
      </c>
      <c r="E140" s="217" t="s">
        <v>153</v>
      </c>
    </row>
    <row r="141" spans="1:5">
      <c r="B141" s="216" t="s">
        <v>207</v>
      </c>
      <c r="C141" s="216" t="s">
        <v>155</v>
      </c>
      <c r="D141" s="216" t="s">
        <v>156</v>
      </c>
      <c r="E141" s="216" t="s">
        <v>151</v>
      </c>
    </row>
    <row r="142" spans="1:5">
      <c r="B142" s="217" t="s">
        <v>179</v>
      </c>
      <c r="C142" s="217" t="s">
        <v>150</v>
      </c>
      <c r="D142" s="217" t="s">
        <v>171</v>
      </c>
      <c r="E142" s="217" t="s">
        <v>150</v>
      </c>
    </row>
    <row r="145" spans="1:15">
      <c r="B145" s="201" t="s">
        <v>166</v>
      </c>
    </row>
    <row r="146" spans="1:15">
      <c r="B146" s="195"/>
    </row>
    <row r="147" spans="1:15">
      <c r="B147" s="195" t="s">
        <v>167</v>
      </c>
    </row>
    <row r="148" spans="1:15">
      <c r="B148" s="195" t="s">
        <v>168</v>
      </c>
    </row>
    <row r="151" spans="1:15">
      <c r="B151" s="218"/>
      <c r="C151" s="218"/>
      <c r="D151" s="218"/>
      <c r="E151" s="218"/>
      <c r="F151" s="218"/>
      <c r="G151" s="218"/>
      <c r="H151" s="364"/>
      <c r="I151" s="364"/>
      <c r="J151" s="364"/>
      <c r="K151" s="218"/>
      <c r="L151" s="219"/>
      <c r="M151" s="218"/>
      <c r="N151" s="218"/>
      <c r="O151" s="218"/>
    </row>
    <row r="154" spans="1:15">
      <c r="B154" s="201" t="s">
        <v>169</v>
      </c>
    </row>
    <row r="156" spans="1:15">
      <c r="A156" s="188" t="s">
        <v>69</v>
      </c>
      <c r="B156" s="189" t="s">
        <v>140</v>
      </c>
      <c r="C156" s="189" t="s">
        <v>141</v>
      </c>
      <c r="D156" s="201" t="s">
        <v>390</v>
      </c>
    </row>
    <row r="157" spans="1:15">
      <c r="A157" s="188" t="s">
        <v>70</v>
      </c>
      <c r="B157" s="189" t="s">
        <v>142</v>
      </c>
      <c r="C157" s="189" t="s">
        <v>141</v>
      </c>
      <c r="D157" s="201" t="s">
        <v>200</v>
      </c>
    </row>
    <row r="160" spans="1:15">
      <c r="B160" s="201" t="s">
        <v>170</v>
      </c>
    </row>
    <row r="162" spans="2:15">
      <c r="B162" s="215" t="s">
        <v>145</v>
      </c>
      <c r="C162" s="215" t="s">
        <v>146</v>
      </c>
      <c r="D162" s="215" t="s">
        <v>147</v>
      </c>
      <c r="E162" s="215" t="s">
        <v>148</v>
      </c>
    </row>
    <row r="163" spans="2:15">
      <c r="B163" s="216" t="s">
        <v>390</v>
      </c>
      <c r="C163" s="216" t="s">
        <v>163</v>
      </c>
      <c r="D163" s="216" t="s">
        <v>151</v>
      </c>
      <c r="E163" s="216" t="s">
        <v>151</v>
      </c>
    </row>
    <row r="164" spans="2:15">
      <c r="B164" s="217" t="s">
        <v>106</v>
      </c>
      <c r="C164" s="217" t="s">
        <v>149</v>
      </c>
      <c r="D164" s="217" t="s">
        <v>150</v>
      </c>
      <c r="E164" s="217" t="s">
        <v>156</v>
      </c>
    </row>
    <row r="165" spans="2:15">
      <c r="B165" s="216" t="s">
        <v>200</v>
      </c>
      <c r="C165" s="216" t="s">
        <v>149</v>
      </c>
      <c r="D165" s="216" t="s">
        <v>156</v>
      </c>
      <c r="E165" s="216" t="s">
        <v>153</v>
      </c>
    </row>
    <row r="166" spans="2:15">
      <c r="B166" s="217" t="s">
        <v>187</v>
      </c>
      <c r="C166" s="217" t="s">
        <v>150</v>
      </c>
      <c r="D166" s="217" t="s">
        <v>180</v>
      </c>
      <c r="E166" s="217" t="s">
        <v>150</v>
      </c>
    </row>
    <row r="169" spans="2:15">
      <c r="B169" s="201" t="s">
        <v>173</v>
      </c>
    </row>
    <row r="170" spans="2:15">
      <c r="B170" s="195"/>
    </row>
    <row r="171" spans="2:15">
      <c r="B171" s="195" t="s">
        <v>174</v>
      </c>
    </row>
    <row r="172" spans="2:15">
      <c r="B172" s="195" t="s">
        <v>276</v>
      </c>
    </row>
    <row r="175" spans="2:15">
      <c r="B175" s="218"/>
      <c r="C175" s="218"/>
      <c r="D175" s="218"/>
      <c r="E175" s="218"/>
      <c r="F175" s="218"/>
      <c r="G175" s="218"/>
      <c r="H175" s="364"/>
      <c r="I175" s="364"/>
      <c r="J175" s="364"/>
    </row>
    <row r="176" spans="2:15">
      <c r="K176" s="218"/>
      <c r="L176" s="219"/>
      <c r="M176" s="218"/>
      <c r="N176" s="218"/>
      <c r="O176" s="218"/>
    </row>
    <row r="178" spans="1:5">
      <c r="B178" s="201" t="s">
        <v>176</v>
      </c>
    </row>
    <row r="180" spans="1:5">
      <c r="A180" s="188" t="s">
        <v>71</v>
      </c>
      <c r="B180" s="189" t="s">
        <v>140</v>
      </c>
      <c r="C180" s="189" t="s">
        <v>141</v>
      </c>
      <c r="D180" s="201" t="s">
        <v>193</v>
      </c>
    </row>
    <row r="181" spans="1:5">
      <c r="A181" s="188" t="s">
        <v>72</v>
      </c>
      <c r="B181" s="189" t="s">
        <v>142</v>
      </c>
      <c r="C181" s="189" t="s">
        <v>141</v>
      </c>
      <c r="D181" s="201" t="s">
        <v>97</v>
      </c>
    </row>
    <row r="184" spans="1:5">
      <c r="B184" s="201" t="s">
        <v>178</v>
      </c>
    </row>
    <row r="186" spans="1:5">
      <c r="B186" s="215" t="s">
        <v>145</v>
      </c>
      <c r="C186" s="215" t="s">
        <v>146</v>
      </c>
      <c r="D186" s="215" t="s">
        <v>147</v>
      </c>
      <c r="E186" s="215" t="s">
        <v>148</v>
      </c>
    </row>
    <row r="187" spans="1:5">
      <c r="B187" s="216" t="s">
        <v>97</v>
      </c>
      <c r="C187" s="216" t="s">
        <v>164</v>
      </c>
      <c r="D187" s="216" t="s">
        <v>156</v>
      </c>
      <c r="E187" s="216" t="s">
        <v>153</v>
      </c>
    </row>
    <row r="188" spans="1:5">
      <c r="B188" s="217" t="s">
        <v>391</v>
      </c>
      <c r="C188" s="217" t="s">
        <v>150</v>
      </c>
      <c r="D188" s="217" t="s">
        <v>171</v>
      </c>
      <c r="E188" s="217" t="s">
        <v>150</v>
      </c>
    </row>
    <row r="189" spans="1:5">
      <c r="B189" s="216" t="s">
        <v>109</v>
      </c>
      <c r="C189" s="216" t="s">
        <v>149</v>
      </c>
      <c r="D189" s="216" t="s">
        <v>150</v>
      </c>
      <c r="E189" s="216" t="s">
        <v>153</v>
      </c>
    </row>
    <row r="190" spans="1:5">
      <c r="B190" s="217" t="s">
        <v>193</v>
      </c>
      <c r="C190" s="217" t="s">
        <v>172</v>
      </c>
      <c r="D190" s="217" t="s">
        <v>153</v>
      </c>
      <c r="E190" s="217" t="s">
        <v>151</v>
      </c>
    </row>
    <row r="193" spans="1:15">
      <c r="B193" s="201" t="s">
        <v>182</v>
      </c>
    </row>
    <row r="194" spans="1:15">
      <c r="B194" s="195"/>
    </row>
    <row r="195" spans="1:15">
      <c r="B195" s="195" t="s">
        <v>239</v>
      </c>
    </row>
    <row r="196" spans="1:15">
      <c r="B196" s="195" t="s">
        <v>240</v>
      </c>
    </row>
    <row r="199" spans="1:15">
      <c r="B199" s="218"/>
      <c r="C199" s="218"/>
      <c r="D199" s="218"/>
      <c r="E199" s="218"/>
      <c r="F199" s="218"/>
      <c r="G199" s="218"/>
      <c r="H199" s="364"/>
      <c r="I199" s="364"/>
      <c r="J199" s="364"/>
      <c r="K199" s="218"/>
      <c r="L199" s="219"/>
      <c r="M199" s="218"/>
      <c r="N199" s="218"/>
      <c r="O199" s="218"/>
    </row>
    <row r="202" spans="1:15">
      <c r="B202" s="201" t="s">
        <v>184</v>
      </c>
    </row>
    <row r="204" spans="1:15">
      <c r="A204" s="188" t="s">
        <v>73</v>
      </c>
      <c r="B204" s="189" t="s">
        <v>140</v>
      </c>
      <c r="C204" s="189" t="s">
        <v>141</v>
      </c>
      <c r="D204" s="201" t="s">
        <v>209</v>
      </c>
    </row>
    <row r="205" spans="1:15">
      <c r="A205" s="188" t="s">
        <v>74</v>
      </c>
      <c r="B205" s="189" t="s">
        <v>142</v>
      </c>
      <c r="C205" s="189" t="s">
        <v>141</v>
      </c>
      <c r="D205" s="201" t="s">
        <v>392</v>
      </c>
    </row>
    <row r="208" spans="1:15">
      <c r="B208" s="201" t="s">
        <v>186</v>
      </c>
    </row>
    <row r="210" spans="2:15">
      <c r="B210" s="215" t="s">
        <v>145</v>
      </c>
      <c r="C210" s="215" t="s">
        <v>146</v>
      </c>
      <c r="D210" s="215" t="s">
        <v>147</v>
      </c>
      <c r="E210" s="215" t="s">
        <v>148</v>
      </c>
    </row>
    <row r="211" spans="2:15">
      <c r="B211" s="216" t="s">
        <v>209</v>
      </c>
      <c r="C211" s="216" t="s">
        <v>163</v>
      </c>
      <c r="D211" s="216" t="s">
        <v>151</v>
      </c>
      <c r="E211" s="216" t="s">
        <v>151</v>
      </c>
    </row>
    <row r="212" spans="2:15">
      <c r="B212" s="217" t="s">
        <v>392</v>
      </c>
      <c r="C212" s="217" t="s">
        <v>149</v>
      </c>
      <c r="D212" s="217" t="s">
        <v>150</v>
      </c>
      <c r="E212" s="217" t="s">
        <v>156</v>
      </c>
    </row>
    <row r="213" spans="2:15">
      <c r="B213" s="216" t="s">
        <v>143</v>
      </c>
      <c r="C213" s="216" t="s">
        <v>149</v>
      </c>
      <c r="D213" s="216" t="s">
        <v>150</v>
      </c>
      <c r="E213" s="216" t="s">
        <v>156</v>
      </c>
    </row>
    <row r="214" spans="2:15">
      <c r="B214" s="217" t="s">
        <v>210</v>
      </c>
      <c r="C214" s="217" t="s">
        <v>150</v>
      </c>
      <c r="D214" s="217" t="s">
        <v>171</v>
      </c>
      <c r="E214" s="217" t="s">
        <v>150</v>
      </c>
    </row>
    <row r="217" spans="2:15">
      <c r="B217" s="201" t="s">
        <v>189</v>
      </c>
    </row>
    <row r="218" spans="2:15">
      <c r="B218" s="195"/>
    </row>
    <row r="219" spans="2:15">
      <c r="B219" s="195" t="s">
        <v>190</v>
      </c>
    </row>
    <row r="220" spans="2:15">
      <c r="B220" s="195" t="s">
        <v>525</v>
      </c>
    </row>
    <row r="223" spans="2:15">
      <c r="B223" s="218"/>
      <c r="C223" s="218"/>
      <c r="D223" s="218"/>
      <c r="E223" s="218"/>
      <c r="F223" s="218"/>
      <c r="G223" s="218"/>
      <c r="H223" s="364"/>
      <c r="I223" s="364"/>
      <c r="J223" s="364"/>
      <c r="K223" s="218"/>
      <c r="L223" s="219"/>
      <c r="M223" s="218"/>
      <c r="N223" s="218"/>
      <c r="O223" s="218"/>
    </row>
    <row r="226" spans="1:5">
      <c r="B226" s="201" t="s">
        <v>192</v>
      </c>
    </row>
    <row r="228" spans="1:5">
      <c r="A228" s="188" t="s">
        <v>75</v>
      </c>
      <c r="B228" s="189" t="s">
        <v>140</v>
      </c>
      <c r="C228" s="189" t="s">
        <v>141</v>
      </c>
      <c r="D228" s="201" t="s">
        <v>102</v>
      </c>
    </row>
    <row r="229" spans="1:5">
      <c r="A229" s="188" t="s">
        <v>76</v>
      </c>
      <c r="B229" s="189" t="s">
        <v>142</v>
      </c>
      <c r="C229" s="189" t="s">
        <v>141</v>
      </c>
      <c r="D229" s="201" t="s">
        <v>572</v>
      </c>
    </row>
    <row r="232" spans="1:5">
      <c r="B232" s="201" t="s">
        <v>194</v>
      </c>
    </row>
    <row r="234" spans="1:5">
      <c r="B234" s="215" t="s">
        <v>145</v>
      </c>
      <c r="C234" s="215" t="s">
        <v>146</v>
      </c>
      <c r="D234" s="215" t="s">
        <v>147</v>
      </c>
      <c r="E234" s="215" t="s">
        <v>148</v>
      </c>
    </row>
    <row r="235" spans="1:5">
      <c r="B235" s="216" t="s">
        <v>102</v>
      </c>
      <c r="C235" s="216" t="s">
        <v>163</v>
      </c>
      <c r="D235" s="216" t="s">
        <v>151</v>
      </c>
      <c r="E235" s="216" t="s">
        <v>151</v>
      </c>
    </row>
    <row r="236" spans="1:5">
      <c r="B236" s="217" t="s">
        <v>572</v>
      </c>
      <c r="C236" s="217" t="s">
        <v>164</v>
      </c>
      <c r="D236" s="217" t="s">
        <v>156</v>
      </c>
      <c r="E236" s="217" t="s">
        <v>153</v>
      </c>
    </row>
    <row r="237" spans="1:5">
      <c r="B237" s="216" t="s">
        <v>394</v>
      </c>
      <c r="C237" s="216" t="s">
        <v>150</v>
      </c>
      <c r="D237" s="216" t="s">
        <v>171</v>
      </c>
      <c r="E237" s="216" t="s">
        <v>150</v>
      </c>
    </row>
    <row r="238" spans="1:5">
      <c r="B238" s="217" t="s">
        <v>108</v>
      </c>
      <c r="C238" s="217" t="s">
        <v>151</v>
      </c>
      <c r="D238" s="217" t="s">
        <v>154</v>
      </c>
      <c r="E238" s="217" t="s">
        <v>156</v>
      </c>
    </row>
    <row r="241" spans="1:15">
      <c r="B241" s="201" t="s">
        <v>195</v>
      </c>
    </row>
    <row r="242" spans="1:15">
      <c r="B242" s="195"/>
    </row>
    <row r="243" spans="1:15">
      <c r="B243" s="195" t="s">
        <v>196</v>
      </c>
    </row>
    <row r="244" spans="1:15">
      <c r="B244" s="189" t="s">
        <v>197</v>
      </c>
    </row>
    <row r="247" spans="1:15">
      <c r="B247" s="218"/>
      <c r="C247" s="218"/>
      <c r="D247" s="218"/>
      <c r="E247" s="218"/>
      <c r="F247" s="218"/>
      <c r="G247" s="218"/>
      <c r="H247" s="364"/>
      <c r="I247" s="364"/>
      <c r="J247" s="364"/>
    </row>
    <row r="248" spans="1:15">
      <c r="K248" s="218"/>
      <c r="L248" s="219"/>
      <c r="M248" s="218"/>
      <c r="N248" s="218"/>
      <c r="O248" s="218"/>
    </row>
    <row r="250" spans="1:15">
      <c r="B250" s="201" t="s">
        <v>198</v>
      </c>
    </row>
    <row r="252" spans="1:15">
      <c r="A252" s="188" t="s">
        <v>77</v>
      </c>
      <c r="B252" s="189" t="s">
        <v>140</v>
      </c>
      <c r="C252" s="189" t="s">
        <v>141</v>
      </c>
      <c r="D252" s="201" t="s">
        <v>177</v>
      </c>
    </row>
    <row r="253" spans="1:15">
      <c r="A253" s="188" t="s">
        <v>78</v>
      </c>
      <c r="B253" s="189" t="s">
        <v>142</v>
      </c>
      <c r="C253" s="189" t="s">
        <v>141</v>
      </c>
      <c r="D253" s="201" t="s">
        <v>202</v>
      </c>
    </row>
    <row r="256" spans="1:15">
      <c r="B256" s="201" t="s">
        <v>201</v>
      </c>
    </row>
    <row r="258" spans="2:15">
      <c r="B258" s="215" t="s">
        <v>145</v>
      </c>
      <c r="C258" s="215" t="s">
        <v>146</v>
      </c>
      <c r="D258" s="215" t="s">
        <v>147</v>
      </c>
      <c r="E258" s="215" t="s">
        <v>148</v>
      </c>
    </row>
    <row r="259" spans="2:15">
      <c r="B259" s="216" t="s">
        <v>177</v>
      </c>
      <c r="C259" s="216" t="s">
        <v>163</v>
      </c>
      <c r="D259" s="216" t="s">
        <v>151</v>
      </c>
      <c r="E259" s="216" t="s">
        <v>151</v>
      </c>
    </row>
    <row r="260" spans="2:15">
      <c r="B260" s="217" t="s">
        <v>202</v>
      </c>
      <c r="C260" s="217" t="s">
        <v>164</v>
      </c>
      <c r="D260" s="217" t="s">
        <v>156</v>
      </c>
      <c r="E260" s="217" t="s">
        <v>153</v>
      </c>
    </row>
    <row r="261" spans="2:15">
      <c r="B261" s="216" t="s">
        <v>181</v>
      </c>
      <c r="C261" s="216" t="s">
        <v>150</v>
      </c>
      <c r="D261" s="216" t="s">
        <v>171</v>
      </c>
      <c r="E261" s="216" t="s">
        <v>150</v>
      </c>
    </row>
    <row r="262" spans="2:15">
      <c r="B262" s="217" t="s">
        <v>32</v>
      </c>
      <c r="C262" s="217" t="s">
        <v>151</v>
      </c>
      <c r="D262" s="217" t="s">
        <v>154</v>
      </c>
      <c r="E262" s="217" t="s">
        <v>156</v>
      </c>
    </row>
    <row r="265" spans="2:15">
      <c r="B265" s="201" t="s">
        <v>203</v>
      </c>
    </row>
    <row r="266" spans="2:15">
      <c r="B266" s="195"/>
    </row>
    <row r="267" spans="2:15">
      <c r="B267" s="195" t="s">
        <v>204</v>
      </c>
    </row>
    <row r="268" spans="2:15">
      <c r="B268" s="195" t="s">
        <v>205</v>
      </c>
    </row>
    <row r="270" spans="2:15">
      <c r="B270" s="218"/>
      <c r="C270" s="218"/>
      <c r="D270" s="218"/>
      <c r="E270" s="218"/>
      <c r="F270" s="218"/>
      <c r="G270" s="218"/>
    </row>
    <row r="271" spans="2:15">
      <c r="H271" s="364"/>
      <c r="I271" s="364"/>
      <c r="J271" s="364"/>
      <c r="K271" s="218"/>
      <c r="L271" s="219"/>
      <c r="M271" s="218"/>
      <c r="N271" s="218"/>
      <c r="O271" s="218"/>
    </row>
    <row r="272" spans="2:15">
      <c r="K272" s="334"/>
      <c r="L272" s="335"/>
      <c r="M272" s="334"/>
      <c r="N272" s="334"/>
      <c r="O272" s="334"/>
    </row>
    <row r="274" spans="1:5">
      <c r="B274" s="201" t="s">
        <v>206</v>
      </c>
    </row>
    <row r="276" spans="1:5">
      <c r="A276" s="188" t="s">
        <v>79</v>
      </c>
      <c r="B276" s="189" t="s">
        <v>140</v>
      </c>
      <c r="C276" s="189" t="s">
        <v>141</v>
      </c>
      <c r="D276" s="201" t="s">
        <v>395</v>
      </c>
    </row>
    <row r="277" spans="1:5">
      <c r="A277" s="188" t="s">
        <v>80</v>
      </c>
      <c r="B277" s="189" t="s">
        <v>142</v>
      </c>
      <c r="C277" s="189" t="s">
        <v>141</v>
      </c>
      <c r="D277" s="201" t="s">
        <v>396</v>
      </c>
    </row>
    <row r="278" spans="1:5">
      <c r="A278" s="188" t="s">
        <v>80</v>
      </c>
    </row>
    <row r="280" spans="1:5">
      <c r="B280" s="201" t="s">
        <v>208</v>
      </c>
    </row>
    <row r="282" spans="1:5">
      <c r="B282" s="215" t="s">
        <v>145</v>
      </c>
      <c r="C282" s="215" t="s">
        <v>146</v>
      </c>
      <c r="D282" s="215" t="s">
        <v>147</v>
      </c>
      <c r="E282" s="215" t="s">
        <v>148</v>
      </c>
    </row>
    <row r="283" spans="1:5">
      <c r="B283" s="216" t="s">
        <v>395</v>
      </c>
      <c r="C283" s="216" t="s">
        <v>163</v>
      </c>
      <c r="D283" s="216" t="s">
        <v>151</v>
      </c>
      <c r="E283" s="216" t="s">
        <v>151</v>
      </c>
    </row>
    <row r="284" spans="1:5">
      <c r="B284" s="217" t="s">
        <v>110</v>
      </c>
      <c r="C284" s="217" t="s">
        <v>151</v>
      </c>
      <c r="D284" s="217" t="s">
        <v>154</v>
      </c>
      <c r="E284" s="217" t="s">
        <v>156</v>
      </c>
    </row>
    <row r="285" spans="1:5">
      <c r="B285" s="216" t="s">
        <v>396</v>
      </c>
      <c r="C285" s="216" t="s">
        <v>164</v>
      </c>
      <c r="D285" s="216" t="s">
        <v>156</v>
      </c>
      <c r="E285" s="216" t="s">
        <v>153</v>
      </c>
    </row>
    <row r="286" spans="1:5">
      <c r="B286" s="217" t="s">
        <v>104</v>
      </c>
      <c r="C286" s="217" t="s">
        <v>150</v>
      </c>
      <c r="D286" s="217" t="s">
        <v>171</v>
      </c>
      <c r="E286" s="217" t="s">
        <v>150</v>
      </c>
    </row>
    <row r="289" spans="2:15">
      <c r="B289" s="201" t="s">
        <v>211</v>
      </c>
    </row>
    <row r="290" spans="2:15">
      <c r="B290" s="195"/>
    </row>
    <row r="291" spans="2:15">
      <c r="B291" s="195" t="s">
        <v>212</v>
      </c>
    </row>
    <row r="292" spans="2:15">
      <c r="B292" s="195" t="s">
        <v>213</v>
      </c>
    </row>
    <row r="295" spans="2:15">
      <c r="B295" s="218"/>
      <c r="C295" s="218"/>
      <c r="D295" s="218"/>
      <c r="E295" s="218"/>
      <c r="F295" s="218"/>
      <c r="G295" s="218"/>
      <c r="H295" s="364"/>
      <c r="I295" s="364"/>
      <c r="J295" s="364"/>
    </row>
    <row r="296" spans="2:15">
      <c r="K296" s="218"/>
      <c r="L296" s="219"/>
      <c r="M296" s="218"/>
      <c r="N296" s="218"/>
      <c r="O296" s="218"/>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sheetPr codeName="Blad2" enableFormatConditionsCalculation="0">
    <tabColor indexed="10"/>
    <pageSetUpPr fitToPage="1"/>
  </sheetPr>
  <dimension ref="A1:BD114"/>
  <sheetViews>
    <sheetView topLeftCell="A65" workbookViewId="0">
      <selection activeCell="R76" sqref="R76:S76"/>
    </sheetView>
  </sheetViews>
  <sheetFormatPr defaultColWidth="9.140625" defaultRowHeight="12.75" zeroHeight="1"/>
  <cols>
    <col min="1" max="1" width="3.85546875" style="35" customWidth="1"/>
    <col min="2" max="2" width="3.85546875" style="36" customWidth="1"/>
    <col min="3" max="3" width="6.28515625" style="37" customWidth="1"/>
    <col min="4" max="4" width="5.85546875" style="36" customWidth="1"/>
    <col min="5" max="5" width="3.7109375" style="36" customWidth="1"/>
    <col min="6" max="6" width="15.42578125" style="36" customWidth="1"/>
    <col min="7" max="7" width="3.28515625" style="35" customWidth="1"/>
    <col min="8" max="8" width="1.85546875" style="38" customWidth="1"/>
    <col min="9" max="9" width="3" style="35" customWidth="1"/>
    <col min="10" max="10" width="15.42578125" style="36" customWidth="1"/>
    <col min="11" max="11" width="3.7109375" style="36" customWidth="1"/>
    <col min="12" max="12" width="3.42578125" style="36" customWidth="1"/>
    <col min="13" max="13" width="9.140625" style="38" customWidth="1"/>
    <col min="14" max="14" width="12.42578125" style="39" customWidth="1"/>
    <col min="15" max="17" width="9.140625" style="39" hidden="1" customWidth="1"/>
    <col min="18" max="18" width="2.7109375" style="39" customWidth="1"/>
    <col min="19" max="19" width="12.28515625" style="39" customWidth="1"/>
    <col min="20" max="20" width="3.7109375" style="39" customWidth="1"/>
    <col min="21" max="21" width="3.140625" style="39" customWidth="1"/>
    <col min="22" max="22" width="2.5703125" style="39" customWidth="1"/>
    <col min="23" max="24" width="2.28515625" style="39" customWidth="1"/>
    <col min="25" max="25" width="4.28515625" style="39" customWidth="1"/>
    <col min="26" max="26" width="4.140625" style="39" customWidth="1"/>
    <col min="27" max="27" width="3.5703125" style="39" customWidth="1"/>
    <col min="28" max="28" width="0.42578125" style="39" customWidth="1"/>
    <col min="29" max="30" width="9.140625" style="40" hidden="1" customWidth="1"/>
    <col min="31" max="31" width="9.140625" style="41" hidden="1" customWidth="1"/>
    <col min="32" max="44" width="9.140625" style="40" hidden="1" customWidth="1"/>
    <col min="45" max="54" width="9.140625" style="441" customWidth="1"/>
    <col min="55" max="55" width="9.140625" style="441"/>
    <col min="56" max="16384" width="9.140625" style="40"/>
  </cols>
  <sheetData>
    <row r="1" spans="1:56">
      <c r="A1" s="42"/>
      <c r="B1" s="5"/>
      <c r="C1" s="43"/>
      <c r="D1" s="5"/>
      <c r="E1" s="5"/>
      <c r="F1" s="5"/>
      <c r="G1" s="42"/>
      <c r="H1" s="44"/>
      <c r="I1" s="42"/>
      <c r="J1" s="5"/>
      <c r="K1" s="5"/>
      <c r="L1" s="5"/>
      <c r="M1" s="44"/>
      <c r="N1" s="45"/>
      <c r="O1" s="45"/>
      <c r="P1" s="45"/>
      <c r="Q1" s="45"/>
      <c r="R1" s="45"/>
      <c r="S1" s="45"/>
      <c r="T1" s="45"/>
      <c r="U1" s="45"/>
      <c r="V1" s="45"/>
      <c r="W1" s="45"/>
      <c r="X1" s="45"/>
      <c r="Y1" s="45"/>
      <c r="Z1" s="45"/>
      <c r="AA1" s="45"/>
      <c r="AB1" s="45"/>
      <c r="AZ1" s="442"/>
      <c r="BA1" s="442"/>
    </row>
    <row r="2" spans="1:56">
      <c r="A2" s="42"/>
      <c r="B2" s="5"/>
      <c r="C2" s="43"/>
      <c r="D2" s="5"/>
      <c r="E2" s="5"/>
      <c r="F2" s="5"/>
      <c r="G2" s="42"/>
      <c r="H2" s="44"/>
      <c r="I2" s="42"/>
      <c r="J2" s="5"/>
      <c r="K2" s="5"/>
      <c r="L2" s="5"/>
      <c r="M2" s="44"/>
      <c r="N2" s="45"/>
      <c r="O2" s="45"/>
      <c r="P2" s="45"/>
      <c r="Q2" s="45"/>
      <c r="R2" s="45"/>
      <c r="S2" s="45"/>
      <c r="T2" s="45"/>
      <c r="U2" s="45"/>
      <c r="V2" s="45"/>
      <c r="W2" s="45"/>
      <c r="X2" s="45"/>
      <c r="Y2" s="45"/>
      <c r="Z2" s="45"/>
      <c r="AA2" s="45"/>
      <c r="AB2" s="45"/>
      <c r="AZ2" s="442"/>
      <c r="BA2" s="442"/>
    </row>
    <row r="3" spans="1:56">
      <c r="A3" s="42"/>
      <c r="B3" s="5"/>
      <c r="C3" s="43"/>
      <c r="D3" s="5"/>
      <c r="E3" s="5"/>
      <c r="F3" s="5"/>
      <c r="G3" s="42"/>
      <c r="H3" s="44"/>
      <c r="I3" s="42"/>
      <c r="J3" s="5"/>
      <c r="K3" s="5"/>
      <c r="L3" s="5"/>
      <c r="M3" s="44"/>
      <c r="N3" s="45"/>
      <c r="O3" s="45"/>
      <c r="P3" s="45"/>
      <c r="Q3" s="45"/>
      <c r="R3" s="45"/>
      <c r="S3" s="45"/>
      <c r="T3" s="45"/>
      <c r="U3" s="45"/>
      <c r="V3" s="45"/>
      <c r="W3" s="45"/>
      <c r="X3" s="45"/>
      <c r="Y3" s="45"/>
      <c r="Z3" s="45"/>
      <c r="AA3" s="45"/>
      <c r="AB3" s="45"/>
      <c r="AZ3" s="442"/>
      <c r="BA3" s="442"/>
    </row>
    <row r="4" spans="1:56">
      <c r="A4" s="42"/>
      <c r="B4" s="5"/>
      <c r="C4" s="43"/>
      <c r="D4" s="5"/>
      <c r="E4" s="5"/>
      <c r="F4" s="5"/>
      <c r="G4" s="42"/>
      <c r="H4" s="44"/>
      <c r="I4" s="42"/>
      <c r="J4" s="5"/>
      <c r="K4" s="5"/>
      <c r="L4" s="5"/>
      <c r="M4" s="44"/>
      <c r="N4" s="45"/>
      <c r="O4" s="45"/>
      <c r="P4" s="45"/>
      <c r="Q4" s="45"/>
      <c r="R4" s="45"/>
      <c r="S4" s="45"/>
      <c r="T4" s="45"/>
      <c r="U4" s="45"/>
      <c r="V4" s="45"/>
      <c r="W4" s="45"/>
      <c r="X4" s="45"/>
      <c r="Y4" s="45"/>
      <c r="Z4" s="45"/>
      <c r="AA4" s="45"/>
      <c r="AB4" s="45"/>
      <c r="AZ4" s="442"/>
      <c r="BA4" s="442"/>
      <c r="BD4"/>
    </row>
    <row r="5" spans="1:56">
      <c r="A5" s="42"/>
      <c r="B5" s="5"/>
      <c r="C5" s="43"/>
      <c r="D5" s="5"/>
      <c r="E5" s="5"/>
      <c r="F5" s="5"/>
      <c r="G5" s="42"/>
      <c r="H5" s="44"/>
      <c r="I5" s="42"/>
      <c r="J5" s="5"/>
      <c r="K5" s="5"/>
      <c r="L5" s="5"/>
      <c r="M5" s="44"/>
      <c r="N5" s="45"/>
      <c r="O5" s="45"/>
      <c r="P5" s="45"/>
      <c r="Q5" s="45"/>
      <c r="R5" s="45"/>
      <c r="S5" s="45"/>
      <c r="T5" s="45"/>
      <c r="U5" s="45"/>
      <c r="V5" s="45"/>
      <c r="W5" s="45"/>
      <c r="X5" s="45"/>
      <c r="Y5" s="45"/>
      <c r="Z5" s="45"/>
      <c r="AA5" s="45"/>
      <c r="AB5" s="45"/>
      <c r="AZ5" s="442"/>
      <c r="BA5" s="442"/>
    </row>
    <row r="6" spans="1:56">
      <c r="A6" s="42"/>
      <c r="B6" s="5"/>
      <c r="C6" s="43"/>
      <c r="D6" s="5"/>
      <c r="E6" s="5"/>
      <c r="F6" s="5"/>
      <c r="G6" s="42"/>
      <c r="H6" s="44"/>
      <c r="I6" s="42"/>
      <c r="J6" s="5"/>
      <c r="K6" s="5"/>
      <c r="L6" s="5"/>
      <c r="M6" s="44"/>
      <c r="N6" s="45"/>
      <c r="O6" s="45"/>
      <c r="P6" s="45"/>
      <c r="Q6" s="45"/>
      <c r="R6" s="45"/>
      <c r="S6" s="45"/>
      <c r="T6" s="45"/>
      <c r="U6" s="45"/>
      <c r="V6" s="45"/>
      <c r="W6" s="45"/>
      <c r="X6" s="45"/>
      <c r="Y6" s="45"/>
      <c r="Z6" s="45"/>
      <c r="AA6" s="45"/>
      <c r="AB6" s="45"/>
      <c r="AZ6" s="442"/>
      <c r="BA6" s="442"/>
      <c r="BD6"/>
    </row>
    <row r="7" spans="1:56">
      <c r="A7" s="42"/>
      <c r="B7" s="5"/>
      <c r="C7" s="43"/>
      <c r="D7" s="5"/>
      <c r="E7" s="5"/>
      <c r="F7" s="5"/>
      <c r="G7" s="42"/>
      <c r="H7" s="44"/>
      <c r="I7" s="42"/>
      <c r="J7" s="5"/>
      <c r="K7" s="5"/>
      <c r="L7" s="5"/>
      <c r="M7" s="44"/>
      <c r="N7" s="45"/>
      <c r="O7" s="45"/>
      <c r="P7" s="45"/>
      <c r="Q7" s="45"/>
      <c r="R7" s="45"/>
      <c r="S7" s="45"/>
      <c r="T7" s="45"/>
      <c r="U7" s="45"/>
      <c r="V7" s="45"/>
      <c r="W7" s="45"/>
      <c r="X7" s="45"/>
      <c r="Y7" s="45"/>
      <c r="Z7" s="45"/>
      <c r="AA7" s="45"/>
      <c r="AB7" s="45"/>
      <c r="AZ7" s="442"/>
      <c r="BA7" s="442"/>
    </row>
    <row r="8" spans="1:56">
      <c r="A8" s="42"/>
      <c r="B8" s="5"/>
      <c r="C8" s="43"/>
      <c r="D8" s="5"/>
      <c r="E8" s="5"/>
      <c r="F8" s="5"/>
      <c r="G8" s="42"/>
      <c r="H8" s="44"/>
      <c r="I8" s="42"/>
      <c r="J8" s="5"/>
      <c r="K8" s="5"/>
      <c r="L8" s="5"/>
      <c r="M8" s="44"/>
      <c r="N8" s="45"/>
      <c r="O8" s="45"/>
      <c r="P8" s="45"/>
      <c r="Q8" s="45"/>
      <c r="R8" s="45"/>
      <c r="S8" s="45"/>
      <c r="T8" s="45"/>
      <c r="U8" s="45"/>
      <c r="V8" s="45"/>
      <c r="W8" s="45"/>
      <c r="X8" s="45"/>
      <c r="Y8" s="45"/>
      <c r="Z8" s="45"/>
      <c r="AA8" s="45"/>
      <c r="AB8" s="45"/>
      <c r="AZ8" s="442"/>
      <c r="BA8" s="442"/>
    </row>
    <row r="9" spans="1:56" ht="18">
      <c r="A9" s="46"/>
      <c r="B9" s="47"/>
      <c r="C9" s="48"/>
      <c r="D9" s="49"/>
      <c r="E9" s="50"/>
      <c r="F9" s="51"/>
      <c r="G9" s="52"/>
      <c r="H9" s="53"/>
      <c r="I9" s="52"/>
      <c r="J9" s="49"/>
      <c r="K9" s="54"/>
      <c r="L9" s="49"/>
      <c r="M9" s="53"/>
      <c r="O9" s="45"/>
      <c r="P9" s="45"/>
      <c r="Q9" s="45"/>
      <c r="R9" s="45"/>
      <c r="S9" s="45"/>
      <c r="T9" s="45"/>
      <c r="U9" s="45"/>
      <c r="V9" s="45"/>
      <c r="W9" s="45"/>
      <c r="X9" s="45"/>
      <c r="Y9" s="45"/>
      <c r="Z9" s="45"/>
      <c r="AA9" s="45"/>
      <c r="AZ9" s="442"/>
      <c r="BA9" s="442"/>
    </row>
    <row r="10" spans="1:56">
      <c r="A10" s="55" t="s">
        <v>19</v>
      </c>
      <c r="B10" s="56"/>
      <c r="C10" s="56"/>
      <c r="D10" s="56"/>
      <c r="E10" s="56"/>
      <c r="F10" s="56"/>
      <c r="G10" s="57"/>
      <c r="H10" s="56"/>
      <c r="I10" s="57"/>
      <c r="J10" s="56"/>
      <c r="K10" s="58"/>
      <c r="L10" s="59"/>
      <c r="M10" s="60" t="s">
        <v>20</v>
      </c>
      <c r="R10" s="61" t="str">
        <f>Invulblad!A10</f>
        <v>Groep A</v>
      </c>
      <c r="S10" s="62"/>
      <c r="T10" s="62" t="s">
        <v>21</v>
      </c>
      <c r="U10" s="63" t="s">
        <v>22</v>
      </c>
      <c r="V10" s="63" t="s">
        <v>23</v>
      </c>
      <c r="W10" s="63" t="s">
        <v>24</v>
      </c>
      <c r="X10" s="63" t="s">
        <v>25</v>
      </c>
      <c r="Y10" s="63" t="s">
        <v>26</v>
      </c>
      <c r="Z10" s="63" t="s">
        <v>27</v>
      </c>
      <c r="AA10" s="63" t="s">
        <v>28</v>
      </c>
      <c r="AD10" s="40" t="e">
        <f>#N/A</f>
        <v>#N/A</v>
      </c>
      <c r="AE10" s="41" t="e">
        <f>#N/A</f>
        <v>#N/A</v>
      </c>
    </row>
    <row r="11" spans="1:56">
      <c r="A11" s="64">
        <f>Toernooigegevens!B4</f>
        <v>1</v>
      </c>
      <c r="B11" s="65" t="str">
        <f>Toernooigegevens!C4</f>
        <v>do</v>
      </c>
      <c r="C11" s="66">
        <f>Toernooigegevens!D4</f>
        <v>41437</v>
      </c>
      <c r="D11" s="314">
        <f>Toernooigegevens!E4</f>
        <v>0.91666666666666663</v>
      </c>
      <c r="E11" s="67"/>
      <c r="F11" s="68" t="str">
        <f>Toernooigegevens!G4</f>
        <v>Brazilië</v>
      </c>
      <c r="G11" s="69">
        <v>3</v>
      </c>
      <c r="H11" s="70" t="s">
        <v>29</v>
      </c>
      <c r="I11" s="69">
        <v>1</v>
      </c>
      <c r="J11" s="68" t="str">
        <f>Toernooigegevens!I4</f>
        <v>Kroatië</v>
      </c>
      <c r="K11" s="67"/>
      <c r="L11" s="59"/>
      <c r="M11" s="70" t="str">
        <f t="shared" ref="M11:M16" si="0">IF(AND(G11="",I11=""),"",IF(OR(G11="",I11=""),"FOUT",IF(G11&gt;I11,"1",IF(G11=I11,3,2))))</f>
        <v>1</v>
      </c>
      <c r="O11" s="39" t="str">
        <f>RIGHT(Q11)</f>
        <v>A</v>
      </c>
      <c r="P11" s="39">
        <f t="shared" ref="P11:P42" si="1">IF(T11=3,3,0)</f>
        <v>3</v>
      </c>
      <c r="Q11" s="39" t="str">
        <f>CONCATENATE(R11,RIGHT(R10,1))</f>
        <v>1A</v>
      </c>
      <c r="R11" s="71">
        <v>1</v>
      </c>
      <c r="S11" s="72" t="str">
        <f>INDEX('Poule berekeningen'!$C$17:$J$20,MATCH(R11,'Poule berekeningen'!$M$17:$M$20,0),1)</f>
        <v>Brazilië</v>
      </c>
      <c r="T11" s="72">
        <f>SUM(V11:X11)</f>
        <v>3</v>
      </c>
      <c r="U11" s="72">
        <f>INDEX('Poule berekeningen'!$C$17:$J$20,MATCH(R11,'Poule berekeningen'!$M$17:$M$20,0),2)</f>
        <v>7</v>
      </c>
      <c r="V11" s="72">
        <f>INDEX('Poule berekeningen'!$C$17:$J$20,MATCH(R11,'Poule berekeningen'!$M$17:$M$20,0),3)</f>
        <v>2</v>
      </c>
      <c r="W11" s="72">
        <f>INDEX('Poule berekeningen'!$C$17:$J$20,MATCH(R11,'Poule berekeningen'!$M$17:$M$20,0),4)</f>
        <v>1</v>
      </c>
      <c r="X11" s="72">
        <f>INDEX('Poule berekeningen'!$C$17:$J$20,MATCH(R11,'Poule berekeningen'!$M$17:$M$20,0),5)</f>
        <v>0</v>
      </c>
      <c r="Y11" s="72">
        <f>INDEX('Poule berekeningen'!$C$17:$J$20,MATCH(R11,'Poule berekeningen'!$M$17:$M$20,0),6)</f>
        <v>7</v>
      </c>
      <c r="Z11" s="72">
        <f>INDEX('Poule berekeningen'!$C$17:$J$20,MATCH(R11,'Poule berekeningen'!$M$17:$M$20,0),7)</f>
        <v>2</v>
      </c>
      <c r="AA11" s="72">
        <f>INDEX('Poule berekeningen'!$C$17:$J$20,MATCH(R11,'Poule berekeningen'!$M$17:$M$20,0),8)</f>
        <v>5</v>
      </c>
      <c r="AD11" s="40" t="str">
        <f t="shared" ref="AD11:AD16" si="2">CONCATENATE(G11," - ",I11)</f>
        <v>3 - 1</v>
      </c>
      <c r="AE11" s="41" t="str">
        <f t="shared" ref="AE11:AE16" si="3">M11</f>
        <v>1</v>
      </c>
      <c r="AM11" s="40">
        <f t="shared" ref="AM11:AM42" si="4">IF(OR(AND(M11&lt;&gt;"",M11&lt;&gt;"FOUT"),A11=""),0,"x")</f>
        <v>0</v>
      </c>
    </row>
    <row r="12" spans="1:56">
      <c r="A12" s="73">
        <f>Toernooigegevens!B5</f>
        <v>2</v>
      </c>
      <c r="B12" s="74" t="str">
        <f>Toernooigegevens!C5</f>
        <v>vr</v>
      </c>
      <c r="C12" s="75">
        <f>Toernooigegevens!D5</f>
        <v>41438</v>
      </c>
      <c r="D12" s="313">
        <f>Toernooigegevens!E5</f>
        <v>0.75</v>
      </c>
      <c r="E12" s="76"/>
      <c r="F12" s="77" t="str">
        <f>Toernooigegevens!G5</f>
        <v>Mexico</v>
      </c>
      <c r="G12" s="78">
        <v>1</v>
      </c>
      <c r="H12" s="79" t="s">
        <v>29</v>
      </c>
      <c r="I12" s="78">
        <v>0</v>
      </c>
      <c r="J12" s="77" t="str">
        <f>Toernooigegevens!I5</f>
        <v>Kameroen</v>
      </c>
      <c r="K12" s="76"/>
      <c r="L12" s="59"/>
      <c r="M12" s="79" t="str">
        <f t="shared" si="0"/>
        <v>1</v>
      </c>
      <c r="O12" s="39" t="str">
        <f>RIGHT(Q12)</f>
        <v>A</v>
      </c>
      <c r="P12" s="39">
        <f t="shared" si="1"/>
        <v>3</v>
      </c>
      <c r="Q12" s="39" t="str">
        <f>CONCATENATE(R12,RIGHT(R10,1))</f>
        <v>2A</v>
      </c>
      <c r="R12" s="80">
        <v>2</v>
      </c>
      <c r="S12" s="81" t="str">
        <f>INDEX('Poule berekeningen'!$C$17:$J$20,MATCH(R12,'Poule berekeningen'!$M$17:$M$20,0),1)</f>
        <v>Mexico</v>
      </c>
      <c r="T12" s="81">
        <f>SUM(V12:X12)</f>
        <v>3</v>
      </c>
      <c r="U12" s="81">
        <f>INDEX('Poule berekeningen'!$C$17:$J$20,MATCH(R12,'Poule berekeningen'!$M$17:$M$20,0),2)</f>
        <v>7</v>
      </c>
      <c r="V12" s="81">
        <f>INDEX('Poule berekeningen'!$C$17:$J$20,MATCH(R12,'Poule berekeningen'!$M$17:$M$20,0),3)</f>
        <v>2</v>
      </c>
      <c r="W12" s="81">
        <f>INDEX('Poule berekeningen'!$C$17:$J$20,MATCH(R12,'Poule berekeningen'!$M$17:$M$20,0),4)</f>
        <v>1</v>
      </c>
      <c r="X12" s="81">
        <f>INDEX('Poule berekeningen'!$C$17:$J$20,MATCH(R12,'Poule berekeningen'!$M$17:$M$20,0),5)</f>
        <v>0</v>
      </c>
      <c r="Y12" s="81">
        <f>INDEX('Poule berekeningen'!$C$17:$J$20,MATCH(R12,'Poule berekeningen'!$M$17:$M$20,0),6)</f>
        <v>4</v>
      </c>
      <c r="Z12" s="81">
        <f>INDEX('Poule berekeningen'!$C$17:$J$20,MATCH(R12,'Poule berekeningen'!$M$17:$M$20,0),7)</f>
        <v>1</v>
      </c>
      <c r="AA12" s="81">
        <f>INDEX('Poule berekeningen'!$C$17:$J$20,MATCH(R12,'Poule berekeningen'!$M$17:$M$20,0),8)</f>
        <v>3</v>
      </c>
      <c r="AD12" s="40" t="str">
        <f t="shared" si="2"/>
        <v>1 - 0</v>
      </c>
      <c r="AE12" s="41" t="str">
        <f t="shared" si="3"/>
        <v>1</v>
      </c>
      <c r="AM12" s="40">
        <f t="shared" si="4"/>
        <v>0</v>
      </c>
    </row>
    <row r="13" spans="1:56">
      <c r="A13" s="64">
        <f>Toernooigegevens!B6</f>
        <v>17</v>
      </c>
      <c r="B13" s="65" t="str">
        <f>Toernooigegevens!C6</f>
        <v>di</v>
      </c>
      <c r="C13" s="66">
        <f>Toernooigegevens!D6</f>
        <v>41807</v>
      </c>
      <c r="D13" s="314">
        <f>Toernooigegevens!E6</f>
        <v>0.875</v>
      </c>
      <c r="E13" s="67"/>
      <c r="F13" s="68" t="str">
        <f>Toernooigegevens!G6</f>
        <v>Brazilië</v>
      </c>
      <c r="G13" s="69">
        <v>0</v>
      </c>
      <c r="H13" s="70" t="s">
        <v>29</v>
      </c>
      <c r="I13" s="69">
        <v>0</v>
      </c>
      <c r="J13" s="68" t="str">
        <f>Toernooigegevens!I6</f>
        <v>Mexico</v>
      </c>
      <c r="K13" s="67"/>
      <c r="L13" s="59"/>
      <c r="M13" s="70">
        <f t="shared" si="0"/>
        <v>3</v>
      </c>
      <c r="O13" s="39" t="str">
        <f>RIGHT(Q13)</f>
        <v>A</v>
      </c>
      <c r="P13" s="39">
        <f t="shared" si="1"/>
        <v>3</v>
      </c>
      <c r="Q13" s="39" t="str">
        <f>CONCATENATE(R13,RIGHT(R10,1))</f>
        <v>3A</v>
      </c>
      <c r="R13" s="71">
        <v>3</v>
      </c>
      <c r="S13" s="72" t="str">
        <f>INDEX('Poule berekeningen'!$C$17:$J$20,MATCH(R13,'Poule berekeningen'!$M$17:$M$20,0),1)</f>
        <v>Kroatië</v>
      </c>
      <c r="T13" s="72">
        <f>SUM(V13:X13)</f>
        <v>3</v>
      </c>
      <c r="U13" s="72">
        <f>INDEX('Poule berekeningen'!$C$17:$J$20,MATCH(R13,'Poule berekeningen'!$M$17:$M$20,0),2)</f>
        <v>3</v>
      </c>
      <c r="V13" s="72">
        <f>INDEX('Poule berekeningen'!$C$17:$J$20,MATCH(R13,'Poule berekeningen'!$M$17:$M$20,0),3)</f>
        <v>1</v>
      </c>
      <c r="W13" s="72">
        <f>INDEX('Poule berekeningen'!$C$17:$J$20,MATCH(R13,'Poule berekeningen'!$M$17:$M$20,0),4)</f>
        <v>0</v>
      </c>
      <c r="X13" s="72">
        <f>INDEX('Poule berekeningen'!$C$17:$J$20,MATCH(R13,'Poule berekeningen'!$M$17:$M$20,0),5)</f>
        <v>2</v>
      </c>
      <c r="Y13" s="72">
        <f>INDEX('Poule berekeningen'!$C$17:$J$20,MATCH(R13,'Poule berekeningen'!$M$17:$M$20,0),6)</f>
        <v>6</v>
      </c>
      <c r="Z13" s="72">
        <f>INDEX('Poule berekeningen'!$C$17:$J$20,MATCH(R13,'Poule berekeningen'!$M$17:$M$20,0),7)</f>
        <v>6</v>
      </c>
      <c r="AA13" s="72">
        <f>INDEX('Poule berekeningen'!$C$17:$J$20,MATCH(R13,'Poule berekeningen'!$M$17:$M$20,0),8)</f>
        <v>0</v>
      </c>
      <c r="AD13" s="40" t="str">
        <f t="shared" si="2"/>
        <v>0 - 0</v>
      </c>
      <c r="AE13" s="41">
        <f t="shared" si="3"/>
        <v>3</v>
      </c>
      <c r="AM13" s="40">
        <f t="shared" si="4"/>
        <v>0</v>
      </c>
    </row>
    <row r="14" spans="1:56">
      <c r="A14" s="73">
        <f>Toernooigegevens!B7</f>
        <v>18</v>
      </c>
      <c r="B14" s="74" t="str">
        <f>Toernooigegevens!C7</f>
        <v>wo</v>
      </c>
      <c r="C14" s="75">
        <f>Toernooigegevens!D7</f>
        <v>41808</v>
      </c>
      <c r="D14" s="313" t="str">
        <f>Toernooigegevens!E7</f>
        <v>24:00</v>
      </c>
      <c r="E14" s="76"/>
      <c r="F14" s="77" t="str">
        <f>Toernooigegevens!G7</f>
        <v>Kameroen</v>
      </c>
      <c r="G14" s="78">
        <v>0</v>
      </c>
      <c r="H14" s="79" t="s">
        <v>29</v>
      </c>
      <c r="I14" s="78">
        <v>4</v>
      </c>
      <c r="J14" s="77" t="str">
        <f>Toernooigegevens!I7</f>
        <v>Kroatië</v>
      </c>
      <c r="K14" s="76"/>
      <c r="L14" s="59"/>
      <c r="M14" s="79">
        <f t="shared" si="0"/>
        <v>2</v>
      </c>
      <c r="O14" s="39" t="str">
        <f>RIGHT(Q14)</f>
        <v>A</v>
      </c>
      <c r="P14" s="39">
        <f t="shared" si="1"/>
        <v>3</v>
      </c>
      <c r="Q14" s="39" t="str">
        <f>CONCATENATE(R14,RIGHT(R10,1))</f>
        <v>4A</v>
      </c>
      <c r="R14" s="80">
        <v>4</v>
      </c>
      <c r="S14" s="81" t="str">
        <f>INDEX('Poule berekeningen'!$C$17:$J$20,MATCH(R14,'Poule berekeningen'!$M$17:$M$20,0),1)</f>
        <v>Kameroen</v>
      </c>
      <c r="T14" s="81">
        <f>SUM(V14:X14)</f>
        <v>3</v>
      </c>
      <c r="U14" s="81">
        <f>INDEX('Poule berekeningen'!$C$17:$J$20,MATCH(R14,'Poule berekeningen'!$M$17:$M$20,0),2)</f>
        <v>0</v>
      </c>
      <c r="V14" s="81">
        <f>INDEX('Poule berekeningen'!$C$17:$J$20,MATCH(R14,'Poule berekeningen'!$M$17:$M$20,0),3)</f>
        <v>0</v>
      </c>
      <c r="W14" s="81">
        <f>INDEX('Poule berekeningen'!$C$17:$J$20,MATCH(R14,'Poule berekeningen'!$M$17:$M$20,0),4)</f>
        <v>0</v>
      </c>
      <c r="X14" s="81">
        <f>INDEX('Poule berekeningen'!$C$17:$J$20,MATCH(R14,'Poule berekeningen'!$M$17:$M$20,0),5)</f>
        <v>3</v>
      </c>
      <c r="Y14" s="81">
        <f>INDEX('Poule berekeningen'!$C$17:$J$20,MATCH(R14,'Poule berekeningen'!$M$17:$M$20,0),6)</f>
        <v>1</v>
      </c>
      <c r="Z14" s="81">
        <f>INDEX('Poule berekeningen'!$C$17:$J$20,MATCH(R14,'Poule berekeningen'!$M$17:$M$20,0),7)</f>
        <v>9</v>
      </c>
      <c r="AA14" s="81">
        <f>INDEX('Poule berekeningen'!$C$17:$J$20,MATCH(R14,'Poule berekeningen'!$M$17:$M$20,0),8)</f>
        <v>-8</v>
      </c>
      <c r="AD14" s="40" t="str">
        <f t="shared" si="2"/>
        <v>0 - 4</v>
      </c>
      <c r="AE14" s="41">
        <f t="shared" si="3"/>
        <v>2</v>
      </c>
      <c r="AM14" s="40">
        <f t="shared" si="4"/>
        <v>0</v>
      </c>
    </row>
    <row r="15" spans="1:56">
      <c r="A15" s="64">
        <f>Toernooigegevens!B8</f>
        <v>34</v>
      </c>
      <c r="B15" s="65" t="str">
        <f>Toernooigegevens!C8</f>
        <v>ma</v>
      </c>
      <c r="C15" s="66">
        <f>Toernooigegevens!D8</f>
        <v>41448</v>
      </c>
      <c r="D15" s="314">
        <f>Toernooigegevens!E8</f>
        <v>0.91666666666666663</v>
      </c>
      <c r="E15" s="67"/>
      <c r="F15" s="68" t="str">
        <f>Toernooigegevens!G8</f>
        <v>Kroatië</v>
      </c>
      <c r="G15" s="69">
        <v>1</v>
      </c>
      <c r="H15" s="70" t="s">
        <v>29</v>
      </c>
      <c r="I15" s="69">
        <v>3</v>
      </c>
      <c r="J15" s="68" t="str">
        <f>Toernooigegevens!I8</f>
        <v>Mexico</v>
      </c>
      <c r="K15" s="67"/>
      <c r="L15" s="59"/>
      <c r="M15" s="70">
        <f t="shared" si="0"/>
        <v>2</v>
      </c>
      <c r="P15" s="39">
        <f t="shared" si="1"/>
        <v>0</v>
      </c>
      <c r="R15" s="82" t="str">
        <f>IF(COUNT(G11:I16)=12,IF(COUNT(T11:T14)&lt;4,"Er is loting vereist in deze poule",""),"")</f>
        <v/>
      </c>
      <c r="S15" s="83"/>
      <c r="T15" s="83"/>
      <c r="U15" s="83"/>
      <c r="V15" s="83"/>
      <c r="W15" s="83"/>
      <c r="X15" s="83"/>
      <c r="Y15" s="83"/>
      <c r="Z15" s="83"/>
      <c r="AA15" s="83"/>
      <c r="AD15" s="40" t="str">
        <f t="shared" si="2"/>
        <v>1 - 3</v>
      </c>
      <c r="AE15" s="41">
        <f t="shared" si="3"/>
        <v>2</v>
      </c>
      <c r="AM15" s="40">
        <f t="shared" si="4"/>
        <v>0</v>
      </c>
    </row>
    <row r="16" spans="1:56">
      <c r="A16" s="73">
        <f>Toernooigegevens!B9</f>
        <v>33</v>
      </c>
      <c r="B16" s="74" t="str">
        <f>Toernooigegevens!C9</f>
        <v>ma</v>
      </c>
      <c r="C16" s="75">
        <f>Toernooigegevens!D9</f>
        <v>41448</v>
      </c>
      <c r="D16" s="313">
        <f>Toernooigegevens!E9</f>
        <v>0.91666666666666663</v>
      </c>
      <c r="E16" s="76"/>
      <c r="F16" s="77" t="str">
        <f>Toernooigegevens!G9</f>
        <v>Kameroen</v>
      </c>
      <c r="G16" s="78">
        <v>1</v>
      </c>
      <c r="H16" s="79" t="s">
        <v>29</v>
      </c>
      <c r="I16" s="78">
        <v>4</v>
      </c>
      <c r="J16" s="77" t="str">
        <f>Toernooigegevens!I9</f>
        <v>Brazilië</v>
      </c>
      <c r="K16" s="76"/>
      <c r="L16" s="59"/>
      <c r="M16" s="79">
        <f t="shared" si="0"/>
        <v>2</v>
      </c>
      <c r="P16" s="39">
        <f t="shared" si="1"/>
        <v>0</v>
      </c>
      <c r="R16" s="84"/>
      <c r="S16" s="83"/>
      <c r="T16" s="83"/>
      <c r="U16" s="83"/>
      <c r="V16" s="83"/>
      <c r="W16" s="83"/>
      <c r="X16" s="83"/>
      <c r="Y16" s="83"/>
      <c r="Z16" s="83"/>
      <c r="AA16" s="83"/>
      <c r="AD16" s="40" t="str">
        <f t="shared" si="2"/>
        <v>1 - 4</v>
      </c>
      <c r="AE16" s="41">
        <f t="shared" si="3"/>
        <v>2</v>
      </c>
      <c r="AM16" s="40">
        <f t="shared" si="4"/>
        <v>0</v>
      </c>
    </row>
    <row r="17" spans="1:39">
      <c r="A17" s="85"/>
      <c r="B17" s="59"/>
      <c r="C17" s="86"/>
      <c r="D17" s="315"/>
      <c r="E17" s="87"/>
      <c r="F17" s="59"/>
      <c r="G17" s="85"/>
      <c r="H17" s="88"/>
      <c r="I17" s="85"/>
      <c r="J17" s="59"/>
      <c r="K17" s="87"/>
      <c r="L17" s="59"/>
      <c r="M17" s="88"/>
      <c r="P17" s="39">
        <f t="shared" si="1"/>
        <v>0</v>
      </c>
      <c r="R17" s="84"/>
      <c r="S17" s="83"/>
      <c r="T17" s="83"/>
      <c r="U17" s="83"/>
      <c r="V17" s="83"/>
      <c r="W17" s="83"/>
      <c r="X17" s="83"/>
      <c r="Y17" s="83"/>
      <c r="Z17" s="83"/>
      <c r="AA17" s="83"/>
      <c r="AM17" s="40">
        <f t="shared" si="4"/>
        <v>0</v>
      </c>
    </row>
    <row r="18" spans="1:39">
      <c r="A18" s="55" t="s">
        <v>30</v>
      </c>
      <c r="B18" s="56"/>
      <c r="C18" s="56"/>
      <c r="D18" s="316"/>
      <c r="E18" s="56"/>
      <c r="F18" s="56"/>
      <c r="G18" s="57"/>
      <c r="H18" s="56"/>
      <c r="I18" s="57"/>
      <c r="J18" s="56"/>
      <c r="K18" s="58"/>
      <c r="L18" s="59"/>
      <c r="M18" s="60" t="s">
        <v>20</v>
      </c>
      <c r="P18" s="39">
        <f t="shared" si="1"/>
        <v>0</v>
      </c>
      <c r="R18" s="61" t="str">
        <f>Invulblad!A18</f>
        <v>Groep B</v>
      </c>
      <c r="S18" s="89"/>
      <c r="T18" s="62" t="s">
        <v>21</v>
      </c>
      <c r="U18" s="63" t="s">
        <v>22</v>
      </c>
      <c r="V18" s="63" t="s">
        <v>23</v>
      </c>
      <c r="W18" s="63" t="s">
        <v>24</v>
      </c>
      <c r="X18" s="63" t="s">
        <v>25</v>
      </c>
      <c r="Y18" s="63" t="s">
        <v>26</v>
      </c>
      <c r="Z18" s="63" t="s">
        <v>27</v>
      </c>
      <c r="AA18" s="63" t="s">
        <v>28</v>
      </c>
      <c r="AM18" s="40">
        <f t="shared" si="4"/>
        <v>0</v>
      </c>
    </row>
    <row r="19" spans="1:39">
      <c r="A19" s="64">
        <f>Toernooigegevens!B12</f>
        <v>3</v>
      </c>
      <c r="B19" s="65" t="str">
        <f>Toernooigegevens!C12</f>
        <v>vr</v>
      </c>
      <c r="C19" s="66">
        <f>Toernooigegevens!D12</f>
        <v>41438</v>
      </c>
      <c r="D19" s="314">
        <f>Toernooigegevens!E12</f>
        <v>0.875</v>
      </c>
      <c r="E19" s="67"/>
      <c r="F19" s="68" t="str">
        <f>Toernooigegevens!G12</f>
        <v>Spanje</v>
      </c>
      <c r="G19" s="69">
        <v>1</v>
      </c>
      <c r="H19" s="70" t="s">
        <v>29</v>
      </c>
      <c r="I19" s="69">
        <v>5</v>
      </c>
      <c r="J19" s="68" t="str">
        <f>Toernooigegevens!I12</f>
        <v>Nederland</v>
      </c>
      <c r="K19" s="67"/>
      <c r="L19" s="59"/>
      <c r="M19" s="70">
        <f t="shared" ref="M19:M24" si="5">IF(AND(G19="",I19=""),"",IF(OR(G19="",I19=""),"FOUT",IF(G19&gt;I19,"1",IF(G19=I19,3,2))))</f>
        <v>2</v>
      </c>
      <c r="O19" s="39" t="str">
        <f>RIGHT(Q19)</f>
        <v>B</v>
      </c>
      <c r="P19" s="39">
        <f t="shared" si="1"/>
        <v>3</v>
      </c>
      <c r="Q19" s="39" t="str">
        <f>CONCATENATE(R19,RIGHT(R18,1))</f>
        <v>1B</v>
      </c>
      <c r="R19" s="71">
        <v>1</v>
      </c>
      <c r="S19" s="72" t="str">
        <f>INDEX('Poule berekeningen'!$C$25:$J$28,MATCH(R19,'Poule berekeningen'!$M$25:$M$28,0),1)</f>
        <v>Nederland</v>
      </c>
      <c r="T19" s="72">
        <f>SUM(V19:X19)</f>
        <v>3</v>
      </c>
      <c r="U19" s="72">
        <f>INDEX('Poule berekeningen'!$C$25:$J$28,MATCH(R19,'Poule berekeningen'!$M$25:$M$28,0),2)</f>
        <v>9</v>
      </c>
      <c r="V19" s="72">
        <f>INDEX('Poule berekeningen'!$C$25:$J$28,MATCH(R19,'Poule berekeningen'!$M$25:$M$28,0),3)</f>
        <v>3</v>
      </c>
      <c r="W19" s="72">
        <f>INDEX('Poule berekeningen'!$C$25:$J$28,MATCH(R19,'Poule berekeningen'!$M$25:$M$28,0),4)</f>
        <v>0</v>
      </c>
      <c r="X19" s="72">
        <f>INDEX('Poule berekeningen'!$C$25:$J$28,MATCH(R19,'Poule berekeningen'!$M$25:$M$28,0),5)</f>
        <v>0</v>
      </c>
      <c r="Y19" s="72">
        <f>INDEX('Poule berekeningen'!$C$25:$J$28,MATCH(R19,'Poule berekeningen'!$M$25:$M$28,0),6)</f>
        <v>10</v>
      </c>
      <c r="Z19" s="72">
        <f>INDEX('Poule berekeningen'!$C$25:$J$28,MATCH(R19,'Poule berekeningen'!$M$25:$M$28,0),7)</f>
        <v>3</v>
      </c>
      <c r="AA19" s="72">
        <f>INDEX('Poule berekeningen'!$C$25:$J$28,MATCH(R19,'Poule berekeningen'!$M$25:$M$28,0),8)</f>
        <v>7</v>
      </c>
      <c r="AD19" s="40" t="str">
        <f t="shared" ref="AD19:AD24" si="6">CONCATENATE(G19," - ",I19)</f>
        <v>1 - 5</v>
      </c>
      <c r="AE19" s="41">
        <f t="shared" ref="AE19:AE24" si="7">M19</f>
        <v>2</v>
      </c>
      <c r="AM19" s="40">
        <f t="shared" si="4"/>
        <v>0</v>
      </c>
    </row>
    <row r="20" spans="1:39">
      <c r="A20" s="73">
        <f>Toernooigegevens!B13</f>
        <v>4</v>
      </c>
      <c r="B20" s="74" t="str">
        <f>Toernooigegevens!C13</f>
        <v>vr</v>
      </c>
      <c r="C20" s="75">
        <f>Toernooigegevens!D13</f>
        <v>41438</v>
      </c>
      <c r="D20" s="313" t="str">
        <f>Toernooigegevens!E13</f>
        <v>24:00</v>
      </c>
      <c r="E20" s="76"/>
      <c r="F20" s="77" t="str">
        <f>Toernooigegevens!G13</f>
        <v>Chili</v>
      </c>
      <c r="G20" s="78">
        <v>3</v>
      </c>
      <c r="H20" s="79" t="s">
        <v>29</v>
      </c>
      <c r="I20" s="78">
        <v>1</v>
      </c>
      <c r="J20" s="77" t="str">
        <f>Toernooigegevens!I13</f>
        <v>Australië</v>
      </c>
      <c r="K20" s="76"/>
      <c r="L20" s="59"/>
      <c r="M20" s="79" t="str">
        <f t="shared" si="5"/>
        <v>1</v>
      </c>
      <c r="O20" s="39" t="str">
        <f>RIGHT(Q20)</f>
        <v>B</v>
      </c>
      <c r="P20" s="39">
        <f t="shared" si="1"/>
        <v>3</v>
      </c>
      <c r="Q20" s="39" t="str">
        <f>CONCATENATE(R20,RIGHT(R18,1))</f>
        <v>2B</v>
      </c>
      <c r="R20" s="80">
        <v>2</v>
      </c>
      <c r="S20" s="81" t="str">
        <f>INDEX('Poule berekeningen'!$C$25:$J$28,MATCH(R20,'Poule berekeningen'!$M$25:$M$28,0),1)</f>
        <v>Chili</v>
      </c>
      <c r="T20" s="81">
        <f>SUM(V20:X20)</f>
        <v>3</v>
      </c>
      <c r="U20" s="81">
        <f>INDEX('Poule berekeningen'!$C$25:$J$28,MATCH(R20,'Poule berekeningen'!$M$25:$M$28,0),2)</f>
        <v>6</v>
      </c>
      <c r="V20" s="81">
        <f>INDEX('Poule berekeningen'!$C$25:$J$28,MATCH(R20,'Poule berekeningen'!$M$25:$M$28,0),3)</f>
        <v>2</v>
      </c>
      <c r="W20" s="81">
        <f>INDEX('Poule berekeningen'!$C$25:$J$28,MATCH(R20,'Poule berekeningen'!$M$25:$M$28,0),4)</f>
        <v>0</v>
      </c>
      <c r="X20" s="81">
        <f>INDEX('Poule berekeningen'!$C$25:$J$28,MATCH(R20,'Poule berekeningen'!$M$25:$M$28,0),5)</f>
        <v>1</v>
      </c>
      <c r="Y20" s="81">
        <f>INDEX('Poule berekeningen'!$C$25:$J$28,MATCH(R20,'Poule berekeningen'!$M$25:$M$28,0),6)</f>
        <v>5</v>
      </c>
      <c r="Z20" s="81">
        <f>INDEX('Poule berekeningen'!$C$25:$J$28,MATCH(R20,'Poule berekeningen'!$M$25:$M$28,0),7)</f>
        <v>3</v>
      </c>
      <c r="AA20" s="81">
        <f>INDEX('Poule berekeningen'!$C$25:$J$28,MATCH(R20,'Poule berekeningen'!$M$25:$M$28,0),8)</f>
        <v>2</v>
      </c>
      <c r="AD20" s="40" t="str">
        <f t="shared" si="6"/>
        <v>3 - 1</v>
      </c>
      <c r="AE20" s="41" t="str">
        <f t="shared" si="7"/>
        <v>1</v>
      </c>
      <c r="AM20" s="40">
        <f t="shared" si="4"/>
        <v>0</v>
      </c>
    </row>
    <row r="21" spans="1:39">
      <c r="A21" s="64">
        <f>Toernooigegevens!B15</f>
        <v>20</v>
      </c>
      <c r="B21" s="65" t="str">
        <f>Toernooigegevens!C15</f>
        <v>wo</v>
      </c>
      <c r="C21" s="66">
        <f>Toernooigegevens!D15</f>
        <v>41443</v>
      </c>
      <c r="D21" s="314">
        <f>Toernooigegevens!E15</f>
        <v>0.75</v>
      </c>
      <c r="E21" s="67"/>
      <c r="F21" s="68" t="str">
        <f>Toernooigegevens!G15</f>
        <v>Australië</v>
      </c>
      <c r="G21" s="69">
        <v>2</v>
      </c>
      <c r="H21" s="70" t="s">
        <v>29</v>
      </c>
      <c r="I21" s="69">
        <v>3</v>
      </c>
      <c r="J21" s="68" t="str">
        <f>Toernooigegevens!I15</f>
        <v>Nederland</v>
      </c>
      <c r="K21" s="67"/>
      <c r="L21" s="59"/>
      <c r="M21" s="70">
        <f t="shared" si="5"/>
        <v>2</v>
      </c>
      <c r="O21" s="39" t="str">
        <f>RIGHT(Q21)</f>
        <v>B</v>
      </c>
      <c r="P21" s="39">
        <f t="shared" si="1"/>
        <v>3</v>
      </c>
      <c r="Q21" s="39" t="str">
        <f>CONCATENATE(R21,RIGHT(R18,1))</f>
        <v>3B</v>
      </c>
      <c r="R21" s="71">
        <v>3</v>
      </c>
      <c r="S21" s="72" t="str">
        <f>INDEX('Poule berekeningen'!$C$25:$J$28,MATCH(R21,'Poule berekeningen'!$M$25:$M$28,0),1)</f>
        <v>Spanje</v>
      </c>
      <c r="T21" s="72">
        <f>SUM(V21:X21)</f>
        <v>3</v>
      </c>
      <c r="U21" s="72">
        <f>INDEX('Poule berekeningen'!$C$25:$J$28,MATCH(R21,'Poule berekeningen'!$M$25:$M$28,0),2)</f>
        <v>3</v>
      </c>
      <c r="V21" s="72">
        <f>INDEX('Poule berekeningen'!$C$25:$J$28,MATCH(R21,'Poule berekeningen'!$M$25:$M$28,0),3)</f>
        <v>1</v>
      </c>
      <c r="W21" s="72">
        <f>INDEX('Poule berekeningen'!$C$25:$J$28,MATCH(R21,'Poule berekeningen'!$M$25:$M$28,0),4)</f>
        <v>0</v>
      </c>
      <c r="X21" s="72">
        <f>INDEX('Poule berekeningen'!$C$25:$J$28,MATCH(R21,'Poule berekeningen'!$M$25:$M$28,0),5)</f>
        <v>2</v>
      </c>
      <c r="Y21" s="72">
        <f>INDEX('Poule berekeningen'!$C$25:$J$28,MATCH(R21,'Poule berekeningen'!$M$25:$M$28,0),6)</f>
        <v>4</v>
      </c>
      <c r="Z21" s="72">
        <f>INDEX('Poule berekeningen'!$C$25:$J$28,MATCH(R21,'Poule berekeningen'!$M$25:$M$28,0),7)</f>
        <v>7</v>
      </c>
      <c r="AA21" s="72">
        <f>INDEX('Poule berekeningen'!$C$25:$J$28,MATCH(R21,'Poule berekeningen'!$M$25:$M$28,0),8)</f>
        <v>-3</v>
      </c>
      <c r="AD21" s="40" t="str">
        <f t="shared" si="6"/>
        <v>2 - 3</v>
      </c>
      <c r="AE21" s="41">
        <f t="shared" si="7"/>
        <v>2</v>
      </c>
      <c r="AM21" s="40">
        <f t="shared" si="4"/>
        <v>0</v>
      </c>
    </row>
    <row r="22" spans="1:39">
      <c r="A22" s="73">
        <f>Toernooigegevens!B14</f>
        <v>19</v>
      </c>
      <c r="B22" s="74" t="str">
        <f>Toernooigegevens!C14</f>
        <v>wo</v>
      </c>
      <c r="C22" s="75">
        <f>Toernooigegevens!D14</f>
        <v>41443</v>
      </c>
      <c r="D22" s="313">
        <f>Toernooigegevens!E14</f>
        <v>0.875</v>
      </c>
      <c r="E22" s="76"/>
      <c r="F22" s="77" t="str">
        <f>Toernooigegevens!G14</f>
        <v>Spanje</v>
      </c>
      <c r="G22" s="78">
        <v>0</v>
      </c>
      <c r="H22" s="79" t="s">
        <v>29</v>
      </c>
      <c r="I22" s="78">
        <v>2</v>
      </c>
      <c r="J22" s="77" t="str">
        <f>Toernooigegevens!I14</f>
        <v>Chili</v>
      </c>
      <c r="K22" s="76"/>
      <c r="L22" s="59"/>
      <c r="M22" s="79">
        <f t="shared" si="5"/>
        <v>2</v>
      </c>
      <c r="O22" s="39" t="str">
        <f>RIGHT(Q22)</f>
        <v>B</v>
      </c>
      <c r="P22" s="39">
        <f t="shared" si="1"/>
        <v>3</v>
      </c>
      <c r="Q22" s="39" t="str">
        <f>CONCATENATE(R22,RIGHT(R18,1))</f>
        <v>4B</v>
      </c>
      <c r="R22" s="80">
        <v>4</v>
      </c>
      <c r="S22" s="81" t="str">
        <f>INDEX('Poule berekeningen'!$C$25:$J$28,MATCH(R22,'Poule berekeningen'!$M$25:$M$28,0),1)</f>
        <v>Australië</v>
      </c>
      <c r="T22" s="81">
        <f>SUM(V22:X22)</f>
        <v>3</v>
      </c>
      <c r="U22" s="81">
        <f>INDEX('Poule berekeningen'!$C$25:$J$28,MATCH(R22,'Poule berekeningen'!$M$25:$M$28,0),2)</f>
        <v>0</v>
      </c>
      <c r="V22" s="81">
        <f>INDEX('Poule berekeningen'!$C$25:$J$28,MATCH(R22,'Poule berekeningen'!$M$25:$M$28,0),3)</f>
        <v>0</v>
      </c>
      <c r="W22" s="81">
        <f>INDEX('Poule berekeningen'!$C$25:$J$28,MATCH(R22,'Poule berekeningen'!$M$25:$M$28,0),4)</f>
        <v>0</v>
      </c>
      <c r="X22" s="81">
        <f>INDEX('Poule berekeningen'!$C$25:$J$28,MATCH(R22,'Poule berekeningen'!$M$25:$M$28,0),5)</f>
        <v>3</v>
      </c>
      <c r="Y22" s="81">
        <f>INDEX('Poule berekeningen'!$C$25:$J$28,MATCH(R22,'Poule berekeningen'!$M$25:$M$28,0),6)</f>
        <v>3</v>
      </c>
      <c r="Z22" s="81">
        <f>INDEX('Poule berekeningen'!$C$25:$J$28,MATCH(R22,'Poule berekeningen'!$M$25:$M$28,0),7)</f>
        <v>9</v>
      </c>
      <c r="AA22" s="81">
        <f>INDEX('Poule berekeningen'!$C$25:$J$28,MATCH(R22,'Poule berekeningen'!$M$25:$M$28,0),8)</f>
        <v>-6</v>
      </c>
      <c r="AD22" s="40" t="str">
        <f t="shared" si="6"/>
        <v>0 - 2</v>
      </c>
      <c r="AE22" s="41">
        <f t="shared" si="7"/>
        <v>2</v>
      </c>
      <c r="AM22" s="40">
        <f t="shared" si="4"/>
        <v>0</v>
      </c>
    </row>
    <row r="23" spans="1:39">
      <c r="A23" s="64">
        <f>Toernooigegevens!B16</f>
        <v>36</v>
      </c>
      <c r="B23" s="65" t="str">
        <f>Toernooigegevens!C16</f>
        <v>ma</v>
      </c>
      <c r="C23" s="66">
        <f>Toernooigegevens!D16</f>
        <v>41448</v>
      </c>
      <c r="D23" s="314">
        <f>Toernooigegevens!E16</f>
        <v>0.75</v>
      </c>
      <c r="E23" s="67"/>
      <c r="F23" s="68" t="str">
        <f>Toernooigegevens!G16</f>
        <v>Nederland</v>
      </c>
      <c r="G23" s="69">
        <v>2</v>
      </c>
      <c r="H23" s="70" t="s">
        <v>29</v>
      </c>
      <c r="I23" s="69">
        <v>0</v>
      </c>
      <c r="J23" s="68" t="str">
        <f>Toernooigegevens!I16</f>
        <v>Chili</v>
      </c>
      <c r="K23" s="67"/>
      <c r="L23" s="59"/>
      <c r="M23" s="70" t="str">
        <f t="shared" si="5"/>
        <v>1</v>
      </c>
      <c r="P23" s="39">
        <f t="shared" si="1"/>
        <v>0</v>
      </c>
      <c r="R23" s="82" t="str">
        <f>IF(COUNT(G19:I24)=12,IF(COUNT(T19:T22)&lt;4,"Er is loting vereist in deze poule",""),"")</f>
        <v/>
      </c>
      <c r="S23" s="83"/>
      <c r="T23" s="83"/>
      <c r="U23" s="83"/>
      <c r="V23" s="83"/>
      <c r="W23" s="83"/>
      <c r="X23" s="83"/>
      <c r="Y23" s="83"/>
      <c r="Z23" s="83"/>
      <c r="AA23" s="83"/>
      <c r="AD23" s="40" t="str">
        <f t="shared" si="6"/>
        <v>2 - 0</v>
      </c>
      <c r="AE23" s="41" t="str">
        <f t="shared" si="7"/>
        <v>1</v>
      </c>
      <c r="AM23" s="40">
        <f t="shared" si="4"/>
        <v>0</v>
      </c>
    </row>
    <row r="24" spans="1:39">
      <c r="A24" s="73">
        <f>Toernooigegevens!B17</f>
        <v>35</v>
      </c>
      <c r="B24" s="74" t="str">
        <f>Toernooigegevens!C17</f>
        <v>ma</v>
      </c>
      <c r="C24" s="75">
        <f>Toernooigegevens!D17</f>
        <v>41448</v>
      </c>
      <c r="D24" s="313">
        <f>Toernooigegevens!E17</f>
        <v>0.75</v>
      </c>
      <c r="E24" s="76"/>
      <c r="F24" s="77" t="str">
        <f>Toernooigegevens!G17</f>
        <v>Australië</v>
      </c>
      <c r="G24" s="78">
        <v>0</v>
      </c>
      <c r="H24" s="79" t="s">
        <v>29</v>
      </c>
      <c r="I24" s="78">
        <v>3</v>
      </c>
      <c r="J24" s="77" t="str">
        <f>Toernooigegevens!I17</f>
        <v>Spanje</v>
      </c>
      <c r="K24" s="76"/>
      <c r="L24" s="59"/>
      <c r="M24" s="79">
        <f t="shared" si="5"/>
        <v>2</v>
      </c>
      <c r="P24" s="39">
        <f t="shared" si="1"/>
        <v>0</v>
      </c>
      <c r="R24" s="84"/>
      <c r="S24" s="83"/>
      <c r="T24" s="83"/>
      <c r="U24" s="83"/>
      <c r="V24" s="83"/>
      <c r="W24" s="83"/>
      <c r="X24" s="83"/>
      <c r="Y24" s="83"/>
      <c r="Z24" s="83"/>
      <c r="AA24" s="83"/>
      <c r="AD24" s="40" t="str">
        <f t="shared" si="6"/>
        <v>0 - 3</v>
      </c>
      <c r="AE24" s="41">
        <f t="shared" si="7"/>
        <v>2</v>
      </c>
      <c r="AM24" s="40">
        <f t="shared" si="4"/>
        <v>0</v>
      </c>
    </row>
    <row r="25" spans="1:39">
      <c r="A25" s="85"/>
      <c r="B25" s="59"/>
      <c r="C25" s="86"/>
      <c r="D25" s="315"/>
      <c r="E25" s="87"/>
      <c r="F25" s="59"/>
      <c r="G25" s="85"/>
      <c r="H25" s="88"/>
      <c r="I25" s="85"/>
      <c r="J25" s="59"/>
      <c r="K25" s="87"/>
      <c r="L25" s="59"/>
      <c r="M25" s="88"/>
      <c r="P25" s="39">
        <f t="shared" si="1"/>
        <v>0</v>
      </c>
      <c r="R25" s="84"/>
      <c r="S25" s="83"/>
      <c r="T25" s="83"/>
      <c r="U25" s="83"/>
      <c r="V25" s="83"/>
      <c r="W25" s="83"/>
      <c r="X25" s="83"/>
      <c r="Y25" s="83"/>
      <c r="Z25" s="83"/>
      <c r="AA25" s="83"/>
      <c r="AM25" s="40">
        <f t="shared" si="4"/>
        <v>0</v>
      </c>
    </row>
    <row r="26" spans="1:39">
      <c r="A26" s="55" t="s">
        <v>31</v>
      </c>
      <c r="B26" s="56"/>
      <c r="C26" s="56"/>
      <c r="D26" s="316"/>
      <c r="E26" s="56"/>
      <c r="F26" s="56"/>
      <c r="G26" s="57"/>
      <c r="H26" s="56"/>
      <c r="I26" s="57"/>
      <c r="J26" s="56"/>
      <c r="K26" s="58"/>
      <c r="L26" s="59"/>
      <c r="M26" s="60" t="s">
        <v>20</v>
      </c>
      <c r="P26" s="39">
        <f t="shared" si="1"/>
        <v>0</v>
      </c>
      <c r="R26" s="61" t="str">
        <f>Invulblad!A26</f>
        <v>Groep C</v>
      </c>
      <c r="S26" s="62"/>
      <c r="T26" s="62" t="s">
        <v>21</v>
      </c>
      <c r="U26" s="63" t="s">
        <v>22</v>
      </c>
      <c r="V26" s="63" t="s">
        <v>23</v>
      </c>
      <c r="W26" s="63" t="s">
        <v>24</v>
      </c>
      <c r="X26" s="63" t="s">
        <v>25</v>
      </c>
      <c r="Y26" s="63" t="s">
        <v>26</v>
      </c>
      <c r="Z26" s="63" t="s">
        <v>27</v>
      </c>
      <c r="AA26" s="63" t="s">
        <v>28</v>
      </c>
      <c r="AM26" s="40">
        <f t="shared" si="4"/>
        <v>0</v>
      </c>
    </row>
    <row r="27" spans="1:39">
      <c r="A27" s="64">
        <f>Toernooigegevens!B20</f>
        <v>5</v>
      </c>
      <c r="B27" s="65" t="str">
        <f>Toernooigegevens!C20</f>
        <v>za</v>
      </c>
      <c r="C27" s="66">
        <f>Toernooigegevens!D20</f>
        <v>41439</v>
      </c>
      <c r="D27" s="314">
        <f>Toernooigegevens!E20</f>
        <v>0.75</v>
      </c>
      <c r="E27" s="67"/>
      <c r="F27" s="68" t="str">
        <f>Toernooigegevens!G20</f>
        <v>Colombia</v>
      </c>
      <c r="G27" s="69">
        <v>3</v>
      </c>
      <c r="H27" s="70" t="s">
        <v>29</v>
      </c>
      <c r="I27" s="69">
        <v>0</v>
      </c>
      <c r="J27" s="68" t="str">
        <f>Toernooigegevens!I20</f>
        <v>Griekenland</v>
      </c>
      <c r="K27" s="67"/>
      <c r="L27" s="59"/>
      <c r="M27" s="70" t="str">
        <f t="shared" ref="M27:M33" si="8">IF(AND(G27="",I27=""),"",IF(OR(G27="",I27=""),"FOUT",IF(G27&gt;I27,"1",IF(G27=I27,3,2))))</f>
        <v>1</v>
      </c>
      <c r="O27" s="39" t="str">
        <f>RIGHT(Q27)</f>
        <v>C</v>
      </c>
      <c r="P27" s="39">
        <f t="shared" si="1"/>
        <v>3</v>
      </c>
      <c r="Q27" s="39" t="str">
        <f>CONCATENATE(R27,RIGHT(R26,1))</f>
        <v>1C</v>
      </c>
      <c r="R27" s="71">
        <v>1</v>
      </c>
      <c r="S27" s="72" t="str">
        <f>INDEX('Poule berekeningen'!$C$33:$J$36,MATCH($R27,'Poule berekeningen'!$M$33:$M$36,0),1)</f>
        <v>Colombia</v>
      </c>
      <c r="T27" s="72">
        <f>SUM(V27:X27)</f>
        <v>3</v>
      </c>
      <c r="U27" s="72">
        <f>INDEX('Poule berekeningen'!$C$33:$J$36,MATCH($R27,'Poule berekeningen'!$M$33:$M$36,0),2)</f>
        <v>9</v>
      </c>
      <c r="V27" s="72">
        <f>INDEX('Poule berekeningen'!$C$33:$J$36,MATCH($R27,'Poule berekeningen'!$M$33:$M$36,0),3)</f>
        <v>3</v>
      </c>
      <c r="W27" s="72">
        <f>INDEX('Poule berekeningen'!$C$33:$J$36,MATCH($R27,'Poule berekeningen'!$M$33:$M$36,0),4)</f>
        <v>0</v>
      </c>
      <c r="X27" s="72">
        <f>INDEX('Poule berekeningen'!$C$33:$J$36,MATCH($R27,'Poule berekeningen'!$M$33:$M$36,0),5)</f>
        <v>0</v>
      </c>
      <c r="Y27" s="72">
        <f>INDEX('Poule berekeningen'!$C$33:$J$36,MATCH($R27,'Poule berekeningen'!$M$33:$M$36,0),6)</f>
        <v>9</v>
      </c>
      <c r="Z27" s="72">
        <f>INDEX('Poule berekeningen'!$C$33:$J$36,MATCH($R27,'Poule berekeningen'!$M$33:$M$36,0),7)</f>
        <v>2</v>
      </c>
      <c r="AA27" s="72">
        <f>INDEX('Poule berekeningen'!$C$33:$J$36,MATCH($R27,'Poule berekeningen'!$M$33:$M$36,0),8)</f>
        <v>7</v>
      </c>
      <c r="AD27" s="40" t="str">
        <f t="shared" ref="AD27:AD33" si="9">CONCATENATE(G27," - ",I27)</f>
        <v>3 - 0</v>
      </c>
      <c r="AE27" s="41" t="str">
        <f t="shared" ref="AE27:AE33" si="10">M27</f>
        <v>1</v>
      </c>
      <c r="AM27" s="40">
        <f t="shared" si="4"/>
        <v>0</v>
      </c>
    </row>
    <row r="28" spans="1:39">
      <c r="A28" s="73">
        <f>Toernooigegevens!B21</f>
        <v>6</v>
      </c>
      <c r="B28" s="74" t="str">
        <f>Toernooigegevens!C21</f>
        <v>zo</v>
      </c>
      <c r="C28" s="75">
        <f>Toernooigegevens!D21</f>
        <v>41440</v>
      </c>
      <c r="D28" s="313">
        <f>Toernooigegevens!E21</f>
        <v>0.125</v>
      </c>
      <c r="E28" s="76"/>
      <c r="F28" s="77" t="str">
        <f>Toernooigegevens!G21</f>
        <v>Ivoorkust</v>
      </c>
      <c r="G28" s="78">
        <v>2</v>
      </c>
      <c r="H28" s="79" t="s">
        <v>29</v>
      </c>
      <c r="I28" s="78">
        <v>1</v>
      </c>
      <c r="J28" s="77" t="str">
        <f>Toernooigegevens!I21</f>
        <v>Japan</v>
      </c>
      <c r="K28" s="76"/>
      <c r="L28" s="59"/>
      <c r="M28" s="79" t="str">
        <f t="shared" si="8"/>
        <v>1</v>
      </c>
      <c r="O28" s="39" t="str">
        <f>RIGHT(Q28)</f>
        <v>C</v>
      </c>
      <c r="P28" s="39">
        <f t="shared" si="1"/>
        <v>3</v>
      </c>
      <c r="Q28" s="39" t="str">
        <f>CONCATENATE(R28,RIGHT(R26,1))</f>
        <v>2C</v>
      </c>
      <c r="R28" s="80">
        <v>2</v>
      </c>
      <c r="S28" s="81" t="str">
        <f>INDEX('Poule berekeningen'!$C$33:$J$36,MATCH($R28,'Poule berekeningen'!$M$33:$M$36,0),1)</f>
        <v>Griekenland</v>
      </c>
      <c r="T28" s="81">
        <f>SUM(V28:X28)</f>
        <v>3</v>
      </c>
      <c r="U28" s="81">
        <f>INDEX('Poule berekeningen'!$C$33:$J$36,MATCH($R28,'Poule berekeningen'!$M$33:$M$36,0),2)</f>
        <v>4</v>
      </c>
      <c r="V28" s="81">
        <f>INDEX('Poule berekeningen'!$C$33:$J$36,MATCH($R28,'Poule berekeningen'!$M$33:$M$36,0),3)</f>
        <v>1</v>
      </c>
      <c r="W28" s="81">
        <f>INDEX('Poule berekeningen'!$C$33:$J$36,MATCH($R28,'Poule berekeningen'!$M$33:$M$36,0),4)</f>
        <v>1</v>
      </c>
      <c r="X28" s="81">
        <f>INDEX('Poule berekeningen'!$C$33:$J$36,MATCH($R28,'Poule berekeningen'!$M$33:$M$36,0),5)</f>
        <v>1</v>
      </c>
      <c r="Y28" s="81">
        <f>INDEX('Poule berekeningen'!$C$33:$J$36,MATCH($R28,'Poule berekeningen'!$M$33:$M$36,0),6)</f>
        <v>2</v>
      </c>
      <c r="Z28" s="81">
        <f>INDEX('Poule berekeningen'!$C$33:$J$36,MATCH($R28,'Poule berekeningen'!$M$33:$M$36,0),7)</f>
        <v>4</v>
      </c>
      <c r="AA28" s="81">
        <f>INDEX('Poule berekeningen'!$C$33:$J$36,MATCH($R28,'Poule berekeningen'!$M$33:$M$36,0),8)</f>
        <v>-2</v>
      </c>
      <c r="AD28" s="40" t="str">
        <f t="shared" si="9"/>
        <v>2 - 1</v>
      </c>
      <c r="AE28" s="41" t="str">
        <f t="shared" si="10"/>
        <v>1</v>
      </c>
      <c r="AM28" s="40">
        <f t="shared" si="4"/>
        <v>0</v>
      </c>
    </row>
    <row r="29" spans="1:39">
      <c r="A29" s="64">
        <f>Toernooigegevens!B22</f>
        <v>21</v>
      </c>
      <c r="B29" s="65" t="str">
        <f>Toernooigegevens!C22</f>
        <v>do</v>
      </c>
      <c r="C29" s="66">
        <f>Toernooigegevens!D22</f>
        <v>41809</v>
      </c>
      <c r="D29" s="314">
        <f>Toernooigegevens!E22</f>
        <v>0.75</v>
      </c>
      <c r="E29" s="67"/>
      <c r="F29" s="68" t="str">
        <f>Toernooigegevens!G22</f>
        <v>Colombia</v>
      </c>
      <c r="G29" s="69">
        <v>2</v>
      </c>
      <c r="H29" s="70" t="s">
        <v>29</v>
      </c>
      <c r="I29" s="69">
        <v>1</v>
      </c>
      <c r="J29" s="68" t="str">
        <f>Toernooigegevens!I22</f>
        <v>Ivoorkust</v>
      </c>
      <c r="K29" s="67"/>
      <c r="L29" s="59"/>
      <c r="M29" s="70" t="str">
        <f t="shared" si="8"/>
        <v>1</v>
      </c>
      <c r="O29" s="39" t="str">
        <f>RIGHT(Q29)</f>
        <v>C</v>
      </c>
      <c r="P29" s="39">
        <f t="shared" si="1"/>
        <v>3</v>
      </c>
      <c r="Q29" s="39" t="str">
        <f>CONCATENATE(R29,RIGHT(R26,1))</f>
        <v>3C</v>
      </c>
      <c r="R29" s="71">
        <v>3</v>
      </c>
      <c r="S29" s="72" t="str">
        <f>INDEX('Poule berekeningen'!$C$33:$J$36,MATCH($R29,'Poule berekeningen'!$M$33:$M$36,0),1)</f>
        <v>Ivoorkust</v>
      </c>
      <c r="T29" s="72">
        <f>SUM(V29:X29)</f>
        <v>3</v>
      </c>
      <c r="U29" s="72">
        <f>INDEX('Poule berekeningen'!$C$33:$J$36,MATCH($R29,'Poule berekeningen'!$M$33:$M$36,0),2)</f>
        <v>3</v>
      </c>
      <c r="V29" s="72">
        <f>INDEX('Poule berekeningen'!$C$33:$J$36,MATCH($R29,'Poule berekeningen'!$M$33:$M$36,0),3)</f>
        <v>1</v>
      </c>
      <c r="W29" s="72">
        <f>INDEX('Poule berekeningen'!$C$33:$J$36,MATCH($R29,'Poule berekeningen'!$M$33:$M$36,0),4)</f>
        <v>0</v>
      </c>
      <c r="X29" s="72">
        <f>INDEX('Poule berekeningen'!$C$33:$J$36,MATCH($R29,'Poule berekeningen'!$M$33:$M$36,0),5)</f>
        <v>2</v>
      </c>
      <c r="Y29" s="72">
        <f>INDEX('Poule berekeningen'!$C$33:$J$36,MATCH($R29,'Poule berekeningen'!$M$33:$M$36,0),6)</f>
        <v>4</v>
      </c>
      <c r="Z29" s="72">
        <f>INDEX('Poule berekeningen'!$C$33:$J$36,MATCH($R29,'Poule berekeningen'!$M$33:$M$36,0),7)</f>
        <v>5</v>
      </c>
      <c r="AA29" s="72">
        <f>INDEX('Poule berekeningen'!$C$33:$J$36,MATCH($R29,'Poule berekeningen'!$M$33:$M$36,0),8)</f>
        <v>-1</v>
      </c>
      <c r="AD29" s="40" t="str">
        <f t="shared" si="9"/>
        <v>2 - 1</v>
      </c>
      <c r="AE29" s="41" t="str">
        <f t="shared" si="10"/>
        <v>1</v>
      </c>
      <c r="AM29" s="40">
        <f t="shared" si="4"/>
        <v>0</v>
      </c>
    </row>
    <row r="30" spans="1:39">
      <c r="A30" s="73">
        <f>Toernooigegevens!B23</f>
        <v>22</v>
      </c>
      <c r="B30" s="74" t="str">
        <f>Toernooigegevens!C23</f>
        <v>do</v>
      </c>
      <c r="C30" s="75">
        <f>Toernooigegevens!D23</f>
        <v>41809</v>
      </c>
      <c r="D30" s="313" t="str">
        <f>Toernooigegevens!E23</f>
        <v>24:00</v>
      </c>
      <c r="E30" s="76"/>
      <c r="F30" s="77" t="str">
        <f>Toernooigegevens!G23</f>
        <v>Japan</v>
      </c>
      <c r="G30" s="78">
        <v>0</v>
      </c>
      <c r="H30" s="79" t="s">
        <v>29</v>
      </c>
      <c r="I30" s="78">
        <v>0</v>
      </c>
      <c r="J30" s="77" t="str">
        <f>Toernooigegevens!I23</f>
        <v>Griekenland</v>
      </c>
      <c r="K30" s="76"/>
      <c r="L30" s="59"/>
      <c r="M30" s="79">
        <f t="shared" si="8"/>
        <v>3</v>
      </c>
      <c r="O30" s="39" t="str">
        <f>RIGHT(Q30)</f>
        <v>C</v>
      </c>
      <c r="P30" s="39">
        <f t="shared" si="1"/>
        <v>3</v>
      </c>
      <c r="Q30" s="39" t="str">
        <f>CONCATENATE(R30,RIGHT(R26,1))</f>
        <v>4C</v>
      </c>
      <c r="R30" s="80">
        <v>4</v>
      </c>
      <c r="S30" s="81" t="str">
        <f>INDEX('Poule berekeningen'!$C$33:$J$36,MATCH($R30,'Poule berekeningen'!$M$33:$M$36,0),1)</f>
        <v>Japan</v>
      </c>
      <c r="T30" s="81">
        <f>SUM(V30:X30)</f>
        <v>3</v>
      </c>
      <c r="U30" s="81">
        <f>INDEX('Poule berekeningen'!$C$33:$J$36,MATCH($R30,'Poule berekeningen'!$M$33:$M$36,0),2)</f>
        <v>1</v>
      </c>
      <c r="V30" s="81">
        <f>INDEX('Poule berekeningen'!$C$33:$J$36,MATCH($R30,'Poule berekeningen'!$M$33:$M$36,0),3)</f>
        <v>0</v>
      </c>
      <c r="W30" s="81">
        <f>INDEX('Poule berekeningen'!$C$33:$J$36,MATCH($R30,'Poule berekeningen'!$M$33:$M$36,0),4)</f>
        <v>1</v>
      </c>
      <c r="X30" s="81">
        <f>INDEX('Poule berekeningen'!$C$33:$J$36,MATCH($R30,'Poule berekeningen'!$M$33:$M$36,0),5)</f>
        <v>2</v>
      </c>
      <c r="Y30" s="81">
        <f>INDEX('Poule berekeningen'!$C$33:$J$36,MATCH($R30,'Poule berekeningen'!$M$33:$M$36,0),6)</f>
        <v>2</v>
      </c>
      <c r="Z30" s="81">
        <f>INDEX('Poule berekeningen'!$C$33:$J$36,MATCH($R30,'Poule berekeningen'!$M$33:$M$36,0),7)</f>
        <v>6</v>
      </c>
      <c r="AA30" s="81">
        <f>INDEX('Poule berekeningen'!$C$33:$J$36,MATCH($R30,'Poule berekeningen'!$M$33:$M$36,0),8)</f>
        <v>-4</v>
      </c>
      <c r="AD30" s="40" t="str">
        <f t="shared" si="9"/>
        <v>0 - 0</v>
      </c>
      <c r="AE30" s="41">
        <f t="shared" si="10"/>
        <v>3</v>
      </c>
      <c r="AM30" s="40">
        <f t="shared" si="4"/>
        <v>0</v>
      </c>
    </row>
    <row r="31" spans="1:39">
      <c r="A31" s="64">
        <f>Toernooigegevens!B24</f>
        <v>38</v>
      </c>
      <c r="B31" s="65" t="str">
        <f>Toernooigegevens!C24</f>
        <v>di</v>
      </c>
      <c r="C31" s="66">
        <f>Toernooigegevens!D24</f>
        <v>41814</v>
      </c>
      <c r="D31" s="314">
        <f>Toernooigegevens!E24</f>
        <v>0.91666666666666663</v>
      </c>
      <c r="E31" s="67"/>
      <c r="F31" s="68" t="str">
        <f>Toernooigegevens!G24</f>
        <v>Griekenland</v>
      </c>
      <c r="G31" s="69">
        <v>2</v>
      </c>
      <c r="H31" s="70" t="s">
        <v>29</v>
      </c>
      <c r="I31" s="69">
        <v>1</v>
      </c>
      <c r="J31" s="68" t="str">
        <f>Toernooigegevens!I24</f>
        <v>Ivoorkust</v>
      </c>
      <c r="K31" s="67"/>
      <c r="L31" s="59"/>
      <c r="M31" s="70" t="str">
        <f t="shared" si="8"/>
        <v>1</v>
      </c>
      <c r="P31" s="39">
        <f t="shared" si="1"/>
        <v>0</v>
      </c>
      <c r="R31" s="82" t="str">
        <f>IF(COUNT(G27:I32)=12,IF(COUNT(T27:T30)&lt;4,"Er is loting vereist in deze poule",""),"")</f>
        <v/>
      </c>
      <c r="S31" s="83"/>
      <c r="T31" s="83"/>
      <c r="U31" s="83"/>
      <c r="V31" s="83"/>
      <c r="W31" s="83"/>
      <c r="X31" s="83"/>
      <c r="Y31" s="83"/>
      <c r="Z31" s="83"/>
      <c r="AA31" s="83"/>
      <c r="AD31" s="40" t="str">
        <f t="shared" si="9"/>
        <v>2 - 1</v>
      </c>
      <c r="AE31" s="41" t="str">
        <f t="shared" si="10"/>
        <v>1</v>
      </c>
      <c r="AM31" s="40">
        <f t="shared" si="4"/>
        <v>0</v>
      </c>
    </row>
    <row r="32" spans="1:39">
      <c r="A32" s="73">
        <f>Toernooigegevens!B25</f>
        <v>37</v>
      </c>
      <c r="B32" s="74" t="str">
        <f>Toernooigegevens!C25</f>
        <v>di</v>
      </c>
      <c r="C32" s="75">
        <f>Toernooigegevens!D25</f>
        <v>41814</v>
      </c>
      <c r="D32" s="313">
        <f>Toernooigegevens!E25</f>
        <v>0.91666666666666663</v>
      </c>
      <c r="E32" s="76"/>
      <c r="F32" s="77" t="str">
        <f>Toernooigegevens!G25</f>
        <v>Japan</v>
      </c>
      <c r="G32" s="78">
        <v>1</v>
      </c>
      <c r="H32" s="79" t="s">
        <v>29</v>
      </c>
      <c r="I32" s="78">
        <v>4</v>
      </c>
      <c r="J32" s="77" t="str">
        <f>Toernooigegevens!I25</f>
        <v>Colombia</v>
      </c>
      <c r="K32" s="76"/>
      <c r="L32" s="59"/>
      <c r="M32" s="79">
        <f t="shared" si="8"/>
        <v>2</v>
      </c>
      <c r="P32" s="39">
        <f t="shared" si="1"/>
        <v>0</v>
      </c>
      <c r="R32" s="84"/>
      <c r="S32" s="83"/>
      <c r="T32" s="83"/>
      <c r="U32" s="83"/>
      <c r="V32" s="83"/>
      <c r="W32" s="83"/>
      <c r="X32" s="83"/>
      <c r="Y32" s="83"/>
      <c r="Z32" s="83"/>
      <c r="AA32" s="83"/>
      <c r="AD32" s="40" t="str">
        <f t="shared" si="9"/>
        <v>1 - 4</v>
      </c>
      <c r="AE32" s="41">
        <f t="shared" si="10"/>
        <v>2</v>
      </c>
      <c r="AM32" s="40">
        <f t="shared" si="4"/>
        <v>0</v>
      </c>
    </row>
    <row r="33" spans="1:39">
      <c r="A33" s="85"/>
      <c r="B33" s="59"/>
      <c r="C33" s="86"/>
      <c r="D33" s="315"/>
      <c r="E33" s="87"/>
      <c r="F33" s="59"/>
      <c r="G33" s="85"/>
      <c r="H33" s="88"/>
      <c r="I33" s="85"/>
      <c r="J33" s="59"/>
      <c r="K33" s="87"/>
      <c r="L33" s="59"/>
      <c r="M33" s="88" t="str">
        <f t="shared" si="8"/>
        <v/>
      </c>
      <c r="P33" s="39">
        <f t="shared" si="1"/>
        <v>0</v>
      </c>
      <c r="R33" s="84"/>
      <c r="S33" s="83"/>
      <c r="T33" s="83"/>
      <c r="U33" s="83"/>
      <c r="V33" s="83"/>
      <c r="W33" s="83"/>
      <c r="X33" s="83"/>
      <c r="Y33" s="83"/>
      <c r="Z33" s="83"/>
      <c r="AA33" s="83"/>
      <c r="AD33" s="40" t="str">
        <f t="shared" si="9"/>
        <v xml:space="preserve"> - </v>
      </c>
      <c r="AE33" s="41" t="str">
        <f t="shared" si="10"/>
        <v/>
      </c>
      <c r="AM33" s="40">
        <f t="shared" si="4"/>
        <v>0</v>
      </c>
    </row>
    <row r="34" spans="1:39">
      <c r="A34" s="55" t="s">
        <v>33</v>
      </c>
      <c r="B34" s="56"/>
      <c r="C34" s="56"/>
      <c r="D34" s="316"/>
      <c r="E34" s="56"/>
      <c r="F34" s="56"/>
      <c r="G34" s="57"/>
      <c r="H34" s="56"/>
      <c r="I34" s="57"/>
      <c r="J34" s="56"/>
      <c r="K34" s="58"/>
      <c r="L34" s="59"/>
      <c r="M34" s="60" t="s">
        <v>20</v>
      </c>
      <c r="P34" s="39">
        <f t="shared" si="1"/>
        <v>0</v>
      </c>
      <c r="R34" s="61" t="str">
        <f>Invulblad!A34</f>
        <v>Groep D</v>
      </c>
      <c r="S34" s="62"/>
      <c r="T34" s="62" t="s">
        <v>21</v>
      </c>
      <c r="U34" s="63" t="s">
        <v>22</v>
      </c>
      <c r="V34" s="63" t="s">
        <v>23</v>
      </c>
      <c r="W34" s="63" t="s">
        <v>24</v>
      </c>
      <c r="X34" s="63" t="s">
        <v>25</v>
      </c>
      <c r="Y34" s="63" t="s">
        <v>26</v>
      </c>
      <c r="Z34" s="63" t="s">
        <v>27</v>
      </c>
      <c r="AA34" s="63" t="s">
        <v>28</v>
      </c>
      <c r="AM34" s="40">
        <f t="shared" si="4"/>
        <v>0</v>
      </c>
    </row>
    <row r="35" spans="1:39">
      <c r="A35" s="64">
        <f>Toernooigegevens!B28</f>
        <v>7</v>
      </c>
      <c r="B35" s="65" t="str">
        <f>Toernooigegevens!C28</f>
        <v>za</v>
      </c>
      <c r="C35" s="66">
        <f>Toernooigegevens!D28</f>
        <v>41804</v>
      </c>
      <c r="D35" s="314">
        <f>Toernooigegevens!E28</f>
        <v>0.875</v>
      </c>
      <c r="E35" s="67"/>
      <c r="F35" s="68" t="str">
        <f>Toernooigegevens!G28</f>
        <v>Uruguay</v>
      </c>
      <c r="G35" s="69">
        <v>1</v>
      </c>
      <c r="H35" s="70" t="s">
        <v>29</v>
      </c>
      <c r="I35" s="90">
        <v>3</v>
      </c>
      <c r="J35" s="68" t="str">
        <f>Toernooigegevens!I28</f>
        <v>Costa Rica</v>
      </c>
      <c r="K35" s="67"/>
      <c r="L35" s="59"/>
      <c r="M35" s="70">
        <f t="shared" ref="M35:M41" si="11">IF(AND(G35="",I35=""),"",IF(OR(G35="",I35=""),"FOUT",IF(G35&gt;I35,"1",IF(G35=I35,3,2))))</f>
        <v>2</v>
      </c>
      <c r="O35" s="39" t="str">
        <f>RIGHT(Q35)</f>
        <v>D</v>
      </c>
      <c r="P35" s="39">
        <f t="shared" si="1"/>
        <v>3</v>
      </c>
      <c r="Q35" s="39" t="str">
        <f>CONCATENATE(R35,RIGHT(R34,1))</f>
        <v>1D</v>
      </c>
      <c r="R35" s="71">
        <v>1</v>
      </c>
      <c r="S35" s="72" t="str">
        <f>INDEX('Poule berekeningen'!$C$41:$J$44,MATCH($R35,'Poule berekeningen'!$M$41:$M$44,0),1)</f>
        <v>Costa Rica</v>
      </c>
      <c r="T35" s="72">
        <f>SUM(V35:X35)</f>
        <v>3</v>
      </c>
      <c r="U35" s="72">
        <f>INDEX('Poule berekeningen'!$C$41:$J$44,MATCH($R35,'Poule berekeningen'!$M$41:$M$44,0),2)</f>
        <v>7</v>
      </c>
      <c r="V35" s="72">
        <f>INDEX('Poule berekeningen'!$C$41:$J$44,MATCH($R35,'Poule berekeningen'!$M$41:$M$44,0),3)</f>
        <v>2</v>
      </c>
      <c r="W35" s="72">
        <f>INDEX('Poule berekeningen'!$C$41:$J$44,MATCH($R35,'Poule berekeningen'!$M$41:$M$44,0),4)</f>
        <v>1</v>
      </c>
      <c r="X35" s="72">
        <f>INDEX('Poule berekeningen'!$C$41:$J$44,MATCH($R35,'Poule berekeningen'!$M$41:$M$44,0),5)</f>
        <v>0</v>
      </c>
      <c r="Y35" s="72">
        <f>INDEX('Poule berekeningen'!$C$41:$J$44,MATCH($R35,'Poule berekeningen'!$M$41:$M$44,0),6)</f>
        <v>4</v>
      </c>
      <c r="Z35" s="72">
        <f>INDEX('Poule berekeningen'!$C$41:$J$44,MATCH($R35,'Poule berekeningen'!$M$41:$M$44,0),7)</f>
        <v>1</v>
      </c>
      <c r="AA35" s="72">
        <f>INDEX('Poule berekeningen'!$C$41:$J$44,MATCH($R35,'Poule berekeningen'!$M$41:$M$44,0),8)</f>
        <v>3</v>
      </c>
      <c r="AD35" s="40" t="str">
        <f t="shared" ref="AD35:AD41" si="12">CONCATENATE(G35," - ",I35)</f>
        <v>1 - 3</v>
      </c>
      <c r="AE35" s="41">
        <f t="shared" ref="AE35:AE41" si="13">M35</f>
        <v>2</v>
      </c>
      <c r="AM35" s="40">
        <f t="shared" si="4"/>
        <v>0</v>
      </c>
    </row>
    <row r="36" spans="1:39">
      <c r="A36" s="73">
        <f>Toernooigegevens!B29</f>
        <v>8</v>
      </c>
      <c r="B36" s="74" t="str">
        <f>Toernooigegevens!C29</f>
        <v>za</v>
      </c>
      <c r="C36" s="75">
        <f>Toernooigegevens!D29</f>
        <v>41439</v>
      </c>
      <c r="D36" s="313" t="str">
        <f>Toernooigegevens!E29</f>
        <v>24:00</v>
      </c>
      <c r="E36" s="76"/>
      <c r="F36" s="77" t="str">
        <f>Toernooigegevens!G29</f>
        <v>Engeland</v>
      </c>
      <c r="G36" s="78">
        <v>1</v>
      </c>
      <c r="H36" s="79" t="s">
        <v>29</v>
      </c>
      <c r="I36" s="91">
        <v>2</v>
      </c>
      <c r="J36" s="77" t="str">
        <f>Toernooigegevens!I29</f>
        <v>Italië</v>
      </c>
      <c r="K36" s="76"/>
      <c r="L36" s="59"/>
      <c r="M36" s="79">
        <f t="shared" si="11"/>
        <v>2</v>
      </c>
      <c r="O36" s="39" t="str">
        <f>RIGHT(Q36)</f>
        <v>D</v>
      </c>
      <c r="P36" s="39">
        <f t="shared" si="1"/>
        <v>3</v>
      </c>
      <c r="Q36" s="39" t="str">
        <f>CONCATENATE(R36,RIGHT(R34,1))</f>
        <v>2D</v>
      </c>
      <c r="R36" s="80">
        <v>2</v>
      </c>
      <c r="S36" s="81" t="str">
        <f>INDEX('Poule berekeningen'!$C$41:$J$44,MATCH($R36,'Poule berekeningen'!$M$41:$M$44,0),1)</f>
        <v>Uruguay</v>
      </c>
      <c r="T36" s="81">
        <f>SUM(V36:X36)</f>
        <v>3</v>
      </c>
      <c r="U36" s="81">
        <f>INDEX('Poule berekeningen'!$C$41:$J$44,MATCH($R36,'Poule berekeningen'!$M$41:$M$44,0),2)</f>
        <v>6</v>
      </c>
      <c r="V36" s="81">
        <f>INDEX('Poule berekeningen'!$C$41:$J$44,MATCH($R36,'Poule berekeningen'!$M$41:$M$44,0),3)</f>
        <v>2</v>
      </c>
      <c r="W36" s="81">
        <f>INDEX('Poule berekeningen'!$C$41:$J$44,MATCH($R36,'Poule berekeningen'!$M$41:$M$44,0),4)</f>
        <v>0</v>
      </c>
      <c r="X36" s="81">
        <f>INDEX('Poule berekeningen'!$C$41:$J$44,MATCH($R36,'Poule berekeningen'!$M$41:$M$44,0),5)</f>
        <v>1</v>
      </c>
      <c r="Y36" s="81">
        <f>INDEX('Poule berekeningen'!$C$41:$J$44,MATCH($R36,'Poule berekeningen'!$M$41:$M$44,0),6)</f>
        <v>4</v>
      </c>
      <c r="Z36" s="81">
        <f>INDEX('Poule berekeningen'!$C$41:$J$44,MATCH($R36,'Poule berekeningen'!$M$41:$M$44,0),7)</f>
        <v>4</v>
      </c>
      <c r="AA36" s="81">
        <f>INDEX('Poule berekeningen'!$C$41:$J$44,MATCH($R36,'Poule berekeningen'!$M$41:$M$44,0),8)</f>
        <v>0</v>
      </c>
      <c r="AD36" s="40" t="str">
        <f t="shared" si="12"/>
        <v>1 - 2</v>
      </c>
      <c r="AE36" s="41">
        <f t="shared" si="13"/>
        <v>2</v>
      </c>
      <c r="AM36" s="40">
        <f t="shared" si="4"/>
        <v>0</v>
      </c>
    </row>
    <row r="37" spans="1:39">
      <c r="A37" s="64">
        <f>Toernooigegevens!B30</f>
        <v>23</v>
      </c>
      <c r="B37" s="65" t="str">
        <f>Toernooigegevens!C30</f>
        <v>do</v>
      </c>
      <c r="C37" s="66">
        <f>Toernooigegevens!D30</f>
        <v>41809</v>
      </c>
      <c r="D37" s="314">
        <f>Toernooigegevens!E30</f>
        <v>0.875</v>
      </c>
      <c r="E37" s="67"/>
      <c r="F37" s="68" t="str">
        <f>Toernooigegevens!G30</f>
        <v>Uruguay</v>
      </c>
      <c r="G37" s="69">
        <v>2</v>
      </c>
      <c r="H37" s="70" t="s">
        <v>29</v>
      </c>
      <c r="I37" s="90">
        <v>1</v>
      </c>
      <c r="J37" s="68" t="str">
        <f>Toernooigegevens!I30</f>
        <v>Engeland</v>
      </c>
      <c r="K37" s="67"/>
      <c r="L37" s="59"/>
      <c r="M37" s="70" t="str">
        <f t="shared" si="11"/>
        <v>1</v>
      </c>
      <c r="O37" s="39" t="str">
        <f>RIGHT(Q37)</f>
        <v>D</v>
      </c>
      <c r="P37" s="39">
        <f t="shared" si="1"/>
        <v>3</v>
      </c>
      <c r="Q37" s="39" t="str">
        <f>CONCATENATE(R37,RIGHT(R34,1))</f>
        <v>3D</v>
      </c>
      <c r="R37" s="71">
        <v>3</v>
      </c>
      <c r="S37" s="72" t="str">
        <f>INDEX('Poule berekeningen'!$C$41:$J$44,MATCH($R37,'Poule berekeningen'!$M$41:$M$44,0),1)</f>
        <v>Italië</v>
      </c>
      <c r="T37" s="72">
        <f>SUM(V37:X37)</f>
        <v>3</v>
      </c>
      <c r="U37" s="72">
        <f>INDEX('Poule berekeningen'!$C$41:$J$44,MATCH($R37,'Poule berekeningen'!$M$41:$M$44,0),2)</f>
        <v>3</v>
      </c>
      <c r="V37" s="72">
        <f>INDEX('Poule berekeningen'!$C$41:$J$44,MATCH($R37,'Poule berekeningen'!$M$41:$M$44,0),3)</f>
        <v>1</v>
      </c>
      <c r="W37" s="72">
        <f>INDEX('Poule berekeningen'!$C$41:$J$44,MATCH($R37,'Poule berekeningen'!$M$41:$M$44,0),4)</f>
        <v>0</v>
      </c>
      <c r="X37" s="72">
        <f>INDEX('Poule berekeningen'!$C$41:$J$44,MATCH($R37,'Poule berekeningen'!$M$41:$M$44,0),5)</f>
        <v>2</v>
      </c>
      <c r="Y37" s="72">
        <f>INDEX('Poule berekeningen'!$C$41:$J$44,MATCH($R37,'Poule berekeningen'!$M$41:$M$44,0),6)</f>
        <v>2</v>
      </c>
      <c r="Z37" s="72">
        <f>INDEX('Poule berekeningen'!$C$41:$J$44,MATCH($R37,'Poule berekeningen'!$M$41:$M$44,0),7)</f>
        <v>3</v>
      </c>
      <c r="AA37" s="72">
        <f>INDEX('Poule berekeningen'!$C$41:$J$44,MATCH($R37,'Poule berekeningen'!$M$41:$M$44,0),8)</f>
        <v>-1</v>
      </c>
      <c r="AD37" s="40" t="str">
        <f t="shared" si="12"/>
        <v>2 - 1</v>
      </c>
      <c r="AE37" s="41" t="str">
        <f t="shared" si="13"/>
        <v>1</v>
      </c>
      <c r="AM37" s="40">
        <f t="shared" si="4"/>
        <v>0</v>
      </c>
    </row>
    <row r="38" spans="1:39">
      <c r="A38" s="73">
        <f>Toernooigegevens!B31</f>
        <v>24</v>
      </c>
      <c r="B38" s="74" t="str">
        <f>Toernooigegevens!C31</f>
        <v>vr</v>
      </c>
      <c r="C38" s="75">
        <f>Toernooigegevens!D31</f>
        <v>41810</v>
      </c>
      <c r="D38" s="313">
        <f>Toernooigegevens!E31</f>
        <v>0.75</v>
      </c>
      <c r="E38" s="76"/>
      <c r="F38" s="77" t="str">
        <f>Toernooigegevens!G31</f>
        <v>Italië</v>
      </c>
      <c r="G38" s="78">
        <v>0</v>
      </c>
      <c r="H38" s="79" t="s">
        <v>29</v>
      </c>
      <c r="I38" s="91">
        <v>1</v>
      </c>
      <c r="J38" s="77" t="str">
        <f>Toernooigegevens!I31</f>
        <v>Costa Rica</v>
      </c>
      <c r="K38" s="76"/>
      <c r="L38" s="59"/>
      <c r="M38" s="79">
        <f t="shared" si="11"/>
        <v>2</v>
      </c>
      <c r="O38" s="39" t="str">
        <f>RIGHT(Q38)</f>
        <v>D</v>
      </c>
      <c r="P38" s="39">
        <f t="shared" si="1"/>
        <v>3</v>
      </c>
      <c r="Q38" s="39" t="str">
        <f>CONCATENATE(R38,RIGHT(R34,1))</f>
        <v>4D</v>
      </c>
      <c r="R38" s="80">
        <v>4</v>
      </c>
      <c r="S38" s="81" t="str">
        <f>INDEX('Poule berekeningen'!$C$41:$J$44,MATCH($R38,'Poule berekeningen'!$M$41:$M$44,0),1)</f>
        <v>Engeland</v>
      </c>
      <c r="T38" s="81">
        <f>SUM(V38:X38)</f>
        <v>3</v>
      </c>
      <c r="U38" s="81">
        <f>INDEX('Poule berekeningen'!$C$41:$J$44,MATCH($R38,'Poule berekeningen'!$M$41:$M$44,0),2)</f>
        <v>1</v>
      </c>
      <c r="V38" s="81">
        <f>INDEX('Poule berekeningen'!$C$41:$J$44,MATCH($R38,'Poule berekeningen'!$M$41:$M$44,0),3)</f>
        <v>0</v>
      </c>
      <c r="W38" s="81">
        <f>INDEX('Poule berekeningen'!$C$41:$J$44,MATCH($R38,'Poule berekeningen'!$M$41:$M$44,0),4)</f>
        <v>1</v>
      </c>
      <c r="X38" s="81">
        <f>INDEX('Poule berekeningen'!$C$41:$J$44,MATCH($R38,'Poule berekeningen'!$M$41:$M$44,0),5)</f>
        <v>2</v>
      </c>
      <c r="Y38" s="81">
        <f>INDEX('Poule berekeningen'!$C$41:$J$44,MATCH($R38,'Poule berekeningen'!$M$41:$M$44,0),6)</f>
        <v>2</v>
      </c>
      <c r="Z38" s="81">
        <f>INDEX('Poule berekeningen'!$C$41:$J$44,MATCH($R38,'Poule berekeningen'!$M$41:$M$44,0),7)</f>
        <v>4</v>
      </c>
      <c r="AA38" s="81">
        <f>INDEX('Poule berekeningen'!$C$41:$J$44,MATCH($R38,'Poule berekeningen'!$M$41:$M$44,0),8)</f>
        <v>-2</v>
      </c>
      <c r="AD38" s="40" t="str">
        <f t="shared" si="12"/>
        <v>0 - 1</v>
      </c>
      <c r="AE38" s="41">
        <f t="shared" si="13"/>
        <v>2</v>
      </c>
      <c r="AM38" s="40">
        <f t="shared" si="4"/>
        <v>0</v>
      </c>
    </row>
    <row r="39" spans="1:39">
      <c r="A39" s="64">
        <f>Toernooigegevens!B32</f>
        <v>40</v>
      </c>
      <c r="B39" s="65" t="str">
        <f>Toernooigegevens!C32</f>
        <v>di</v>
      </c>
      <c r="C39" s="66">
        <f>Toernooigegevens!D32</f>
        <v>41814</v>
      </c>
      <c r="D39" s="314">
        <f>Toernooigegevens!E32</f>
        <v>0.75</v>
      </c>
      <c r="E39" s="67"/>
      <c r="F39" s="68" t="str">
        <f>Toernooigegevens!G32</f>
        <v>Costa Rica</v>
      </c>
      <c r="G39" s="69">
        <v>0</v>
      </c>
      <c r="H39" s="70" t="s">
        <v>29</v>
      </c>
      <c r="I39" s="90">
        <v>0</v>
      </c>
      <c r="J39" s="68" t="str">
        <f>Toernooigegevens!I32</f>
        <v>Engeland</v>
      </c>
      <c r="K39" s="67"/>
      <c r="L39" s="59"/>
      <c r="M39" s="70">
        <f t="shared" si="11"/>
        <v>3</v>
      </c>
      <c r="P39" s="39">
        <f t="shared" si="1"/>
        <v>0</v>
      </c>
      <c r="R39" s="82" t="str">
        <f>IF(COUNT(G35:I40)=12,IF(COUNT(T35:T38)&lt;4,"Er is loting vereist in deze poule",""),"")</f>
        <v/>
      </c>
      <c r="S39" s="83"/>
      <c r="T39" s="83"/>
      <c r="U39" s="83"/>
      <c r="V39" s="83"/>
      <c r="W39" s="83"/>
      <c r="X39" s="83"/>
      <c r="Y39" s="83"/>
      <c r="Z39" s="83"/>
      <c r="AA39" s="83"/>
      <c r="AD39" s="40" t="str">
        <f t="shared" si="12"/>
        <v>0 - 0</v>
      </c>
      <c r="AE39" s="41">
        <f t="shared" si="13"/>
        <v>3</v>
      </c>
      <c r="AM39" s="40">
        <f t="shared" si="4"/>
        <v>0</v>
      </c>
    </row>
    <row r="40" spans="1:39">
      <c r="A40" s="73">
        <f>Toernooigegevens!B33</f>
        <v>39</v>
      </c>
      <c r="B40" s="74" t="str">
        <f>Toernooigegevens!C33</f>
        <v>di</v>
      </c>
      <c r="C40" s="75">
        <f>Toernooigegevens!D33</f>
        <v>41814</v>
      </c>
      <c r="D40" s="313">
        <f>Toernooigegevens!E33</f>
        <v>0.75</v>
      </c>
      <c r="E40" s="76"/>
      <c r="F40" s="77" t="str">
        <f>Toernooigegevens!G33</f>
        <v>Italië</v>
      </c>
      <c r="G40" s="78">
        <v>0</v>
      </c>
      <c r="H40" s="79" t="s">
        <v>29</v>
      </c>
      <c r="I40" s="91">
        <v>1</v>
      </c>
      <c r="J40" s="77" t="str">
        <f>Toernooigegevens!I33</f>
        <v>Uruguay</v>
      </c>
      <c r="K40" s="76"/>
      <c r="L40" s="59"/>
      <c r="M40" s="79">
        <f t="shared" si="11"/>
        <v>2</v>
      </c>
      <c r="P40" s="39">
        <f t="shared" si="1"/>
        <v>0</v>
      </c>
      <c r="R40" s="84"/>
      <c r="S40" s="83"/>
      <c r="T40" s="83"/>
      <c r="U40" s="83"/>
      <c r="V40" s="83"/>
      <c r="W40" s="83"/>
      <c r="X40" s="83"/>
      <c r="Y40" s="83"/>
      <c r="Z40" s="83"/>
      <c r="AA40" s="83"/>
      <c r="AD40" s="40" t="str">
        <f t="shared" si="12"/>
        <v>0 - 1</v>
      </c>
      <c r="AE40" s="41">
        <f t="shared" si="13"/>
        <v>2</v>
      </c>
      <c r="AM40" s="40">
        <f t="shared" si="4"/>
        <v>0</v>
      </c>
    </row>
    <row r="41" spans="1:39">
      <c r="A41" s="85"/>
      <c r="B41" s="59"/>
      <c r="C41" s="92"/>
      <c r="D41" s="315"/>
      <c r="E41" s="87"/>
      <c r="F41" s="59"/>
      <c r="G41" s="85"/>
      <c r="H41" s="88"/>
      <c r="I41" s="85"/>
      <c r="J41" s="59"/>
      <c r="K41" s="87"/>
      <c r="L41" s="59"/>
      <c r="M41" s="88" t="str">
        <f t="shared" si="11"/>
        <v/>
      </c>
      <c r="P41" s="39">
        <f t="shared" si="1"/>
        <v>0</v>
      </c>
      <c r="R41" s="84"/>
      <c r="S41" s="83"/>
      <c r="T41" s="83"/>
      <c r="U41" s="83"/>
      <c r="V41" s="83"/>
      <c r="W41" s="83"/>
      <c r="X41" s="83"/>
      <c r="Y41" s="83"/>
      <c r="Z41" s="83"/>
      <c r="AA41" s="83"/>
      <c r="AD41" s="40" t="str">
        <f t="shared" si="12"/>
        <v xml:space="preserve"> - </v>
      </c>
      <c r="AE41" s="41" t="str">
        <f t="shared" si="13"/>
        <v/>
      </c>
      <c r="AM41" s="40">
        <f t="shared" si="4"/>
        <v>0</v>
      </c>
    </row>
    <row r="42" spans="1:39">
      <c r="A42" s="55" t="s">
        <v>34</v>
      </c>
      <c r="B42" s="56"/>
      <c r="C42" s="56"/>
      <c r="D42" s="316"/>
      <c r="E42" s="56"/>
      <c r="F42" s="56"/>
      <c r="G42" s="57"/>
      <c r="H42" s="56"/>
      <c r="I42" s="57"/>
      <c r="J42" s="56"/>
      <c r="K42" s="58"/>
      <c r="L42" s="59"/>
      <c r="M42" s="60" t="s">
        <v>20</v>
      </c>
      <c r="P42" s="39">
        <f t="shared" si="1"/>
        <v>0</v>
      </c>
      <c r="R42" s="61" t="str">
        <f>Invulblad!A42</f>
        <v>Groep E</v>
      </c>
      <c r="S42" s="62"/>
      <c r="T42" s="62" t="s">
        <v>21</v>
      </c>
      <c r="U42" s="63" t="s">
        <v>22</v>
      </c>
      <c r="V42" s="63" t="s">
        <v>23</v>
      </c>
      <c r="W42" s="63" t="s">
        <v>24</v>
      </c>
      <c r="X42" s="63" t="s">
        <v>25</v>
      </c>
      <c r="Y42" s="63" t="s">
        <v>26</v>
      </c>
      <c r="Z42" s="63" t="s">
        <v>27</v>
      </c>
      <c r="AA42" s="63" t="s">
        <v>28</v>
      </c>
      <c r="AM42" s="40">
        <f t="shared" si="4"/>
        <v>0</v>
      </c>
    </row>
    <row r="43" spans="1:39">
      <c r="A43" s="64">
        <f>Toernooigegevens!B36</f>
        <v>9</v>
      </c>
      <c r="B43" s="65" t="str">
        <f>Toernooigegevens!C36</f>
        <v>zo</v>
      </c>
      <c r="C43" s="66">
        <f>Toernooigegevens!D36</f>
        <v>41440</v>
      </c>
      <c r="D43" s="314">
        <f>Toernooigegevens!E36</f>
        <v>0.75</v>
      </c>
      <c r="E43" s="67"/>
      <c r="F43" s="68" t="str">
        <f>Toernooigegevens!G36</f>
        <v>Zwitserland</v>
      </c>
      <c r="G43" s="69">
        <v>2</v>
      </c>
      <c r="H43" s="70" t="s">
        <v>29</v>
      </c>
      <c r="I43" s="69">
        <v>1</v>
      </c>
      <c r="J43" s="68" t="str">
        <f>Toernooigegevens!I36</f>
        <v>Ecuador</v>
      </c>
      <c r="K43" s="67"/>
      <c r="L43" s="59"/>
      <c r="M43" s="70" t="str">
        <f t="shared" ref="M43:M49" si="14">IF(AND(G43="",I43=""),"",IF(OR(G43="",I43=""),"FOUT",IF(G43&gt;I43,"1",IF(G43=I43,3,2))))</f>
        <v>1</v>
      </c>
      <c r="O43" s="39" t="str">
        <f>RIGHT(Q43)</f>
        <v>E</v>
      </c>
      <c r="P43" s="39">
        <f t="shared" ref="P43:P70" si="15">IF(T43=3,3,0)</f>
        <v>3</v>
      </c>
      <c r="Q43" s="39" t="str">
        <f>CONCATENATE(R43,RIGHT(R42,1))</f>
        <v>1E</v>
      </c>
      <c r="R43" s="71">
        <v>1</v>
      </c>
      <c r="S43" s="72" t="str">
        <f>INDEX('Poule berekeningen'!$C$49:$J$52,MATCH($R43,'Poule berekeningen'!$M$49:$M$52,0),1)</f>
        <v>Frankrijk</v>
      </c>
      <c r="T43" s="72">
        <f>SUM(V43:X43)</f>
        <v>3</v>
      </c>
      <c r="U43" s="72">
        <f>INDEX('Poule berekeningen'!$C$49:$J$52,MATCH($R43,'Poule berekeningen'!$M$49:$M$52,0),2)</f>
        <v>7</v>
      </c>
      <c r="V43" s="72">
        <f>INDEX('Poule berekeningen'!$C$49:$J$52,MATCH($R43,'Poule berekeningen'!$M$49:$M$52,0),3)</f>
        <v>2</v>
      </c>
      <c r="W43" s="72">
        <f>INDEX('Poule berekeningen'!$C$49:$J$52,MATCH($R43,'Poule berekeningen'!$M$49:$M$52,0),4)</f>
        <v>1</v>
      </c>
      <c r="X43" s="72">
        <f>INDEX('Poule berekeningen'!$C$49:$J$52,MATCH($R43,'Poule berekeningen'!$M$49:$M$52,0),5)</f>
        <v>0</v>
      </c>
      <c r="Y43" s="72">
        <f>INDEX('Poule berekeningen'!$C$49:$J$52,MATCH($R43,'Poule berekeningen'!$M$49:$M$52,0),6)</f>
        <v>8</v>
      </c>
      <c r="Z43" s="72">
        <f>INDEX('Poule berekeningen'!$C$49:$J$52,MATCH($R43,'Poule berekeningen'!$M$49:$M$52,0),7)</f>
        <v>2</v>
      </c>
      <c r="AA43" s="72">
        <f>INDEX('Poule berekeningen'!$C$49:$J$52,MATCH($R43,'Poule berekeningen'!$M$49:$M$52,0),8)</f>
        <v>6</v>
      </c>
      <c r="AD43" s="40" t="str">
        <f t="shared" ref="AD43:AD49" si="16">CONCATENATE(G43," - ",I43)</f>
        <v>2 - 1</v>
      </c>
      <c r="AE43" s="41" t="str">
        <f t="shared" ref="AE43:AE49" si="17">M43</f>
        <v>1</v>
      </c>
      <c r="AM43" s="40">
        <f t="shared" ref="AM43:AM72" si="18">IF(OR(AND(M43&lt;&gt;"",M43&lt;&gt;"FOUT"),A43=""),0,"x")</f>
        <v>0</v>
      </c>
    </row>
    <row r="44" spans="1:39">
      <c r="A44" s="73">
        <f>Toernooigegevens!B37</f>
        <v>10</v>
      </c>
      <c r="B44" s="74" t="str">
        <f>Toernooigegevens!C37</f>
        <v>zo</v>
      </c>
      <c r="C44" s="75">
        <f>Toernooigegevens!D37</f>
        <v>41440</v>
      </c>
      <c r="D44" s="313">
        <f>Toernooigegevens!E37</f>
        <v>0.875</v>
      </c>
      <c r="E44" s="76"/>
      <c r="F44" s="77" t="str">
        <f>Toernooigegevens!G37</f>
        <v>Frankrijk</v>
      </c>
      <c r="G44" s="78">
        <v>3</v>
      </c>
      <c r="H44" s="79" t="s">
        <v>29</v>
      </c>
      <c r="I44" s="78">
        <v>0</v>
      </c>
      <c r="J44" s="77" t="str">
        <f>Toernooigegevens!I37</f>
        <v>Honduras</v>
      </c>
      <c r="K44" s="76"/>
      <c r="L44" s="59"/>
      <c r="M44" s="79" t="str">
        <f t="shared" si="14"/>
        <v>1</v>
      </c>
      <c r="O44" s="39" t="str">
        <f>RIGHT(Q44)</f>
        <v>E</v>
      </c>
      <c r="P44" s="39">
        <f t="shared" si="15"/>
        <v>3</v>
      </c>
      <c r="Q44" s="39" t="str">
        <f>CONCATENATE(R44,RIGHT(R42,1))</f>
        <v>2E</v>
      </c>
      <c r="R44" s="80">
        <v>2</v>
      </c>
      <c r="S44" s="81" t="str">
        <f>INDEX('Poule berekeningen'!$C$49:$J$52,MATCH($R44,'Poule berekeningen'!$M$49:$M$52,0),1)</f>
        <v>Zwitserland</v>
      </c>
      <c r="T44" s="81">
        <f>SUM(V44:X44)</f>
        <v>3</v>
      </c>
      <c r="U44" s="81">
        <f>INDEX('Poule berekeningen'!$C$49:$J$52,MATCH($R44,'Poule berekeningen'!$M$49:$M$52,0),2)</f>
        <v>6</v>
      </c>
      <c r="V44" s="81">
        <f>INDEX('Poule berekeningen'!$C$49:$J$52,MATCH($R44,'Poule berekeningen'!$M$49:$M$52,0),3)</f>
        <v>2</v>
      </c>
      <c r="W44" s="81">
        <f>INDEX('Poule berekeningen'!$C$49:$J$52,MATCH($R44,'Poule berekeningen'!$M$49:$M$52,0),4)</f>
        <v>0</v>
      </c>
      <c r="X44" s="81">
        <f>INDEX('Poule berekeningen'!$C$49:$J$52,MATCH($R44,'Poule berekeningen'!$M$49:$M$52,0),5)</f>
        <v>1</v>
      </c>
      <c r="Y44" s="81">
        <f>INDEX('Poule berekeningen'!$C$49:$J$52,MATCH($R44,'Poule berekeningen'!$M$49:$M$52,0),6)</f>
        <v>7</v>
      </c>
      <c r="Z44" s="81">
        <f>INDEX('Poule berekeningen'!$C$49:$J$52,MATCH($R44,'Poule berekeningen'!$M$49:$M$52,0),7)</f>
        <v>6</v>
      </c>
      <c r="AA44" s="81">
        <f>INDEX('Poule berekeningen'!$C$49:$J$52,MATCH($R44,'Poule berekeningen'!$M$49:$M$52,0),8)</f>
        <v>1</v>
      </c>
      <c r="AD44" s="40" t="str">
        <f t="shared" si="16"/>
        <v>3 - 0</v>
      </c>
      <c r="AE44" s="41" t="str">
        <f t="shared" si="17"/>
        <v>1</v>
      </c>
      <c r="AM44" s="40">
        <f t="shared" si="18"/>
        <v>0</v>
      </c>
    </row>
    <row r="45" spans="1:39">
      <c r="A45" s="64">
        <f>Toernooigegevens!B38</f>
        <v>25</v>
      </c>
      <c r="B45" s="65" t="str">
        <f>Toernooigegevens!C38</f>
        <v>vr</v>
      </c>
      <c r="C45" s="66">
        <f>Toernooigegevens!D38</f>
        <v>41810</v>
      </c>
      <c r="D45" s="314">
        <f>Toernooigegevens!E38</f>
        <v>0.875</v>
      </c>
      <c r="E45" s="67"/>
      <c r="F45" s="68" t="str">
        <f>Toernooigegevens!G38</f>
        <v>Zwitserland</v>
      </c>
      <c r="G45" s="69">
        <v>2</v>
      </c>
      <c r="H45" s="70" t="s">
        <v>29</v>
      </c>
      <c r="I45" s="69">
        <v>5</v>
      </c>
      <c r="J45" s="68" t="str">
        <f>Toernooigegevens!I38</f>
        <v>Frankrijk</v>
      </c>
      <c r="K45" s="67"/>
      <c r="L45" s="59"/>
      <c r="M45" s="70">
        <f t="shared" si="14"/>
        <v>2</v>
      </c>
      <c r="O45" s="39" t="str">
        <f>RIGHT(Q45)</f>
        <v>E</v>
      </c>
      <c r="P45" s="39">
        <f t="shared" si="15"/>
        <v>3</v>
      </c>
      <c r="Q45" s="39" t="str">
        <f>CONCATENATE(R45,RIGHT(R42,1))</f>
        <v>3E</v>
      </c>
      <c r="R45" s="71">
        <v>3</v>
      </c>
      <c r="S45" s="72" t="str">
        <f>INDEX('Poule berekeningen'!$C$49:$J$52,MATCH($R45,'Poule berekeningen'!$M$49:$M$52,0),1)</f>
        <v>Ecuador</v>
      </c>
      <c r="T45" s="72">
        <f>SUM(V45:X45)</f>
        <v>3</v>
      </c>
      <c r="U45" s="72">
        <f>INDEX('Poule berekeningen'!$C$49:$J$52,MATCH($R45,'Poule berekeningen'!$M$49:$M$52,0),2)</f>
        <v>4</v>
      </c>
      <c r="V45" s="72">
        <f>INDEX('Poule berekeningen'!$C$49:$J$52,MATCH($R45,'Poule berekeningen'!$M$49:$M$52,0),3)</f>
        <v>1</v>
      </c>
      <c r="W45" s="72">
        <f>INDEX('Poule berekeningen'!$C$49:$J$52,MATCH($R45,'Poule berekeningen'!$M$49:$M$52,0),4)</f>
        <v>1</v>
      </c>
      <c r="X45" s="72">
        <f>INDEX('Poule berekeningen'!$C$49:$J$52,MATCH($R45,'Poule berekeningen'!$M$49:$M$52,0),5)</f>
        <v>1</v>
      </c>
      <c r="Y45" s="72">
        <f>INDEX('Poule berekeningen'!$C$49:$J$52,MATCH($R45,'Poule berekeningen'!$M$49:$M$52,0),6)</f>
        <v>3</v>
      </c>
      <c r="Z45" s="72">
        <f>INDEX('Poule berekeningen'!$C$49:$J$52,MATCH($R45,'Poule berekeningen'!$M$49:$M$52,0),7)</f>
        <v>3</v>
      </c>
      <c r="AA45" s="72">
        <f>INDEX('Poule berekeningen'!$C$49:$J$52,MATCH($R45,'Poule berekeningen'!$M$49:$M$52,0),8)</f>
        <v>0</v>
      </c>
      <c r="AD45" s="40" t="str">
        <f t="shared" si="16"/>
        <v>2 - 5</v>
      </c>
      <c r="AE45" s="41">
        <f t="shared" si="17"/>
        <v>2</v>
      </c>
      <c r="AM45" s="40">
        <f t="shared" si="18"/>
        <v>0</v>
      </c>
    </row>
    <row r="46" spans="1:39">
      <c r="A46" s="73">
        <f>Toernooigegevens!B39</f>
        <v>26</v>
      </c>
      <c r="B46" s="74" t="str">
        <f>Toernooigegevens!C39</f>
        <v>vr</v>
      </c>
      <c r="C46" s="75">
        <f>Toernooigegevens!D39</f>
        <v>41810</v>
      </c>
      <c r="D46" s="313" t="str">
        <f>Toernooigegevens!E39</f>
        <v>24:00</v>
      </c>
      <c r="E46" s="76"/>
      <c r="F46" s="77" t="str">
        <f>Toernooigegevens!G39</f>
        <v>Honduras</v>
      </c>
      <c r="G46" s="78">
        <v>1</v>
      </c>
      <c r="H46" s="79" t="s">
        <v>29</v>
      </c>
      <c r="I46" s="78">
        <v>2</v>
      </c>
      <c r="J46" s="77" t="str">
        <f>Toernooigegevens!I39</f>
        <v>Ecuador</v>
      </c>
      <c r="K46" s="76"/>
      <c r="L46" s="59"/>
      <c r="M46" s="79">
        <f t="shared" si="14"/>
        <v>2</v>
      </c>
      <c r="O46" s="39" t="str">
        <f>RIGHT(Q46)</f>
        <v>E</v>
      </c>
      <c r="P46" s="39">
        <f t="shared" si="15"/>
        <v>3</v>
      </c>
      <c r="Q46" s="39" t="str">
        <f>CONCATENATE(R46,RIGHT(R42,1))</f>
        <v>4E</v>
      </c>
      <c r="R46" s="80">
        <v>4</v>
      </c>
      <c r="S46" s="81" t="str">
        <f>INDEX('Poule berekeningen'!$C$49:$J$52,MATCH($R46,'Poule berekeningen'!$M$49:$M$52,0),1)</f>
        <v>Honduras</v>
      </c>
      <c r="T46" s="81">
        <f>SUM(V46:X46)</f>
        <v>3</v>
      </c>
      <c r="U46" s="81">
        <f>INDEX('Poule berekeningen'!$C$49:$J$52,MATCH($R46,'Poule berekeningen'!$M$49:$M$52,0),2)</f>
        <v>0</v>
      </c>
      <c r="V46" s="81">
        <f>INDEX('Poule berekeningen'!$C$49:$J$52,MATCH($R46,'Poule berekeningen'!$M$49:$M$52,0),3)</f>
        <v>0</v>
      </c>
      <c r="W46" s="81">
        <f>INDEX('Poule berekeningen'!$C$49:$J$52,MATCH($R46,'Poule berekeningen'!$M$49:$M$52,0),4)</f>
        <v>0</v>
      </c>
      <c r="X46" s="81">
        <f>INDEX('Poule berekeningen'!$C$49:$J$52,MATCH($R46,'Poule berekeningen'!$M$49:$M$52,0),5)</f>
        <v>3</v>
      </c>
      <c r="Y46" s="81">
        <f>INDEX('Poule berekeningen'!$C$49:$J$52,MATCH($R46,'Poule berekeningen'!$M$49:$M$52,0),6)</f>
        <v>1</v>
      </c>
      <c r="Z46" s="81">
        <f>INDEX('Poule berekeningen'!$C$49:$J$52,MATCH($R46,'Poule berekeningen'!$M$49:$M$52,0),7)</f>
        <v>8</v>
      </c>
      <c r="AA46" s="81">
        <f>INDEX('Poule berekeningen'!$C$49:$J$52,MATCH($R46,'Poule berekeningen'!$M$49:$M$52,0),8)</f>
        <v>-7</v>
      </c>
      <c r="AD46" s="40" t="str">
        <f t="shared" si="16"/>
        <v>1 - 2</v>
      </c>
      <c r="AE46" s="41">
        <f t="shared" si="17"/>
        <v>2</v>
      </c>
      <c r="AM46" s="40">
        <f t="shared" si="18"/>
        <v>0</v>
      </c>
    </row>
    <row r="47" spans="1:39">
      <c r="A47" s="64">
        <f>Toernooigegevens!B40</f>
        <v>42</v>
      </c>
      <c r="B47" s="65" t="str">
        <f>Toernooigegevens!C40</f>
        <v>wo</v>
      </c>
      <c r="C47" s="66">
        <f>Toernooigegevens!D40</f>
        <v>41815</v>
      </c>
      <c r="D47" s="314">
        <f>Toernooigegevens!E40</f>
        <v>0.91666666666666663</v>
      </c>
      <c r="E47" s="67"/>
      <c r="F47" s="68" t="str">
        <f>Toernooigegevens!G40</f>
        <v>Ecuador</v>
      </c>
      <c r="G47" s="69">
        <v>0</v>
      </c>
      <c r="H47" s="70" t="s">
        <v>29</v>
      </c>
      <c r="I47" s="69">
        <v>0</v>
      </c>
      <c r="J47" s="68" t="str">
        <f>Toernooigegevens!I40</f>
        <v>Frankrijk</v>
      </c>
      <c r="K47" s="67"/>
      <c r="L47" s="59"/>
      <c r="M47" s="70">
        <f t="shared" si="14"/>
        <v>3</v>
      </c>
      <c r="P47" s="39">
        <f t="shared" si="15"/>
        <v>0</v>
      </c>
      <c r="R47" s="82" t="str">
        <f>IF(COUNT(G43:I48)=12,IF(COUNT(T43:T46)&lt;4,"Er is loting vereist in deze poule",""),"")</f>
        <v/>
      </c>
      <c r="S47" s="83"/>
      <c r="T47" s="83"/>
      <c r="U47" s="83"/>
      <c r="V47" s="83"/>
      <c r="W47" s="83"/>
      <c r="X47" s="83"/>
      <c r="Y47" s="83"/>
      <c r="Z47" s="83"/>
      <c r="AA47" s="83"/>
      <c r="AD47" s="40" t="str">
        <f t="shared" si="16"/>
        <v>0 - 0</v>
      </c>
      <c r="AE47" s="41">
        <f t="shared" si="17"/>
        <v>3</v>
      </c>
      <c r="AM47" s="40">
        <f t="shared" si="18"/>
        <v>0</v>
      </c>
    </row>
    <row r="48" spans="1:39">
      <c r="A48" s="73">
        <f>Toernooigegevens!B41</f>
        <v>41</v>
      </c>
      <c r="B48" s="74" t="str">
        <f>Toernooigegevens!C41</f>
        <v>wo</v>
      </c>
      <c r="C48" s="75">
        <f>Toernooigegevens!D41</f>
        <v>41815</v>
      </c>
      <c r="D48" s="313">
        <f>Toernooigegevens!E41</f>
        <v>0.91666666666666663</v>
      </c>
      <c r="E48" s="76"/>
      <c r="F48" s="77" t="str">
        <f>Toernooigegevens!G41</f>
        <v>Honduras</v>
      </c>
      <c r="G48" s="78">
        <v>0</v>
      </c>
      <c r="H48" s="79" t="s">
        <v>29</v>
      </c>
      <c r="I48" s="78">
        <v>3</v>
      </c>
      <c r="J48" s="77" t="str">
        <f>Toernooigegevens!I41</f>
        <v>Zwitserland</v>
      </c>
      <c r="K48" s="76"/>
      <c r="L48" s="59"/>
      <c r="M48" s="79">
        <f t="shared" si="14"/>
        <v>2</v>
      </c>
      <c r="P48" s="39">
        <f t="shared" si="15"/>
        <v>0</v>
      </c>
      <c r="R48" s="84"/>
      <c r="S48" s="83"/>
      <c r="T48" s="83"/>
      <c r="U48" s="83"/>
      <c r="V48" s="83"/>
      <c r="W48" s="83"/>
      <c r="X48" s="83"/>
      <c r="Y48" s="83"/>
      <c r="Z48" s="83"/>
      <c r="AA48" s="83"/>
      <c r="AD48" s="40" t="str">
        <f t="shared" si="16"/>
        <v>0 - 3</v>
      </c>
      <c r="AE48" s="41">
        <f t="shared" si="17"/>
        <v>2</v>
      </c>
      <c r="AM48" s="40">
        <f t="shared" si="18"/>
        <v>0</v>
      </c>
    </row>
    <row r="49" spans="1:39">
      <c r="A49" s="85"/>
      <c r="B49" s="59"/>
      <c r="C49" s="86"/>
      <c r="D49" s="315"/>
      <c r="E49" s="87"/>
      <c r="F49" s="59"/>
      <c r="G49" s="85"/>
      <c r="H49" s="88"/>
      <c r="I49" s="85"/>
      <c r="J49" s="59"/>
      <c r="K49" s="87"/>
      <c r="L49" s="59"/>
      <c r="M49" s="88" t="str">
        <f t="shared" si="14"/>
        <v/>
      </c>
      <c r="P49" s="39">
        <f t="shared" si="15"/>
        <v>0</v>
      </c>
      <c r="R49" s="84"/>
      <c r="S49" s="83"/>
      <c r="T49" s="83"/>
      <c r="U49" s="83"/>
      <c r="V49" s="83"/>
      <c r="W49" s="83"/>
      <c r="X49" s="83"/>
      <c r="Y49" s="83"/>
      <c r="Z49" s="83"/>
      <c r="AA49" s="83"/>
      <c r="AD49" s="40" t="str">
        <f t="shared" si="16"/>
        <v xml:space="preserve"> - </v>
      </c>
      <c r="AE49" s="41" t="str">
        <f t="shared" si="17"/>
        <v/>
      </c>
      <c r="AM49" s="40">
        <f t="shared" si="18"/>
        <v>0</v>
      </c>
    </row>
    <row r="50" spans="1:39">
      <c r="A50" s="55" t="s">
        <v>35</v>
      </c>
      <c r="B50" s="56"/>
      <c r="C50" s="56"/>
      <c r="D50" s="316"/>
      <c r="E50" s="56"/>
      <c r="F50" s="56"/>
      <c r="G50" s="57"/>
      <c r="H50" s="56"/>
      <c r="I50" s="57"/>
      <c r="J50" s="56"/>
      <c r="K50" s="58"/>
      <c r="L50" s="59"/>
      <c r="M50" s="60" t="s">
        <v>20</v>
      </c>
      <c r="P50" s="39">
        <f t="shared" si="15"/>
        <v>0</v>
      </c>
      <c r="R50" s="61" t="str">
        <f>Invulblad!A50</f>
        <v>Groep F</v>
      </c>
      <c r="S50" s="62"/>
      <c r="T50" s="62" t="s">
        <v>21</v>
      </c>
      <c r="U50" s="63" t="s">
        <v>22</v>
      </c>
      <c r="V50" s="63" t="s">
        <v>23</v>
      </c>
      <c r="W50" s="63" t="s">
        <v>24</v>
      </c>
      <c r="X50" s="63" t="s">
        <v>25</v>
      </c>
      <c r="Y50" s="63" t="s">
        <v>26</v>
      </c>
      <c r="Z50" s="63" t="s">
        <v>27</v>
      </c>
      <c r="AA50" s="63" t="s">
        <v>28</v>
      </c>
      <c r="AM50" s="40">
        <f t="shared" si="18"/>
        <v>0</v>
      </c>
    </row>
    <row r="51" spans="1:39">
      <c r="A51" s="64">
        <f>Toernooigegevens!B44</f>
        <v>11</v>
      </c>
      <c r="B51" s="65" t="str">
        <f>Toernooigegevens!C44</f>
        <v>zo</v>
      </c>
      <c r="C51" s="66">
        <f>Toernooigegevens!D44</f>
        <v>41440</v>
      </c>
      <c r="D51" s="314" t="str">
        <f>Toernooigegevens!E44</f>
        <v>24:00</v>
      </c>
      <c r="E51" s="67"/>
      <c r="F51" s="68" t="str">
        <f>Toernooigegevens!G44</f>
        <v>Argentinië</v>
      </c>
      <c r="G51" s="69">
        <v>2</v>
      </c>
      <c r="H51" s="70" t="s">
        <v>29</v>
      </c>
      <c r="I51" s="69">
        <v>1</v>
      </c>
      <c r="J51" s="68" t="str">
        <f>Toernooigegevens!I44</f>
        <v>Bosnië-Herzegovina</v>
      </c>
      <c r="K51" s="67"/>
      <c r="L51" s="59"/>
      <c r="M51" s="70" t="str">
        <f t="shared" ref="M51:M57" si="19">IF(AND(G51="",I51=""),"",IF(OR(G51="",I51=""),"FOUT",IF(G51&gt;I51,"1",IF(G51=I51,3,2))))</f>
        <v>1</v>
      </c>
      <c r="O51" s="39" t="str">
        <f>RIGHT(Q51)</f>
        <v>F</v>
      </c>
      <c r="P51" s="39">
        <f t="shared" si="15"/>
        <v>3</v>
      </c>
      <c r="Q51" s="39" t="str">
        <f>CONCATENATE(R51,RIGHT(R50,1))</f>
        <v>1F</v>
      </c>
      <c r="R51" s="71">
        <v>1</v>
      </c>
      <c r="S51" s="72" t="str">
        <f>INDEX('Poule berekeningen'!$C$57:$J$60,MATCH($R51,'Poule berekeningen'!$M$57:$M$60,0),1)</f>
        <v>Argentinië</v>
      </c>
      <c r="T51" s="72">
        <f>SUM(V51:X51)</f>
        <v>3</v>
      </c>
      <c r="U51" s="72">
        <f>INDEX('Poule berekeningen'!$C$57:$J$60,MATCH($R51,'Poule berekeningen'!$M$57:$M$60,0),2)</f>
        <v>9</v>
      </c>
      <c r="V51" s="72">
        <f>INDEX('Poule berekeningen'!$C$57:$J$60,MATCH($R51,'Poule berekeningen'!$M$57:$M$60,0),3)</f>
        <v>3</v>
      </c>
      <c r="W51" s="72">
        <f>INDEX('Poule berekeningen'!$C$57:$J$60,MATCH($R51,'Poule berekeningen'!$M$57:$M$60,0),4)</f>
        <v>0</v>
      </c>
      <c r="X51" s="72">
        <f>INDEX('Poule berekeningen'!$C$57:$J$60,MATCH($R51,'Poule berekeningen'!$M$57:$M$60,0),5)</f>
        <v>0</v>
      </c>
      <c r="Y51" s="72">
        <f>INDEX('Poule berekeningen'!$C$57:$J$60,MATCH($R51,'Poule berekeningen'!$M$57:$M$60,0),6)</f>
        <v>6</v>
      </c>
      <c r="Z51" s="72">
        <f>INDEX('Poule berekeningen'!$C$57:$J$60,MATCH($R51,'Poule berekeningen'!$M$57:$M$60,0),7)</f>
        <v>3</v>
      </c>
      <c r="AA51" s="72">
        <f>INDEX('Poule berekeningen'!$C$57:$J$60,MATCH($R51,'Poule berekeningen'!$M$57:$M$60,0),8)</f>
        <v>3</v>
      </c>
      <c r="AD51" s="40" t="str">
        <f t="shared" ref="AD51:AD57" si="20">CONCATENATE(G51," - ",I51)</f>
        <v>2 - 1</v>
      </c>
      <c r="AE51" s="41" t="str">
        <f t="shared" ref="AE51:AE57" si="21">M51</f>
        <v>1</v>
      </c>
      <c r="AM51" s="40">
        <f t="shared" si="18"/>
        <v>0</v>
      </c>
    </row>
    <row r="52" spans="1:39">
      <c r="A52" s="73">
        <f>Toernooigegevens!B45</f>
        <v>12</v>
      </c>
      <c r="B52" s="74" t="str">
        <f>Toernooigegevens!C45</f>
        <v>ma</v>
      </c>
      <c r="C52" s="75">
        <f>Toernooigegevens!D45</f>
        <v>41806</v>
      </c>
      <c r="D52" s="313">
        <f>Toernooigegevens!E45</f>
        <v>0.875</v>
      </c>
      <c r="E52" s="76"/>
      <c r="F52" s="77" t="str">
        <f>Toernooigegevens!G45</f>
        <v>Iran</v>
      </c>
      <c r="G52" s="78">
        <v>0</v>
      </c>
      <c r="H52" s="79" t="s">
        <v>29</v>
      </c>
      <c r="I52" s="78">
        <v>0</v>
      </c>
      <c r="J52" s="77" t="str">
        <f>Toernooigegevens!I45</f>
        <v>Nigeria</v>
      </c>
      <c r="K52" s="76"/>
      <c r="L52" s="59"/>
      <c r="M52" s="79">
        <f t="shared" si="19"/>
        <v>3</v>
      </c>
      <c r="O52" s="39" t="str">
        <f>RIGHT(Q52)</f>
        <v>F</v>
      </c>
      <c r="P52" s="39">
        <f t="shared" si="15"/>
        <v>3</v>
      </c>
      <c r="Q52" s="39" t="str">
        <f>CONCATENATE(R52,RIGHT(R50,1))</f>
        <v>2F</v>
      </c>
      <c r="R52" s="80">
        <v>2</v>
      </c>
      <c r="S52" s="81" t="str">
        <f>INDEX('Poule berekeningen'!$C$57:$J$60,MATCH($R52,'Poule berekeningen'!$M$57:$M$60,0),1)</f>
        <v>Nigeria</v>
      </c>
      <c r="T52" s="81">
        <f>SUM(V52:X52)</f>
        <v>3</v>
      </c>
      <c r="U52" s="81">
        <f>INDEX('Poule berekeningen'!$C$57:$J$60,MATCH($R52,'Poule berekeningen'!$M$57:$M$60,0),2)</f>
        <v>4</v>
      </c>
      <c r="V52" s="81">
        <f>INDEX('Poule berekeningen'!$C$57:$J$60,MATCH($R52,'Poule berekeningen'!$M$57:$M$60,0),3)</f>
        <v>1</v>
      </c>
      <c r="W52" s="81">
        <f>INDEX('Poule berekeningen'!$C$57:$J$60,MATCH($R52,'Poule berekeningen'!$M$57:$M$60,0),4)</f>
        <v>1</v>
      </c>
      <c r="X52" s="81">
        <f>INDEX('Poule berekeningen'!$C$57:$J$60,MATCH($R52,'Poule berekeningen'!$M$57:$M$60,0),5)</f>
        <v>1</v>
      </c>
      <c r="Y52" s="81">
        <f>INDEX('Poule berekeningen'!$C$57:$J$60,MATCH($R52,'Poule berekeningen'!$M$57:$M$60,0),6)</f>
        <v>3</v>
      </c>
      <c r="Z52" s="81">
        <f>INDEX('Poule berekeningen'!$C$57:$J$60,MATCH($R52,'Poule berekeningen'!$M$57:$M$60,0),7)</f>
        <v>3</v>
      </c>
      <c r="AA52" s="81">
        <f>INDEX('Poule berekeningen'!$C$57:$J$60,MATCH($R52,'Poule berekeningen'!$M$57:$M$60,0),8)</f>
        <v>0</v>
      </c>
      <c r="AD52" s="40" t="str">
        <f t="shared" si="20"/>
        <v>0 - 0</v>
      </c>
      <c r="AE52" s="41">
        <f t="shared" si="21"/>
        <v>3</v>
      </c>
      <c r="AM52" s="40">
        <f t="shared" si="18"/>
        <v>0</v>
      </c>
    </row>
    <row r="53" spans="1:39">
      <c r="A53" s="64">
        <f>Toernooigegevens!B46</f>
        <v>27</v>
      </c>
      <c r="B53" s="65" t="str">
        <f>Toernooigegevens!C46</f>
        <v>za</v>
      </c>
      <c r="C53" s="66">
        <f>Toernooigegevens!D46</f>
        <v>41446</v>
      </c>
      <c r="D53" s="314">
        <f>Toernooigegevens!E46</f>
        <v>0.75</v>
      </c>
      <c r="E53" s="67"/>
      <c r="F53" s="68" t="str">
        <f>Toernooigegevens!G46</f>
        <v>Argentinië</v>
      </c>
      <c r="G53" s="69">
        <v>1</v>
      </c>
      <c r="H53" s="70" t="s">
        <v>29</v>
      </c>
      <c r="I53" s="69">
        <v>0</v>
      </c>
      <c r="J53" s="68" t="str">
        <f>Toernooigegevens!I46</f>
        <v>Iran</v>
      </c>
      <c r="K53" s="67"/>
      <c r="L53" s="59"/>
      <c r="M53" s="70" t="str">
        <f t="shared" si="19"/>
        <v>1</v>
      </c>
      <c r="O53" s="39" t="str">
        <f>RIGHT(Q53)</f>
        <v>F</v>
      </c>
      <c r="P53" s="39">
        <f t="shared" si="15"/>
        <v>3</v>
      </c>
      <c r="Q53" s="39" t="str">
        <f>CONCATENATE(R53,RIGHT(R50,1))</f>
        <v>3F</v>
      </c>
      <c r="R53" s="71">
        <v>3</v>
      </c>
      <c r="S53" s="72" t="str">
        <f>INDEX('Poule berekeningen'!$C$57:$J$60,MATCH($R53,'Poule berekeningen'!$M$57:$M$60,0),1)</f>
        <v>Bosnië-Herzegovina</v>
      </c>
      <c r="T53" s="72">
        <f>SUM(V53:X53)</f>
        <v>3</v>
      </c>
      <c r="U53" s="72">
        <f>INDEX('Poule berekeningen'!$C$57:$J$60,MATCH($R53,'Poule berekeningen'!$M$57:$M$60,0),2)</f>
        <v>3</v>
      </c>
      <c r="V53" s="72">
        <f>INDEX('Poule berekeningen'!$C$57:$J$60,MATCH($R53,'Poule berekeningen'!$M$57:$M$60,0),3)</f>
        <v>1</v>
      </c>
      <c r="W53" s="72">
        <f>INDEX('Poule berekeningen'!$C$57:$J$60,MATCH($R53,'Poule berekeningen'!$M$57:$M$60,0),4)</f>
        <v>0</v>
      </c>
      <c r="X53" s="72">
        <f>INDEX('Poule berekeningen'!$C$57:$J$60,MATCH($R53,'Poule berekeningen'!$M$57:$M$60,0),5)</f>
        <v>2</v>
      </c>
      <c r="Y53" s="72">
        <f>INDEX('Poule berekeningen'!$C$57:$J$60,MATCH($R53,'Poule berekeningen'!$M$57:$M$60,0),6)</f>
        <v>4</v>
      </c>
      <c r="Z53" s="72">
        <f>INDEX('Poule berekeningen'!$C$57:$J$60,MATCH($R53,'Poule berekeningen'!$M$57:$M$60,0),7)</f>
        <v>4</v>
      </c>
      <c r="AA53" s="72">
        <f>INDEX('Poule berekeningen'!$C$57:$J$60,MATCH($R53,'Poule berekeningen'!$M$57:$M$60,0),8)</f>
        <v>0</v>
      </c>
      <c r="AD53" s="40" t="str">
        <f t="shared" si="20"/>
        <v>1 - 0</v>
      </c>
      <c r="AE53" s="41" t="str">
        <f t="shared" si="21"/>
        <v>1</v>
      </c>
      <c r="AM53" s="40">
        <f t="shared" si="18"/>
        <v>0</v>
      </c>
    </row>
    <row r="54" spans="1:39">
      <c r="A54" s="73">
        <f>Toernooigegevens!B47</f>
        <v>28</v>
      </c>
      <c r="B54" s="74" t="str">
        <f>Toernooigegevens!C47</f>
        <v>za</v>
      </c>
      <c r="C54" s="75">
        <f>Toernooigegevens!D47</f>
        <v>41446</v>
      </c>
      <c r="D54" s="313" t="str">
        <f>Toernooigegevens!E47</f>
        <v>24:00</v>
      </c>
      <c r="E54" s="76"/>
      <c r="F54" s="77" t="str">
        <f>Toernooigegevens!G47</f>
        <v>Nigeria</v>
      </c>
      <c r="G54" s="78">
        <v>1</v>
      </c>
      <c r="H54" s="79" t="s">
        <v>29</v>
      </c>
      <c r="I54" s="78">
        <v>0</v>
      </c>
      <c r="J54" s="77" t="str">
        <f>Toernooigegevens!I47</f>
        <v>Bosnië-Herzegovina</v>
      </c>
      <c r="K54" s="76"/>
      <c r="L54" s="59"/>
      <c r="M54" s="79" t="str">
        <f t="shared" si="19"/>
        <v>1</v>
      </c>
      <c r="O54" s="39" t="str">
        <f>RIGHT(Q54)</f>
        <v>F</v>
      </c>
      <c r="P54" s="39">
        <f t="shared" si="15"/>
        <v>3</v>
      </c>
      <c r="Q54" s="39" t="str">
        <f>CONCATENATE(R54,RIGHT(R50,1))</f>
        <v>4F</v>
      </c>
      <c r="R54" s="80">
        <v>4</v>
      </c>
      <c r="S54" s="81" t="str">
        <f>INDEX('Poule berekeningen'!$C$57:$J$60,MATCH($R54,'Poule berekeningen'!$M$57:$M$60,0),1)</f>
        <v>Iran</v>
      </c>
      <c r="T54" s="81">
        <f>SUM(V54:X54)</f>
        <v>3</v>
      </c>
      <c r="U54" s="81">
        <f>INDEX('Poule berekeningen'!$C$57:$J$60,MATCH($R54,'Poule berekeningen'!$M$57:$M$60,0),2)</f>
        <v>1</v>
      </c>
      <c r="V54" s="81">
        <f>INDEX('Poule berekeningen'!$C$57:$J$60,MATCH($R54,'Poule berekeningen'!$M$57:$M$60,0),3)</f>
        <v>0</v>
      </c>
      <c r="W54" s="81">
        <f>INDEX('Poule berekeningen'!$C$57:$J$60,MATCH($R54,'Poule berekeningen'!$M$57:$M$60,0),4)</f>
        <v>1</v>
      </c>
      <c r="X54" s="81">
        <f>INDEX('Poule berekeningen'!$C$57:$J$60,MATCH($R54,'Poule berekeningen'!$M$57:$M$60,0),5)</f>
        <v>2</v>
      </c>
      <c r="Y54" s="81">
        <f>INDEX('Poule berekeningen'!$C$57:$J$60,MATCH($R54,'Poule berekeningen'!$M$57:$M$60,0),6)</f>
        <v>1</v>
      </c>
      <c r="Z54" s="81">
        <f>INDEX('Poule berekeningen'!$C$57:$J$60,MATCH($R54,'Poule berekeningen'!$M$57:$M$60,0),7)</f>
        <v>4</v>
      </c>
      <c r="AA54" s="81">
        <f>INDEX('Poule berekeningen'!$C$57:$J$60,MATCH($R54,'Poule berekeningen'!$M$57:$M$60,0),8)</f>
        <v>-3</v>
      </c>
      <c r="AD54" s="40" t="str">
        <f t="shared" si="20"/>
        <v>1 - 0</v>
      </c>
      <c r="AE54" s="41" t="str">
        <f t="shared" si="21"/>
        <v>1</v>
      </c>
      <c r="AM54" s="40">
        <f t="shared" si="18"/>
        <v>0</v>
      </c>
    </row>
    <row r="55" spans="1:39">
      <c r="A55" s="64">
        <f>Toernooigegevens!B48</f>
        <v>44</v>
      </c>
      <c r="B55" s="65" t="str">
        <f>Toernooigegevens!C48</f>
        <v>wo</v>
      </c>
      <c r="C55" s="66">
        <f>Toernooigegevens!D48</f>
        <v>41815</v>
      </c>
      <c r="D55" s="314">
        <f>Toernooigegevens!E48</f>
        <v>0.75</v>
      </c>
      <c r="E55" s="67"/>
      <c r="F55" s="68" t="str">
        <f>Toernooigegevens!G48</f>
        <v>Bosnië-Herzegovina</v>
      </c>
      <c r="G55" s="69">
        <v>3</v>
      </c>
      <c r="H55" s="70" t="s">
        <v>29</v>
      </c>
      <c r="I55" s="69">
        <v>1</v>
      </c>
      <c r="J55" s="68" t="str">
        <f>Toernooigegevens!I48</f>
        <v>Iran</v>
      </c>
      <c r="K55" s="67"/>
      <c r="L55" s="59"/>
      <c r="M55" s="70" t="str">
        <f t="shared" si="19"/>
        <v>1</v>
      </c>
      <c r="P55" s="39">
        <f t="shared" si="15"/>
        <v>0</v>
      </c>
      <c r="R55" s="82" t="str">
        <f>IF(COUNT(G51:I56)=12,IF(COUNT(T51:T54)&lt;4,"Er is loting vereist in deze poule",""),"")</f>
        <v/>
      </c>
      <c r="S55" s="83"/>
      <c r="T55" s="83"/>
      <c r="U55" s="83"/>
      <c r="V55" s="83"/>
      <c r="W55" s="83"/>
      <c r="X55" s="83"/>
      <c r="Y55" s="83"/>
      <c r="Z55" s="83"/>
      <c r="AA55" s="83"/>
      <c r="AD55" s="40" t="str">
        <f t="shared" si="20"/>
        <v>3 - 1</v>
      </c>
      <c r="AE55" s="41" t="str">
        <f t="shared" si="21"/>
        <v>1</v>
      </c>
      <c r="AK55" s="347"/>
      <c r="AM55" s="40">
        <f t="shared" si="18"/>
        <v>0</v>
      </c>
    </row>
    <row r="56" spans="1:39">
      <c r="A56" s="73">
        <f>Toernooigegevens!B49</f>
        <v>43</v>
      </c>
      <c r="B56" s="74" t="str">
        <f>Toernooigegevens!C49</f>
        <v>wo</v>
      </c>
      <c r="C56" s="75">
        <f>Toernooigegevens!D49</f>
        <v>41815</v>
      </c>
      <c r="D56" s="313">
        <f>Toernooigegevens!E49</f>
        <v>0.75</v>
      </c>
      <c r="E56" s="76"/>
      <c r="F56" s="77" t="str">
        <f>Toernooigegevens!G49</f>
        <v>Nigeria</v>
      </c>
      <c r="G56" s="78">
        <v>2</v>
      </c>
      <c r="H56" s="79" t="s">
        <v>29</v>
      </c>
      <c r="I56" s="78">
        <v>3</v>
      </c>
      <c r="J56" s="77" t="str">
        <f>Toernooigegevens!I49</f>
        <v>Argentinië</v>
      </c>
      <c r="K56" s="76"/>
      <c r="L56" s="59"/>
      <c r="M56" s="79">
        <f t="shared" si="19"/>
        <v>2</v>
      </c>
      <c r="P56" s="39">
        <f t="shared" si="15"/>
        <v>0</v>
      </c>
      <c r="R56" s="84"/>
      <c r="S56" s="83"/>
      <c r="T56" s="83"/>
      <c r="U56" s="83"/>
      <c r="V56" s="83"/>
      <c r="W56" s="83"/>
      <c r="X56" s="83"/>
      <c r="Y56" s="83"/>
      <c r="Z56" s="83"/>
      <c r="AA56" s="83"/>
      <c r="AD56" s="40" t="str">
        <f t="shared" si="20"/>
        <v>2 - 3</v>
      </c>
      <c r="AE56" s="41">
        <f t="shared" si="21"/>
        <v>2</v>
      </c>
      <c r="AK56" s="348" t="s">
        <v>465</v>
      </c>
      <c r="AM56" s="40">
        <f t="shared" si="18"/>
        <v>0</v>
      </c>
    </row>
    <row r="57" spans="1:39">
      <c r="A57" s="85"/>
      <c r="B57" s="59"/>
      <c r="C57" s="86"/>
      <c r="D57" s="315"/>
      <c r="E57" s="87"/>
      <c r="F57" s="59"/>
      <c r="G57" s="85"/>
      <c r="H57" s="88"/>
      <c r="I57" s="85"/>
      <c r="J57" s="59"/>
      <c r="K57" s="87"/>
      <c r="L57" s="59"/>
      <c r="M57" s="88" t="str">
        <f t="shared" si="19"/>
        <v/>
      </c>
      <c r="P57" s="39">
        <f t="shared" si="15"/>
        <v>0</v>
      </c>
      <c r="R57" s="84"/>
      <c r="S57" s="83"/>
      <c r="T57" s="83"/>
      <c r="U57" s="83"/>
      <c r="V57" s="83"/>
      <c r="W57" s="83"/>
      <c r="X57" s="83"/>
      <c r="Y57" s="83"/>
      <c r="Z57" s="83"/>
      <c r="AA57" s="83"/>
      <c r="AD57" s="40" t="str">
        <f t="shared" si="20"/>
        <v xml:space="preserve"> - </v>
      </c>
      <c r="AE57" s="41" t="str">
        <f t="shared" si="21"/>
        <v/>
      </c>
      <c r="AK57" s="347" t="str">
        <f t="shared" ref="AK57:AK63" si="22">F76</f>
        <v>Brazilië</v>
      </c>
      <c r="AM57" s="40">
        <f t="shared" si="18"/>
        <v>0</v>
      </c>
    </row>
    <row r="58" spans="1:39">
      <c r="A58" s="55" t="s">
        <v>36</v>
      </c>
      <c r="B58" s="56"/>
      <c r="C58" s="56"/>
      <c r="D58" s="316"/>
      <c r="E58" s="56"/>
      <c r="F58" s="56"/>
      <c r="G58" s="57"/>
      <c r="H58" s="56"/>
      <c r="I58" s="57"/>
      <c r="J58" s="56"/>
      <c r="K58" s="58"/>
      <c r="L58" s="59"/>
      <c r="M58" s="60" t="s">
        <v>20</v>
      </c>
      <c r="P58" s="39">
        <f t="shared" si="15"/>
        <v>0</v>
      </c>
      <c r="R58" s="61" t="str">
        <f>Invulblad!A58</f>
        <v>Groep G</v>
      </c>
      <c r="S58" s="62"/>
      <c r="T58" s="62" t="s">
        <v>21</v>
      </c>
      <c r="U58" s="63" t="s">
        <v>22</v>
      </c>
      <c r="V58" s="63" t="s">
        <v>23</v>
      </c>
      <c r="W58" s="63" t="s">
        <v>24</v>
      </c>
      <c r="X58" s="63" t="s">
        <v>25</v>
      </c>
      <c r="Y58" s="63" t="s">
        <v>26</v>
      </c>
      <c r="Z58" s="63" t="s">
        <v>27</v>
      </c>
      <c r="AA58" s="63" t="s">
        <v>28</v>
      </c>
      <c r="AK58" s="347" t="str">
        <f t="shared" si="22"/>
        <v>Colombia</v>
      </c>
      <c r="AM58" s="40">
        <f t="shared" si="18"/>
        <v>0</v>
      </c>
    </row>
    <row r="59" spans="1:39">
      <c r="A59" s="64">
        <f>Toernooigegevens!B52</f>
        <v>13</v>
      </c>
      <c r="B59" s="65" t="str">
        <f>Toernooigegevens!C52</f>
        <v>ma</v>
      </c>
      <c r="C59" s="66">
        <f>Toernooigegevens!D52</f>
        <v>41441</v>
      </c>
      <c r="D59" s="314" t="str">
        <f>Toernooigegevens!E52</f>
        <v>24:00</v>
      </c>
      <c r="E59" s="67"/>
      <c r="F59" s="68" t="str">
        <f>Toernooigegevens!G52</f>
        <v>Duitsland</v>
      </c>
      <c r="G59" s="69">
        <v>4</v>
      </c>
      <c r="H59" s="70" t="s">
        <v>29</v>
      </c>
      <c r="I59" s="69">
        <v>0</v>
      </c>
      <c r="J59" s="68" t="str">
        <f>Toernooigegevens!I52</f>
        <v>Portugal</v>
      </c>
      <c r="K59" s="67"/>
      <c r="L59" s="59"/>
      <c r="M59" s="70" t="str">
        <f t="shared" ref="M59:M64" si="23">IF(AND(G59="",I59=""),"",IF(OR(G59="",I59=""),"FOUT",IF(G59&gt;I59,"1",IF(G59=I59,3,2))))</f>
        <v>1</v>
      </c>
      <c r="O59" s="39" t="str">
        <f>RIGHT(Q59)</f>
        <v>G</v>
      </c>
      <c r="P59" s="39">
        <f t="shared" si="15"/>
        <v>3</v>
      </c>
      <c r="Q59" s="39" t="str">
        <f>CONCATENATE(R59,RIGHT(R58,1))</f>
        <v>1G</v>
      </c>
      <c r="R59" s="71">
        <v>1</v>
      </c>
      <c r="S59" s="72" t="str">
        <f>INDEX('Poule berekeningen'!$C$65:$J$68,MATCH($R59,'Poule berekeningen'!$M$65:$M$68,0),1)</f>
        <v>Duitsland</v>
      </c>
      <c r="T59" s="72">
        <f>SUM(V59:X59)</f>
        <v>3</v>
      </c>
      <c r="U59" s="72">
        <f>INDEX('Poule berekeningen'!$C$65:$J$68,MATCH($R59,'Poule berekeningen'!$M$65:$M$68,0),2)</f>
        <v>7</v>
      </c>
      <c r="V59" s="72">
        <f>INDEX('Poule berekeningen'!$C$65:$J$68,MATCH($R59,'Poule berekeningen'!$M$65:$M$68,0),3)</f>
        <v>2</v>
      </c>
      <c r="W59" s="72">
        <f>INDEX('Poule berekeningen'!$C$65:$J$68,MATCH($R59,'Poule berekeningen'!$M$65:$M$68,0),4)</f>
        <v>1</v>
      </c>
      <c r="X59" s="72">
        <f>INDEX('Poule berekeningen'!$C$65:$J$68,MATCH($R59,'Poule berekeningen'!$M$65:$M$68,0),5)</f>
        <v>0</v>
      </c>
      <c r="Y59" s="72">
        <f>INDEX('Poule berekeningen'!$C$65:$J$68,MATCH($R59,'Poule berekeningen'!$M$65:$M$68,0),6)</f>
        <v>7</v>
      </c>
      <c r="Z59" s="72">
        <f>INDEX('Poule berekeningen'!$C$65:$J$68,MATCH($R59,'Poule berekeningen'!$M$65:$M$68,0),7)</f>
        <v>2</v>
      </c>
      <c r="AA59" s="72">
        <f>INDEX('Poule berekeningen'!$C$65:$J$68,MATCH($R59,'Poule berekeningen'!$M$65:$M$68,0),8)</f>
        <v>5</v>
      </c>
      <c r="AD59" s="40" t="str">
        <f t="shared" ref="AD59:AD64" si="24">CONCATENATE(G59," - ",I59)</f>
        <v>4 - 0</v>
      </c>
      <c r="AE59" s="41" t="str">
        <f t="shared" ref="AE59:AE64" si="25">M59</f>
        <v>1</v>
      </c>
      <c r="AK59" s="347" t="str">
        <f t="shared" si="22"/>
        <v>Nederland</v>
      </c>
      <c r="AM59" s="40">
        <f t="shared" si="18"/>
        <v>0</v>
      </c>
    </row>
    <row r="60" spans="1:39">
      <c r="A60" s="73">
        <f>Toernooigegevens!B53</f>
        <v>14</v>
      </c>
      <c r="B60" s="74" t="str">
        <f>Toernooigegevens!C53</f>
        <v>ma</v>
      </c>
      <c r="C60" s="75">
        <f>Toernooigegevens!D53</f>
        <v>41441</v>
      </c>
      <c r="D60" s="313">
        <f>Toernooigegevens!E53</f>
        <v>0.75</v>
      </c>
      <c r="E60" s="76"/>
      <c r="F60" s="77" t="str">
        <f>Toernooigegevens!G53</f>
        <v>Ghana</v>
      </c>
      <c r="G60" s="78">
        <v>1</v>
      </c>
      <c r="H60" s="79" t="s">
        <v>29</v>
      </c>
      <c r="I60" s="78">
        <v>2</v>
      </c>
      <c r="J60" s="77" t="str">
        <f>Toernooigegevens!I53</f>
        <v>USA</v>
      </c>
      <c r="K60" s="76"/>
      <c r="L60" s="59"/>
      <c r="M60" s="79">
        <f t="shared" si="23"/>
        <v>2</v>
      </c>
      <c r="O60" s="39" t="str">
        <f>RIGHT(Q60)</f>
        <v>G</v>
      </c>
      <c r="P60" s="39">
        <f t="shared" si="15"/>
        <v>3</v>
      </c>
      <c r="Q60" s="39" t="str">
        <f>CONCATENATE(R60,RIGHT(R58,1))</f>
        <v>2G</v>
      </c>
      <c r="R60" s="80">
        <v>2</v>
      </c>
      <c r="S60" s="81" t="str">
        <f>INDEX('Poule berekeningen'!$C$65:$J$68,MATCH($R60,'Poule berekeningen'!$M$65:$M$68,0),1)</f>
        <v>USA</v>
      </c>
      <c r="T60" s="81">
        <f>SUM(V60:X60)</f>
        <v>3</v>
      </c>
      <c r="U60" s="81">
        <f>INDEX('Poule berekeningen'!$C$65:$J$68,MATCH($R60,'Poule berekeningen'!$M$65:$M$68,0),2)</f>
        <v>4</v>
      </c>
      <c r="V60" s="81">
        <f>INDEX('Poule berekeningen'!$C$65:$J$68,MATCH($R60,'Poule berekeningen'!$M$65:$M$68,0),3)</f>
        <v>1</v>
      </c>
      <c r="W60" s="81">
        <f>INDEX('Poule berekeningen'!$C$65:$J$68,MATCH($R60,'Poule berekeningen'!$M$65:$M$68,0),4)</f>
        <v>1</v>
      </c>
      <c r="X60" s="81">
        <f>INDEX('Poule berekeningen'!$C$65:$J$68,MATCH($R60,'Poule berekeningen'!$M$65:$M$68,0),5)</f>
        <v>1</v>
      </c>
      <c r="Y60" s="81">
        <f>INDEX('Poule berekeningen'!$C$65:$J$68,MATCH($R60,'Poule berekeningen'!$M$65:$M$68,0),6)</f>
        <v>4</v>
      </c>
      <c r="Z60" s="81">
        <f>INDEX('Poule berekeningen'!$C$65:$J$68,MATCH($R60,'Poule berekeningen'!$M$65:$M$68,0),7)</f>
        <v>4</v>
      </c>
      <c r="AA60" s="81">
        <f>INDEX('Poule berekeningen'!$C$65:$J$68,MATCH($R60,'Poule berekeningen'!$M$65:$M$68,0),8)</f>
        <v>0</v>
      </c>
      <c r="AD60" s="40" t="str">
        <f t="shared" si="24"/>
        <v>1 - 2</v>
      </c>
      <c r="AE60" s="41">
        <f t="shared" si="25"/>
        <v>2</v>
      </c>
      <c r="AK60" s="347" t="str">
        <f t="shared" si="22"/>
        <v>Costa Rica</v>
      </c>
      <c r="AM60" s="40">
        <f t="shared" si="18"/>
        <v>0</v>
      </c>
    </row>
    <row r="61" spans="1:39">
      <c r="A61" s="64">
        <f>Toernooigegevens!B54</f>
        <v>29</v>
      </c>
      <c r="B61" s="65" t="str">
        <f>Toernooigegevens!C54</f>
        <v>za</v>
      </c>
      <c r="C61" s="66">
        <f>Toernooigegevens!D54</f>
        <v>41446</v>
      </c>
      <c r="D61" s="314">
        <f>Toernooigegevens!E54</f>
        <v>0.875</v>
      </c>
      <c r="E61" s="67"/>
      <c r="F61" s="68" t="str">
        <f>Toernooigegevens!G54</f>
        <v>Duitsland</v>
      </c>
      <c r="G61" s="69">
        <v>2</v>
      </c>
      <c r="H61" s="70" t="s">
        <v>29</v>
      </c>
      <c r="I61" s="69">
        <v>2</v>
      </c>
      <c r="J61" s="68" t="str">
        <f>Toernooigegevens!I54</f>
        <v>Ghana</v>
      </c>
      <c r="K61" s="67"/>
      <c r="L61" s="59"/>
      <c r="M61" s="70">
        <f t="shared" si="23"/>
        <v>3</v>
      </c>
      <c r="O61" s="39" t="str">
        <f>RIGHT(Q61)</f>
        <v>G</v>
      </c>
      <c r="P61" s="39">
        <f t="shared" si="15"/>
        <v>3</v>
      </c>
      <c r="Q61" s="39" t="str">
        <f>CONCATENATE(R61,RIGHT(R58,1))</f>
        <v>3G</v>
      </c>
      <c r="R61" s="71">
        <v>3</v>
      </c>
      <c r="S61" s="72" t="str">
        <f>INDEX('Poule berekeningen'!$C$65:$J$68,MATCH($R61,'Poule berekeningen'!$M$65:$M$68,0),1)</f>
        <v>Portugal</v>
      </c>
      <c r="T61" s="72">
        <f>SUM(V61:X61)</f>
        <v>3</v>
      </c>
      <c r="U61" s="72">
        <f>INDEX('Poule berekeningen'!$C$65:$J$68,MATCH($R61,'Poule berekeningen'!$M$65:$M$68,0),2)</f>
        <v>4</v>
      </c>
      <c r="V61" s="72">
        <f>INDEX('Poule berekeningen'!$C$65:$J$68,MATCH($R61,'Poule berekeningen'!$M$65:$M$68,0),3)</f>
        <v>1</v>
      </c>
      <c r="W61" s="72">
        <f>INDEX('Poule berekeningen'!$C$65:$J$68,MATCH($R61,'Poule berekeningen'!$M$65:$M$68,0),4)</f>
        <v>1</v>
      </c>
      <c r="X61" s="72">
        <f>INDEX('Poule berekeningen'!$C$65:$J$68,MATCH($R61,'Poule berekeningen'!$M$65:$M$68,0),5)</f>
        <v>1</v>
      </c>
      <c r="Y61" s="72">
        <f>INDEX('Poule berekeningen'!$C$65:$J$68,MATCH($R61,'Poule berekeningen'!$M$65:$M$68,0),6)</f>
        <v>4</v>
      </c>
      <c r="Z61" s="72">
        <f>INDEX('Poule berekeningen'!$C$65:$J$68,MATCH($R61,'Poule berekeningen'!$M$65:$M$68,0),7)</f>
        <v>7</v>
      </c>
      <c r="AA61" s="72">
        <f>INDEX('Poule berekeningen'!$C$65:$J$68,MATCH($R61,'Poule berekeningen'!$M$65:$M$68,0),8)</f>
        <v>-3</v>
      </c>
      <c r="AD61" s="40" t="str">
        <f t="shared" si="24"/>
        <v>2 - 2</v>
      </c>
      <c r="AE61" s="41">
        <f t="shared" si="25"/>
        <v>3</v>
      </c>
      <c r="AK61" s="347" t="str">
        <f t="shared" si="22"/>
        <v>Frankrijk</v>
      </c>
      <c r="AM61" s="40">
        <f t="shared" si="18"/>
        <v>0</v>
      </c>
    </row>
    <row r="62" spans="1:39">
      <c r="A62" s="73">
        <f>Toernooigegevens!B55</f>
        <v>30</v>
      </c>
      <c r="B62" s="74" t="str">
        <f>Toernooigegevens!C55</f>
        <v>zo</v>
      </c>
      <c r="C62" s="75">
        <f>Toernooigegevens!D55</f>
        <v>41812</v>
      </c>
      <c r="D62" s="313" t="str">
        <f>Toernooigegevens!E55</f>
        <v>24:00</v>
      </c>
      <c r="E62" s="76"/>
      <c r="F62" s="77" t="str">
        <f>Toernooigegevens!G55</f>
        <v>USA</v>
      </c>
      <c r="G62" s="78">
        <v>2</v>
      </c>
      <c r="H62" s="79" t="s">
        <v>29</v>
      </c>
      <c r="I62" s="78">
        <v>2</v>
      </c>
      <c r="J62" s="77" t="str">
        <f>Toernooigegevens!I55</f>
        <v>Portugal</v>
      </c>
      <c r="K62" s="76"/>
      <c r="L62" s="59"/>
      <c r="M62" s="79">
        <f t="shared" si="23"/>
        <v>3</v>
      </c>
      <c r="O62" s="39" t="str">
        <f>RIGHT(Q62)</f>
        <v>G</v>
      </c>
      <c r="P62" s="39">
        <f t="shared" si="15"/>
        <v>3</v>
      </c>
      <c r="Q62" s="39" t="str">
        <f>CONCATENATE(R62,RIGHT(R58,1))</f>
        <v>4G</v>
      </c>
      <c r="R62" s="80">
        <v>4</v>
      </c>
      <c r="S62" s="81" t="str">
        <f>INDEX('Poule berekeningen'!$C$65:$J$68,MATCH($R62,'Poule berekeningen'!$M$65:$M$68,0),1)</f>
        <v>Ghana</v>
      </c>
      <c r="T62" s="81">
        <f>SUM(V62:X62)</f>
        <v>3</v>
      </c>
      <c r="U62" s="81">
        <f>INDEX('Poule berekeningen'!$C$65:$J$68,MATCH($R62,'Poule berekeningen'!$M$65:$M$68,0),2)</f>
        <v>1</v>
      </c>
      <c r="V62" s="81">
        <f>INDEX('Poule berekeningen'!$C$65:$J$68,MATCH($R62,'Poule berekeningen'!$M$65:$M$68,0),3)</f>
        <v>0</v>
      </c>
      <c r="W62" s="81">
        <f>INDEX('Poule berekeningen'!$C$65:$J$68,MATCH($R62,'Poule berekeningen'!$M$65:$M$68,0),4)</f>
        <v>1</v>
      </c>
      <c r="X62" s="81">
        <f>INDEX('Poule berekeningen'!$C$65:$J$68,MATCH($R62,'Poule berekeningen'!$M$65:$M$68,0),5)</f>
        <v>2</v>
      </c>
      <c r="Y62" s="81">
        <f>INDEX('Poule berekeningen'!$C$65:$J$68,MATCH($R62,'Poule berekeningen'!$M$65:$M$68,0),6)</f>
        <v>4</v>
      </c>
      <c r="Z62" s="81">
        <f>INDEX('Poule berekeningen'!$C$65:$J$68,MATCH($R62,'Poule berekeningen'!$M$65:$M$68,0),7)</f>
        <v>6</v>
      </c>
      <c r="AA62" s="81">
        <f>INDEX('Poule berekeningen'!$C$65:$J$68,MATCH($R62,'Poule berekeningen'!$M$65:$M$68,0),8)</f>
        <v>-2</v>
      </c>
      <c r="AD62" s="40" t="str">
        <f t="shared" si="24"/>
        <v>2 - 2</v>
      </c>
      <c r="AE62" s="41">
        <f t="shared" si="25"/>
        <v>3</v>
      </c>
      <c r="AK62" s="347" t="str">
        <f t="shared" si="22"/>
        <v>Duitsland</v>
      </c>
      <c r="AM62" s="40">
        <f t="shared" si="18"/>
        <v>0</v>
      </c>
    </row>
    <row r="63" spans="1:39">
      <c r="A63" s="64">
        <f>Toernooigegevens!B56</f>
        <v>46</v>
      </c>
      <c r="B63" s="65" t="str">
        <f>Toernooigegevens!C56</f>
        <v>do</v>
      </c>
      <c r="C63" s="66">
        <f>Toernooigegevens!D56</f>
        <v>41816</v>
      </c>
      <c r="D63" s="314">
        <f>Toernooigegevens!E56</f>
        <v>0.75</v>
      </c>
      <c r="E63" s="67"/>
      <c r="F63" s="68" t="str">
        <f>Toernooigegevens!G56</f>
        <v>Portugal</v>
      </c>
      <c r="G63" s="69">
        <v>2</v>
      </c>
      <c r="H63" s="70" t="s">
        <v>29</v>
      </c>
      <c r="I63" s="69">
        <v>1</v>
      </c>
      <c r="J63" s="68" t="str">
        <f>Toernooigegevens!I56</f>
        <v>Ghana</v>
      </c>
      <c r="K63" s="67"/>
      <c r="L63" s="59"/>
      <c r="M63" s="70" t="str">
        <f t="shared" si="23"/>
        <v>1</v>
      </c>
      <c r="P63" s="39">
        <f t="shared" si="15"/>
        <v>0</v>
      </c>
      <c r="R63" s="82" t="str">
        <f>IF(COUNT(G59:I64)=12,IF(COUNT(T59:T62)&lt;4,"Er is loting vereist in deze poule",""),"")</f>
        <v/>
      </c>
      <c r="S63" s="83"/>
      <c r="T63" s="83"/>
      <c r="U63" s="83"/>
      <c r="V63" s="83"/>
      <c r="W63" s="83"/>
      <c r="X63" s="83"/>
      <c r="Y63" s="83"/>
      <c r="Z63" s="83"/>
      <c r="AA63" s="83"/>
      <c r="AD63" s="40" t="str">
        <f t="shared" si="24"/>
        <v>2 - 1</v>
      </c>
      <c r="AE63" s="41" t="str">
        <f t="shared" si="25"/>
        <v>1</v>
      </c>
      <c r="AK63" s="347" t="str">
        <f t="shared" si="22"/>
        <v>Argentinië</v>
      </c>
      <c r="AM63" s="40">
        <f t="shared" si="18"/>
        <v>0</v>
      </c>
    </row>
    <row r="64" spans="1:39">
      <c r="A64" s="73">
        <f>Toernooigegevens!B57</f>
        <v>45</v>
      </c>
      <c r="B64" s="74" t="str">
        <f>Toernooigegevens!C57</f>
        <v>do</v>
      </c>
      <c r="C64" s="75">
        <f>Toernooigegevens!D57</f>
        <v>41816</v>
      </c>
      <c r="D64" s="313">
        <f>Toernooigegevens!E57</f>
        <v>0.75</v>
      </c>
      <c r="E64" s="76"/>
      <c r="F64" s="77" t="str">
        <f>Toernooigegevens!G57</f>
        <v>USA</v>
      </c>
      <c r="G64" s="78">
        <v>0</v>
      </c>
      <c r="H64" s="79" t="s">
        <v>29</v>
      </c>
      <c r="I64" s="78">
        <v>1</v>
      </c>
      <c r="J64" s="77" t="str">
        <f>Toernooigegevens!I57</f>
        <v>Duitsland</v>
      </c>
      <c r="K64" s="76"/>
      <c r="L64" s="59"/>
      <c r="M64" s="79">
        <f t="shared" si="23"/>
        <v>2</v>
      </c>
      <c r="P64" s="39">
        <f t="shared" si="15"/>
        <v>0</v>
      </c>
      <c r="R64" s="84"/>
      <c r="S64" s="83"/>
      <c r="T64" s="83"/>
      <c r="U64" s="83"/>
      <c r="V64" s="83"/>
      <c r="W64" s="83"/>
      <c r="X64" s="83"/>
      <c r="Y64" s="83"/>
      <c r="Z64" s="83"/>
      <c r="AA64" s="83"/>
      <c r="AD64" s="40" t="str">
        <f t="shared" si="24"/>
        <v>0 - 1</v>
      </c>
      <c r="AE64" s="41">
        <f t="shared" si="25"/>
        <v>2</v>
      </c>
      <c r="AK64" s="347" t="str">
        <f>F83</f>
        <v>België</v>
      </c>
      <c r="AM64" s="40">
        <f t="shared" si="18"/>
        <v>0</v>
      </c>
    </row>
    <row r="65" spans="1:39">
      <c r="A65" s="85"/>
      <c r="B65" s="59"/>
      <c r="C65" s="86"/>
      <c r="D65" s="315"/>
      <c r="E65" s="87"/>
      <c r="F65" s="59"/>
      <c r="G65" s="85"/>
      <c r="H65" s="88"/>
      <c r="I65" s="85"/>
      <c r="J65" s="59"/>
      <c r="K65" s="87"/>
      <c r="L65" s="59"/>
      <c r="M65" s="88"/>
      <c r="P65" s="39">
        <f t="shared" si="15"/>
        <v>0</v>
      </c>
      <c r="R65" s="84"/>
      <c r="S65" s="83"/>
      <c r="T65" s="83"/>
      <c r="U65" s="83"/>
      <c r="V65" s="83"/>
      <c r="W65" s="83"/>
      <c r="X65" s="83"/>
      <c r="Y65" s="83"/>
      <c r="Z65" s="83"/>
      <c r="AA65" s="83"/>
      <c r="AK65" s="40" t="str">
        <f t="shared" ref="AK65:AK71" si="26">J76</f>
        <v>Chili</v>
      </c>
      <c r="AM65" s="40">
        <f t="shared" si="18"/>
        <v>0</v>
      </c>
    </row>
    <row r="66" spans="1:39">
      <c r="A66" s="55" t="s">
        <v>37</v>
      </c>
      <c r="B66" s="56"/>
      <c r="C66" s="56"/>
      <c r="D66" s="316"/>
      <c r="E66" s="56"/>
      <c r="F66" s="56"/>
      <c r="G66" s="57"/>
      <c r="H66" s="56"/>
      <c r="I66" s="57"/>
      <c r="J66" s="56"/>
      <c r="K66" s="58"/>
      <c r="L66" s="59"/>
      <c r="M66" s="60" t="s">
        <v>20</v>
      </c>
      <c r="P66" s="39">
        <f t="shared" si="15"/>
        <v>0</v>
      </c>
      <c r="R66" s="61" t="str">
        <f>Invulblad!A66</f>
        <v>Groep H</v>
      </c>
      <c r="S66" s="62"/>
      <c r="T66" s="62" t="s">
        <v>21</v>
      </c>
      <c r="U66" s="63" t="s">
        <v>22</v>
      </c>
      <c r="V66" s="63" t="s">
        <v>23</v>
      </c>
      <c r="W66" s="63" t="s">
        <v>24</v>
      </c>
      <c r="X66" s="63" t="s">
        <v>25</v>
      </c>
      <c r="Y66" s="63" t="s">
        <v>26</v>
      </c>
      <c r="Z66" s="63" t="s">
        <v>27</v>
      </c>
      <c r="AA66" s="63" t="s">
        <v>28</v>
      </c>
      <c r="AK66" s="40" t="str">
        <f t="shared" si="26"/>
        <v>Uruguay</v>
      </c>
      <c r="AM66" s="40">
        <f t="shared" si="18"/>
        <v>0</v>
      </c>
    </row>
    <row r="67" spans="1:39">
      <c r="A67" s="64">
        <f>Toernooigegevens!B60</f>
        <v>15</v>
      </c>
      <c r="B67" s="65" t="str">
        <f>Toernooigegevens!C60</f>
        <v>di</v>
      </c>
      <c r="C67" s="66">
        <f>Toernooigegevens!D60</f>
        <v>41807</v>
      </c>
      <c r="D67" s="314">
        <f>Toernooigegevens!E60</f>
        <v>0.75</v>
      </c>
      <c r="E67" s="67"/>
      <c r="F67" s="68" t="str">
        <f>Toernooigegevens!G60</f>
        <v>België</v>
      </c>
      <c r="G67" s="69">
        <v>2</v>
      </c>
      <c r="H67" s="70" t="s">
        <v>29</v>
      </c>
      <c r="I67" s="69">
        <v>1</v>
      </c>
      <c r="J67" s="68" t="str">
        <f>Toernooigegevens!I60</f>
        <v>Algerije</v>
      </c>
      <c r="K67" s="67"/>
      <c r="L67" s="59"/>
      <c r="M67" s="70" t="str">
        <f t="shared" ref="M67:M72" si="27">IF(AND(G67="",I67=""),"",IF(OR(G67="",I67=""),"FOUT",IF(G67&gt;I67,"1",IF(G67=I67,3,2))))</f>
        <v>1</v>
      </c>
      <c r="O67" s="39" t="str">
        <f>RIGHT(Q67)</f>
        <v>H</v>
      </c>
      <c r="P67" s="39">
        <f t="shared" si="15"/>
        <v>3</v>
      </c>
      <c r="Q67" s="39" t="str">
        <f>CONCATENATE(R67,RIGHT(R66,1))</f>
        <v>1H</v>
      </c>
      <c r="R67" s="71">
        <v>1</v>
      </c>
      <c r="S67" s="72" t="str">
        <f>INDEX('Poule berekeningen'!$C$73:$J$76,MATCH($R67,'Poule berekeningen'!$M$73:$M$76,0),1)</f>
        <v>België</v>
      </c>
      <c r="T67" s="72">
        <f>SUM(V67:X67)</f>
        <v>3</v>
      </c>
      <c r="U67" s="72">
        <f>INDEX('Poule berekeningen'!$C$73:$J$76,MATCH($R67,'Poule berekeningen'!$M$73:$M$76,0),2)</f>
        <v>9</v>
      </c>
      <c r="V67" s="72">
        <f>INDEX('Poule berekeningen'!$C$73:$J$76,MATCH($R67,'Poule berekeningen'!$M$73:$M$76,0),3)</f>
        <v>3</v>
      </c>
      <c r="W67" s="72">
        <f>INDEX('Poule berekeningen'!$C$73:$J$76,MATCH($R67,'Poule berekeningen'!$M$73:$M$76,0),4)</f>
        <v>0</v>
      </c>
      <c r="X67" s="72">
        <f>INDEX('Poule berekeningen'!$C$73:$J$76,MATCH($R67,'Poule berekeningen'!$M$73:$M$76,0),5)</f>
        <v>0</v>
      </c>
      <c r="Y67" s="72">
        <f>INDEX('Poule berekeningen'!$C$73:$J$76,MATCH($R67,'Poule berekeningen'!$M$73:$M$76,0),6)</f>
        <v>4</v>
      </c>
      <c r="Z67" s="72">
        <f>INDEX('Poule berekeningen'!$C$73:$J$76,MATCH($R67,'Poule berekeningen'!$M$73:$M$76,0),7)</f>
        <v>1</v>
      </c>
      <c r="AA67" s="72">
        <f>INDEX('Poule berekeningen'!$C$73:$J$76,MATCH($R67,'Poule berekeningen'!$M$73:$M$76,0),8)</f>
        <v>3</v>
      </c>
      <c r="AD67" s="40" t="str">
        <f t="shared" ref="AD67:AD72" si="28">CONCATENATE(G67," - ",I67)</f>
        <v>2 - 1</v>
      </c>
      <c r="AE67" s="41" t="str">
        <f t="shared" ref="AE67:AE72" si="29">M67</f>
        <v>1</v>
      </c>
      <c r="AK67" s="40" t="str">
        <f t="shared" si="26"/>
        <v>Mexico</v>
      </c>
      <c r="AM67" s="40">
        <f t="shared" si="18"/>
        <v>0</v>
      </c>
    </row>
    <row r="68" spans="1:39">
      <c r="A68" s="73">
        <f>Toernooigegevens!B61</f>
        <v>16</v>
      </c>
      <c r="B68" s="74" t="str">
        <f>Toernooigegevens!C61</f>
        <v>di</v>
      </c>
      <c r="C68" s="75">
        <f>Toernooigegevens!D61</f>
        <v>41807</v>
      </c>
      <c r="D68" s="313" t="str">
        <f>Toernooigegevens!E61</f>
        <v>24:00</v>
      </c>
      <c r="E68" s="76"/>
      <c r="F68" s="77" t="str">
        <f>Toernooigegevens!G61</f>
        <v>Rusland</v>
      </c>
      <c r="G68" s="78">
        <v>1</v>
      </c>
      <c r="H68" s="79" t="s">
        <v>29</v>
      </c>
      <c r="I68" s="78">
        <v>1</v>
      </c>
      <c r="J68" s="77" t="str">
        <f>Toernooigegevens!I61</f>
        <v>Zuid-Korea</v>
      </c>
      <c r="K68" s="76"/>
      <c r="L68" s="59"/>
      <c r="M68" s="79">
        <f t="shared" si="27"/>
        <v>3</v>
      </c>
      <c r="O68" s="39" t="str">
        <f>RIGHT(Q68)</f>
        <v>H</v>
      </c>
      <c r="P68" s="39">
        <f t="shared" si="15"/>
        <v>3</v>
      </c>
      <c r="Q68" s="39" t="str">
        <f>CONCATENATE(R68,RIGHT(R66,1))</f>
        <v>2H</v>
      </c>
      <c r="R68" s="80">
        <v>2</v>
      </c>
      <c r="S68" s="81" t="str">
        <f>INDEX('Poule berekeningen'!$C$73:$J$76,MATCH($R68,'Poule berekeningen'!$M$73:$M$76,0),1)</f>
        <v>Algerije</v>
      </c>
      <c r="T68" s="81">
        <f>SUM(V68:X68)</f>
        <v>3</v>
      </c>
      <c r="U68" s="81">
        <f>INDEX('Poule berekeningen'!$C$73:$J$76,MATCH($R68,'Poule berekeningen'!$M$73:$M$76,0),2)</f>
        <v>4</v>
      </c>
      <c r="V68" s="81">
        <f>INDEX('Poule berekeningen'!$C$73:$J$76,MATCH($R68,'Poule berekeningen'!$M$73:$M$76,0),3)</f>
        <v>1</v>
      </c>
      <c r="W68" s="81">
        <f>INDEX('Poule berekeningen'!$C$73:$J$76,MATCH($R68,'Poule berekeningen'!$M$73:$M$76,0),4)</f>
        <v>1</v>
      </c>
      <c r="X68" s="81">
        <f>INDEX('Poule berekeningen'!$C$73:$J$76,MATCH($R68,'Poule berekeningen'!$M$73:$M$76,0),5)</f>
        <v>1</v>
      </c>
      <c r="Y68" s="81">
        <f>INDEX('Poule berekeningen'!$C$73:$J$76,MATCH($R68,'Poule berekeningen'!$M$73:$M$76,0),6)</f>
        <v>6</v>
      </c>
      <c r="Z68" s="81">
        <f>INDEX('Poule berekeningen'!$C$73:$J$76,MATCH($R68,'Poule berekeningen'!$M$73:$M$76,0),7)</f>
        <v>5</v>
      </c>
      <c r="AA68" s="81">
        <f>INDEX('Poule berekeningen'!$C$73:$J$76,MATCH($R68,'Poule berekeningen'!$M$73:$M$76,0),8)</f>
        <v>1</v>
      </c>
      <c r="AD68" s="40" t="str">
        <f t="shared" si="28"/>
        <v>1 - 1</v>
      </c>
      <c r="AE68" s="41">
        <f t="shared" si="29"/>
        <v>3</v>
      </c>
      <c r="AK68" s="40" t="str">
        <f t="shared" si="26"/>
        <v>Griekenland</v>
      </c>
      <c r="AM68" s="40">
        <f t="shared" si="18"/>
        <v>0</v>
      </c>
    </row>
    <row r="69" spans="1:39">
      <c r="A69" s="64">
        <f>Toernooigegevens!B62</f>
        <v>31</v>
      </c>
      <c r="B69" s="65" t="str">
        <f>Toernooigegevens!C62</f>
        <v>zo</v>
      </c>
      <c r="C69" s="66">
        <f>Toernooigegevens!D62</f>
        <v>41812</v>
      </c>
      <c r="D69" s="314">
        <f>Toernooigegevens!E62</f>
        <v>0.75</v>
      </c>
      <c r="E69" s="67"/>
      <c r="F69" s="68" t="str">
        <f>Toernooigegevens!G62</f>
        <v>België</v>
      </c>
      <c r="G69" s="69">
        <v>1</v>
      </c>
      <c r="H69" s="70" t="s">
        <v>29</v>
      </c>
      <c r="I69" s="69">
        <v>0</v>
      </c>
      <c r="J69" s="68" t="str">
        <f>Toernooigegevens!I62</f>
        <v>Rusland</v>
      </c>
      <c r="K69" s="67"/>
      <c r="L69" s="59"/>
      <c r="M69" s="70" t="str">
        <f t="shared" si="27"/>
        <v>1</v>
      </c>
      <c r="O69" s="39" t="str">
        <f>RIGHT(Q69)</f>
        <v>H</v>
      </c>
      <c r="P69" s="39">
        <f t="shared" si="15"/>
        <v>3</v>
      </c>
      <c r="Q69" s="39" t="str">
        <f>CONCATENATE(R69,RIGHT(R66,1))</f>
        <v>3H</v>
      </c>
      <c r="R69" s="71">
        <v>3</v>
      </c>
      <c r="S69" s="72" t="str">
        <f>INDEX('Poule berekeningen'!$C$73:$J$76,MATCH($R69,'Poule berekeningen'!$M$73:$M$76,0),1)</f>
        <v>Rusland</v>
      </c>
      <c r="T69" s="72">
        <f>SUM(V69:X69)</f>
        <v>3</v>
      </c>
      <c r="U69" s="72">
        <f>INDEX('Poule berekeningen'!$C$73:$J$76,MATCH($R69,'Poule berekeningen'!$M$73:$M$76,0),2)</f>
        <v>2</v>
      </c>
      <c r="V69" s="72">
        <f>INDEX('Poule berekeningen'!$C$73:$J$76,MATCH($R69,'Poule berekeningen'!$M$73:$M$76,0),3)</f>
        <v>0</v>
      </c>
      <c r="W69" s="72">
        <f>INDEX('Poule berekeningen'!$C$73:$J$76,MATCH($R69,'Poule berekeningen'!$M$73:$M$76,0),4)</f>
        <v>2</v>
      </c>
      <c r="X69" s="72">
        <f>INDEX('Poule berekeningen'!$C$73:$J$76,MATCH($R69,'Poule berekeningen'!$M$73:$M$76,0),5)</f>
        <v>1</v>
      </c>
      <c r="Y69" s="72">
        <f>INDEX('Poule berekeningen'!$C$73:$J$76,MATCH($R69,'Poule berekeningen'!$M$73:$M$76,0),6)</f>
        <v>2</v>
      </c>
      <c r="Z69" s="72">
        <f>INDEX('Poule berekeningen'!$C$73:$J$76,MATCH($R69,'Poule berekeningen'!$M$73:$M$76,0),7)</f>
        <v>3</v>
      </c>
      <c r="AA69" s="72">
        <f>INDEX('Poule berekeningen'!$C$73:$J$76,MATCH($R69,'Poule berekeningen'!$M$73:$M$76,0),8)</f>
        <v>-1</v>
      </c>
      <c r="AD69" s="40" t="str">
        <f t="shared" si="28"/>
        <v>1 - 0</v>
      </c>
      <c r="AE69" s="41" t="str">
        <f t="shared" si="29"/>
        <v>1</v>
      </c>
      <c r="AK69" s="40" t="str">
        <f t="shared" si="26"/>
        <v>Nigeria</v>
      </c>
      <c r="AM69" s="40">
        <f t="shared" si="18"/>
        <v>0</v>
      </c>
    </row>
    <row r="70" spans="1:39">
      <c r="A70" s="73">
        <f>Toernooigegevens!B63</f>
        <v>32</v>
      </c>
      <c r="B70" s="74" t="str">
        <f>Toernooigegevens!C63</f>
        <v>zo</v>
      </c>
      <c r="C70" s="75">
        <f>Toernooigegevens!D63</f>
        <v>41812</v>
      </c>
      <c r="D70" s="313">
        <f>Toernooigegevens!E63</f>
        <v>0.875</v>
      </c>
      <c r="E70" s="76"/>
      <c r="F70" s="77" t="str">
        <f>Toernooigegevens!G63</f>
        <v>Zuid-Korea</v>
      </c>
      <c r="G70" s="78">
        <v>2</v>
      </c>
      <c r="H70" s="79" t="s">
        <v>29</v>
      </c>
      <c r="I70" s="78">
        <v>4</v>
      </c>
      <c r="J70" s="77" t="str">
        <f>Toernooigegevens!I63</f>
        <v>Algerije</v>
      </c>
      <c r="K70" s="76"/>
      <c r="L70" s="59"/>
      <c r="M70" s="79">
        <f t="shared" si="27"/>
        <v>2</v>
      </c>
      <c r="O70" s="39" t="str">
        <f>RIGHT(Q70)</f>
        <v>H</v>
      </c>
      <c r="P70" s="39">
        <f t="shared" si="15"/>
        <v>3</v>
      </c>
      <c r="Q70" s="39" t="str">
        <f>CONCATENATE(R70,RIGHT(R66,1))</f>
        <v>4H</v>
      </c>
      <c r="R70" s="80">
        <v>4</v>
      </c>
      <c r="S70" s="81" t="str">
        <f>INDEX('Poule berekeningen'!$C$73:$J$76,MATCH($R70,'Poule berekeningen'!$M$73:$M$76,0),1)</f>
        <v>Zuid-Korea</v>
      </c>
      <c r="T70" s="81">
        <f>SUM(V70:X70)</f>
        <v>3</v>
      </c>
      <c r="U70" s="81">
        <f>INDEX('Poule berekeningen'!$C$73:$J$76,MATCH($R70,'Poule berekeningen'!$M$73:$M$76,0),2)</f>
        <v>1</v>
      </c>
      <c r="V70" s="81">
        <f>INDEX('Poule berekeningen'!$C$73:$J$76,MATCH($R70,'Poule berekeningen'!$M$73:$M$76,0),3)</f>
        <v>0</v>
      </c>
      <c r="W70" s="81">
        <f>INDEX('Poule berekeningen'!$C$73:$J$76,MATCH($R70,'Poule berekeningen'!$M$73:$M$76,0),4)</f>
        <v>1</v>
      </c>
      <c r="X70" s="81">
        <f>INDEX('Poule berekeningen'!$C$73:$J$76,MATCH($R70,'Poule berekeningen'!$M$73:$M$76,0),5)</f>
        <v>2</v>
      </c>
      <c r="Y70" s="81">
        <f>INDEX('Poule berekeningen'!$C$73:$J$76,MATCH($R70,'Poule berekeningen'!$M$73:$M$76,0),6)</f>
        <v>3</v>
      </c>
      <c r="Z70" s="81">
        <f>INDEX('Poule berekeningen'!$C$73:$J$76,MATCH($R70,'Poule berekeningen'!$M$73:$M$76,0),7)</f>
        <v>6</v>
      </c>
      <c r="AA70" s="81">
        <f>INDEX('Poule berekeningen'!$C$73:$J$76,MATCH($R70,'Poule berekeningen'!$M$73:$M$76,0),8)</f>
        <v>-3</v>
      </c>
      <c r="AD70" s="40" t="str">
        <f t="shared" si="28"/>
        <v>2 - 4</v>
      </c>
      <c r="AE70" s="41">
        <f t="shared" si="29"/>
        <v>2</v>
      </c>
      <c r="AK70" s="40" t="str">
        <f t="shared" si="26"/>
        <v>Algerije</v>
      </c>
      <c r="AM70" s="40">
        <f t="shared" si="18"/>
        <v>0</v>
      </c>
    </row>
    <row r="71" spans="1:39">
      <c r="A71" s="93">
        <f>Toernooigegevens!B64</f>
        <v>48</v>
      </c>
      <c r="B71" s="94" t="str">
        <f>Toernooigegevens!C64</f>
        <v>do</v>
      </c>
      <c r="C71" s="95">
        <f>Toernooigegevens!D64</f>
        <v>41816</v>
      </c>
      <c r="D71" s="317">
        <f>Toernooigegevens!E64</f>
        <v>0.91666666666666663</v>
      </c>
      <c r="E71" s="96"/>
      <c r="F71" s="72" t="str">
        <f>Toernooigegevens!G64</f>
        <v>Algerije</v>
      </c>
      <c r="G71" s="69">
        <v>1</v>
      </c>
      <c r="H71" s="97" t="s">
        <v>29</v>
      </c>
      <c r="I71" s="69">
        <v>1</v>
      </c>
      <c r="J71" s="72" t="str">
        <f>Toernooigegevens!I64</f>
        <v>Rusland</v>
      </c>
      <c r="K71" s="96"/>
      <c r="L71" s="83"/>
      <c r="M71" s="97">
        <f t="shared" si="27"/>
        <v>3</v>
      </c>
      <c r="O71" s="45"/>
      <c r="P71" s="45"/>
      <c r="Q71" s="45"/>
      <c r="R71" s="82" t="str">
        <f>IF(COUNT(G67:I72)=12,IF(COUNT(T67:T70)&lt;4,"Er is loting vereist in deze poule",""),"")</f>
        <v/>
      </c>
      <c r="S71" s="45"/>
      <c r="T71" s="45"/>
      <c r="U71" s="45"/>
      <c r="V71" s="45"/>
      <c r="W71" s="45"/>
      <c r="X71" s="45"/>
      <c r="Y71" s="45"/>
      <c r="Z71" s="45"/>
      <c r="AA71" s="45"/>
      <c r="AD71" s="40" t="str">
        <f t="shared" si="28"/>
        <v>1 - 1</v>
      </c>
      <c r="AE71" s="41">
        <f t="shared" si="29"/>
        <v>3</v>
      </c>
      <c r="AK71" s="40" t="str">
        <f t="shared" si="26"/>
        <v>Zwitserland</v>
      </c>
      <c r="AM71" s="40">
        <f t="shared" si="18"/>
        <v>0</v>
      </c>
    </row>
    <row r="72" spans="1:39">
      <c r="A72" s="98">
        <f>Toernooigegevens!B65</f>
        <v>47</v>
      </c>
      <c r="B72" s="99" t="str">
        <f>Toernooigegevens!C65</f>
        <v>do</v>
      </c>
      <c r="C72" s="100">
        <f>Toernooigegevens!D65</f>
        <v>41816</v>
      </c>
      <c r="D72" s="318">
        <f>Toernooigegevens!E65</f>
        <v>0.91666666666666663</v>
      </c>
      <c r="E72" s="102"/>
      <c r="F72" s="81" t="str">
        <f>Toernooigegevens!G65</f>
        <v>Zuid-Korea</v>
      </c>
      <c r="G72" s="78">
        <v>0</v>
      </c>
      <c r="H72" s="103" t="s">
        <v>29</v>
      </c>
      <c r="I72" s="78">
        <v>1</v>
      </c>
      <c r="J72" s="81" t="str">
        <f>Toernooigegevens!I65</f>
        <v>België</v>
      </c>
      <c r="K72" s="102"/>
      <c r="L72" s="83"/>
      <c r="M72" s="103">
        <f t="shared" si="27"/>
        <v>2</v>
      </c>
      <c r="O72" s="45"/>
      <c r="P72" s="45"/>
      <c r="Q72" s="45"/>
      <c r="R72" s="45"/>
      <c r="S72" s="45"/>
      <c r="T72" s="45"/>
      <c r="U72" s="45"/>
      <c r="V72" s="45"/>
      <c r="W72" s="45"/>
      <c r="X72" s="45"/>
      <c r="Y72" s="45"/>
      <c r="Z72" s="45"/>
      <c r="AA72" s="45"/>
      <c r="AD72" s="40" t="str">
        <f t="shared" si="28"/>
        <v>0 - 1</v>
      </c>
      <c r="AE72" s="41">
        <f t="shared" si="29"/>
        <v>2</v>
      </c>
      <c r="AK72" s="40" t="str">
        <f>J83</f>
        <v>USA</v>
      </c>
      <c r="AM72" s="40">
        <f t="shared" si="18"/>
        <v>0</v>
      </c>
    </row>
    <row r="73" spans="1:39">
      <c r="A73" s="104"/>
      <c r="B73" s="105"/>
      <c r="C73" s="106"/>
      <c r="D73" s="319"/>
      <c r="E73" s="105"/>
      <c r="F73" s="105"/>
      <c r="G73" s="104"/>
      <c r="H73" s="107"/>
      <c r="I73" s="104"/>
      <c r="J73" s="105"/>
      <c r="K73" s="105"/>
      <c r="L73" s="105"/>
      <c r="M73" s="107"/>
      <c r="N73" s="105"/>
      <c r="O73" s="105"/>
      <c r="P73" s="105"/>
      <c r="Q73" s="105"/>
      <c r="R73" s="105"/>
      <c r="S73" s="105"/>
      <c r="T73" s="105"/>
      <c r="U73" s="105"/>
      <c r="V73" s="105"/>
      <c r="W73" s="105"/>
      <c r="X73" s="105"/>
      <c r="Y73" s="105"/>
      <c r="Z73" s="105"/>
      <c r="AA73" s="105"/>
      <c r="AB73" s="105"/>
    </row>
    <row r="74" spans="1:39">
      <c r="A74" s="108"/>
      <c r="B74" s="52"/>
      <c r="C74" s="48"/>
      <c r="D74" s="320"/>
      <c r="E74" s="49"/>
      <c r="F74" s="49"/>
      <c r="G74" s="52"/>
      <c r="H74" s="53"/>
      <c r="I74" s="52"/>
      <c r="J74" s="49"/>
      <c r="K74" s="49"/>
      <c r="L74" s="32"/>
      <c r="M74" s="32"/>
      <c r="O74" s="45"/>
      <c r="P74" s="45"/>
      <c r="Q74" s="45"/>
      <c r="R74" s="451" t="s">
        <v>38</v>
      </c>
      <c r="S74" s="451"/>
      <c r="W74" s="45"/>
      <c r="Z74" s="45"/>
      <c r="AI74" s="109" t="s">
        <v>39</v>
      </c>
      <c r="AJ74" s="110" t="s">
        <v>40</v>
      </c>
      <c r="AK74" s="110" t="s">
        <v>41</v>
      </c>
      <c r="AL74" s="111" t="s">
        <v>42</v>
      </c>
      <c r="AM74" s="20" t="s">
        <v>43</v>
      </c>
    </row>
    <row r="75" spans="1:39">
      <c r="A75" s="112" t="s">
        <v>315</v>
      </c>
      <c r="B75" s="113"/>
      <c r="C75" s="113"/>
      <c r="D75" s="321"/>
      <c r="E75" s="113"/>
      <c r="F75" s="113"/>
      <c r="G75" s="114"/>
      <c r="H75" s="113"/>
      <c r="I75" s="114"/>
      <c r="J75" s="113"/>
      <c r="K75" s="115"/>
      <c r="L75" s="32"/>
      <c r="M75" s="116" t="s">
        <v>20</v>
      </c>
      <c r="O75" s="45"/>
      <c r="P75" s="45"/>
      <c r="Q75" s="45"/>
      <c r="R75" s="452" t="s">
        <v>44</v>
      </c>
      <c r="S75" s="452"/>
      <c r="T75" s="117"/>
      <c r="U75" s="117"/>
      <c r="V75" s="45"/>
      <c r="W75" s="45"/>
      <c r="X75" s="45"/>
      <c r="Y75" s="45"/>
      <c r="Z75" s="45"/>
      <c r="AA75" s="45"/>
      <c r="AI75" s="118"/>
      <c r="AJ75" s="45"/>
      <c r="AK75" s="45"/>
      <c r="AL75" s="119"/>
    </row>
    <row r="76" spans="1:39">
      <c r="A76" s="93">
        <f>Toernooigegevens!B69</f>
        <v>49</v>
      </c>
      <c r="B76" s="94" t="str">
        <f>Toernooigegevens!C69</f>
        <v>za</v>
      </c>
      <c r="C76" s="95">
        <f>Toernooigegevens!D69</f>
        <v>41453</v>
      </c>
      <c r="D76" s="317">
        <f>Toernooigegevens!E69</f>
        <v>0.75</v>
      </c>
      <c r="E76" s="120" t="str">
        <f>Toernooigegevens!F69</f>
        <v>1A</v>
      </c>
      <c r="F76" s="121" t="str">
        <f t="shared" ref="F76:F83" si="30">IF(SUMPRODUCT(($O$11:$O$70=RIGHT(E76,1))*($P$11:$P$70))=12,INDEX($S$10:$S$70,MATCH(E76,$Q$10:$Q$70,0)),IF(LEFT(E76,1)="1",CONCATENATE("Winnaar Groep ",RIGHT(E76,1)),CONCATENATE("Tweede Groep ",RIGHT(E76,1))))</f>
        <v>Brazilië</v>
      </c>
      <c r="G76" s="69">
        <v>1</v>
      </c>
      <c r="H76" s="97" t="s">
        <v>29</v>
      </c>
      <c r="I76" s="69">
        <v>1</v>
      </c>
      <c r="J76" s="96" t="str">
        <f t="shared" ref="J76:J83" si="31">IF(SUMPRODUCT(($O$11:$O$70=RIGHT(K76,1))*($P$11:$P$70))=12,INDEX($S$10:$S$70,MATCH(K76,$Q$10:$Q$70,0)),IF(LEFT(K76,1)="1",CONCATENATE("Winnaar Groep ",RIGHT(K76,1)),CONCATENATE("Tweede Groep ",RIGHT(K76,1))))</f>
        <v>Chili</v>
      </c>
      <c r="K76" s="122" t="str">
        <f>Toernooigegevens!J69</f>
        <v>2B</v>
      </c>
      <c r="L76" s="32"/>
      <c r="M76" s="97">
        <f t="shared" ref="M76:M83" si="32">IF(AND(G76="",I76=""),"",IF(OR(G76="",I76=""),"FOUT",IF(G76&gt;I76,"1",IF(G76=I76,3,2))))</f>
        <v>3</v>
      </c>
      <c r="N76" s="123" t="str">
        <f t="shared" ref="N76:N83" si="33">IF(M76=3,"======&gt;","")</f>
        <v>======&gt;</v>
      </c>
      <c r="O76" s="45"/>
      <c r="P76" s="45"/>
      <c r="Q76" s="45"/>
      <c r="R76" s="453" t="s">
        <v>199</v>
      </c>
      <c r="S76" s="453"/>
      <c r="T76" s="125"/>
      <c r="U76" s="126"/>
      <c r="V76" s="125"/>
      <c r="W76" s="126"/>
      <c r="X76" s="125"/>
      <c r="Y76" s="45"/>
      <c r="Z76" s="45"/>
      <c r="AA76" s="45"/>
      <c r="AD76" s="40" t="str">
        <f t="shared" ref="AD76:AD83" si="34">F76</f>
        <v>Brazilië</v>
      </c>
      <c r="AE76" s="41" t="str">
        <f t="shared" ref="AE76:AE83" si="35">J76</f>
        <v>Chili</v>
      </c>
      <c r="AF76" s="40" t="str">
        <f t="shared" ref="AF76:AF83" si="36">CONCATENATE(G76," - ",I76)</f>
        <v>1 - 1</v>
      </c>
      <c r="AG76" s="40">
        <f t="shared" ref="AG76:AG83" si="37">M76</f>
        <v>3</v>
      </c>
      <c r="AI76" s="127" t="str">
        <f t="shared" ref="AI76:AI83" si="38">IF(M76=3,F76,"")</f>
        <v>Brazilië</v>
      </c>
      <c r="AJ76" s="45" t="str">
        <f t="shared" ref="AJ76:AJ83" si="39">IF(M76=3,J76,"")</f>
        <v>Chili</v>
      </c>
      <c r="AK76" s="45" t="str">
        <f t="shared" ref="AK76:AK83" si="40">IF(M76="1",F76,IF(M76=2,J76,IF(AND(M76=3,R76&lt;&gt;"",OR(R76=J76,R76=F76)),R76,"Winnaar "&amp;A76)))</f>
        <v>Brazilië</v>
      </c>
      <c r="AL76" s="119"/>
      <c r="AM76" s="40">
        <f t="shared" ref="AM76:AM103" si="41">IF(OR(ISNUMBER(SEARCH("winnaar",AK76,1)),ISNUMBER(SEARCH("verliezer",AL76,1))),1,0)</f>
        <v>0</v>
      </c>
    </row>
    <row r="77" spans="1:39">
      <c r="A77" s="98">
        <f>Toernooigegevens!B70</f>
        <v>50</v>
      </c>
      <c r="B77" s="99" t="str">
        <f>Toernooigegevens!C70</f>
        <v>za</v>
      </c>
      <c r="C77" s="100">
        <f>Toernooigegevens!D70</f>
        <v>41453</v>
      </c>
      <c r="D77" s="318">
        <f>Toernooigegevens!E70</f>
        <v>0.91666666666666663</v>
      </c>
      <c r="E77" s="128" t="str">
        <f>Toernooigegevens!F70</f>
        <v>1C</v>
      </c>
      <c r="F77" s="129" t="str">
        <f t="shared" si="30"/>
        <v>Colombia</v>
      </c>
      <c r="G77" s="78">
        <v>2</v>
      </c>
      <c r="H77" s="103" t="s">
        <v>29</v>
      </c>
      <c r="I77" s="78">
        <v>0</v>
      </c>
      <c r="J77" s="102" t="str">
        <f t="shared" si="31"/>
        <v>Uruguay</v>
      </c>
      <c r="K77" s="130" t="str">
        <f>Toernooigegevens!J70</f>
        <v>2D</v>
      </c>
      <c r="L77" s="32"/>
      <c r="M77" s="103" t="str">
        <f t="shared" si="32"/>
        <v>1</v>
      </c>
      <c r="N77" s="123" t="str">
        <f t="shared" si="33"/>
        <v/>
      </c>
      <c r="O77" s="45"/>
      <c r="P77" s="45"/>
      <c r="Q77" s="45"/>
      <c r="R77" s="450"/>
      <c r="S77" s="450"/>
      <c r="T77" s="125"/>
      <c r="U77" s="126"/>
      <c r="V77" s="125"/>
      <c r="W77" s="126"/>
      <c r="X77" s="125"/>
      <c r="Y77" s="45"/>
      <c r="Z77" s="45"/>
      <c r="AA77" s="45"/>
      <c r="AD77" s="40" t="str">
        <f t="shared" si="34"/>
        <v>Colombia</v>
      </c>
      <c r="AE77" s="41" t="str">
        <f t="shared" si="35"/>
        <v>Uruguay</v>
      </c>
      <c r="AF77" s="40" t="str">
        <f t="shared" si="36"/>
        <v>2 - 0</v>
      </c>
      <c r="AG77" s="40" t="str">
        <f t="shared" si="37"/>
        <v>1</v>
      </c>
      <c r="AI77" s="127" t="str">
        <f t="shared" si="38"/>
        <v/>
      </c>
      <c r="AJ77" s="45" t="str">
        <f t="shared" si="39"/>
        <v/>
      </c>
      <c r="AK77" s="45" t="str">
        <f t="shared" si="40"/>
        <v>Colombia</v>
      </c>
      <c r="AL77" s="119"/>
      <c r="AM77" s="40">
        <f t="shared" si="41"/>
        <v>0</v>
      </c>
    </row>
    <row r="78" spans="1:39">
      <c r="A78" s="93">
        <f>Toernooigegevens!B71</f>
        <v>51</v>
      </c>
      <c r="B78" s="94" t="str">
        <f>Toernooigegevens!C71</f>
        <v>zo</v>
      </c>
      <c r="C78" s="95">
        <f>Toernooigegevens!D71</f>
        <v>41454</v>
      </c>
      <c r="D78" s="317">
        <f>Toernooigegevens!E71</f>
        <v>0.75</v>
      </c>
      <c r="E78" s="120" t="str">
        <f>Toernooigegevens!F71</f>
        <v>1B</v>
      </c>
      <c r="F78" s="121" t="str">
        <f t="shared" si="30"/>
        <v>Nederland</v>
      </c>
      <c r="G78" s="69">
        <v>2</v>
      </c>
      <c r="H78" s="97" t="s">
        <v>29</v>
      </c>
      <c r="I78" s="69">
        <v>1</v>
      </c>
      <c r="J78" s="96" t="str">
        <f t="shared" si="31"/>
        <v>Mexico</v>
      </c>
      <c r="K78" s="122" t="str">
        <f>Toernooigegevens!J71</f>
        <v>2A</v>
      </c>
      <c r="L78" s="32"/>
      <c r="M78" s="97" t="str">
        <f t="shared" si="32"/>
        <v>1</v>
      </c>
      <c r="N78" s="123" t="str">
        <f t="shared" si="33"/>
        <v/>
      </c>
      <c r="R78" s="453"/>
      <c r="S78" s="453"/>
      <c r="T78" s="125"/>
      <c r="U78" s="126"/>
      <c r="V78" s="125"/>
      <c r="W78" s="126"/>
      <c r="X78" s="125"/>
      <c r="AD78" s="40" t="str">
        <f t="shared" si="34"/>
        <v>Nederland</v>
      </c>
      <c r="AE78" s="41" t="str">
        <f t="shared" si="35"/>
        <v>Mexico</v>
      </c>
      <c r="AF78" s="40" t="str">
        <f t="shared" si="36"/>
        <v>2 - 1</v>
      </c>
      <c r="AG78" s="40" t="str">
        <f t="shared" si="37"/>
        <v>1</v>
      </c>
      <c r="AI78" s="127" t="str">
        <f t="shared" si="38"/>
        <v/>
      </c>
      <c r="AJ78" s="45" t="str">
        <f t="shared" si="39"/>
        <v/>
      </c>
      <c r="AK78" s="45" t="str">
        <f t="shared" si="40"/>
        <v>Nederland</v>
      </c>
      <c r="AL78" s="119"/>
      <c r="AM78" s="40">
        <f t="shared" si="41"/>
        <v>0</v>
      </c>
    </row>
    <row r="79" spans="1:39">
      <c r="A79" s="98">
        <f>Toernooigegevens!B72</f>
        <v>52</v>
      </c>
      <c r="B79" s="99" t="str">
        <f>Toernooigegevens!C72</f>
        <v>zo</v>
      </c>
      <c r="C79" s="100">
        <f>Toernooigegevens!D72</f>
        <v>41454</v>
      </c>
      <c r="D79" s="318">
        <f>Toernooigegevens!E72</f>
        <v>0.91666666666666663</v>
      </c>
      <c r="E79" s="128" t="str">
        <f>Toernooigegevens!F72</f>
        <v>1D</v>
      </c>
      <c r="F79" s="129" t="str">
        <f t="shared" si="30"/>
        <v>Costa Rica</v>
      </c>
      <c r="G79" s="78">
        <v>1</v>
      </c>
      <c r="H79" s="103" t="s">
        <v>29</v>
      </c>
      <c r="I79" s="78">
        <v>1</v>
      </c>
      <c r="J79" s="102" t="str">
        <f t="shared" si="31"/>
        <v>Griekenland</v>
      </c>
      <c r="K79" s="130" t="str">
        <f>Toernooigegevens!J72</f>
        <v>2C</v>
      </c>
      <c r="L79" s="32"/>
      <c r="M79" s="103">
        <f t="shared" si="32"/>
        <v>3</v>
      </c>
      <c r="N79" s="123" t="str">
        <f t="shared" si="33"/>
        <v>======&gt;</v>
      </c>
      <c r="R79" s="450" t="s">
        <v>391</v>
      </c>
      <c r="S79" s="450"/>
      <c r="T79" s="125"/>
      <c r="U79" s="126"/>
      <c r="V79" s="125"/>
      <c r="W79" s="126"/>
      <c r="X79" s="125"/>
      <c r="AD79" s="40" t="str">
        <f t="shared" si="34"/>
        <v>Costa Rica</v>
      </c>
      <c r="AE79" s="41" t="str">
        <f t="shared" si="35"/>
        <v>Griekenland</v>
      </c>
      <c r="AF79" s="40" t="str">
        <f t="shared" si="36"/>
        <v>1 - 1</v>
      </c>
      <c r="AG79" s="40">
        <f t="shared" si="37"/>
        <v>3</v>
      </c>
      <c r="AI79" s="127" t="str">
        <f t="shared" si="38"/>
        <v>Costa Rica</v>
      </c>
      <c r="AJ79" s="45" t="str">
        <f t="shared" si="39"/>
        <v>Griekenland</v>
      </c>
      <c r="AK79" s="45" t="str">
        <f t="shared" si="40"/>
        <v>Costa Rica</v>
      </c>
      <c r="AL79" s="119"/>
      <c r="AM79" s="40">
        <f t="shared" si="41"/>
        <v>0</v>
      </c>
    </row>
    <row r="80" spans="1:39">
      <c r="A80" s="93">
        <f>Toernooigegevens!B73</f>
        <v>53</v>
      </c>
      <c r="B80" s="94" t="str">
        <f>Toernooigegevens!C73</f>
        <v>ma</v>
      </c>
      <c r="C80" s="95">
        <f>Toernooigegevens!D73</f>
        <v>41455</v>
      </c>
      <c r="D80" s="317">
        <f>Toernooigegevens!E73</f>
        <v>0.75</v>
      </c>
      <c r="E80" s="120" t="str">
        <f>Toernooigegevens!F73</f>
        <v>1E</v>
      </c>
      <c r="F80" s="121" t="str">
        <f t="shared" si="30"/>
        <v>Frankrijk</v>
      </c>
      <c r="G80" s="69">
        <v>2</v>
      </c>
      <c r="H80" s="97" t="s">
        <v>29</v>
      </c>
      <c r="I80" s="69">
        <v>0</v>
      </c>
      <c r="J80" s="96" t="str">
        <f t="shared" si="31"/>
        <v>Nigeria</v>
      </c>
      <c r="K80" s="122" t="str">
        <f>Toernooigegevens!J73</f>
        <v>2F</v>
      </c>
      <c r="L80" s="32"/>
      <c r="M80" s="97" t="str">
        <f t="shared" si="32"/>
        <v>1</v>
      </c>
      <c r="N80" s="123" t="str">
        <f t="shared" si="33"/>
        <v/>
      </c>
      <c r="R80" s="453"/>
      <c r="S80" s="453"/>
      <c r="T80" s="125"/>
      <c r="U80" s="126"/>
      <c r="V80" s="125"/>
      <c r="W80" s="126"/>
      <c r="X80" s="125"/>
      <c r="AD80" s="40" t="str">
        <f t="shared" si="34"/>
        <v>Frankrijk</v>
      </c>
      <c r="AE80" s="41" t="str">
        <f t="shared" si="35"/>
        <v>Nigeria</v>
      </c>
      <c r="AF80" s="40" t="str">
        <f t="shared" si="36"/>
        <v>2 - 0</v>
      </c>
      <c r="AG80" s="40" t="str">
        <f t="shared" si="37"/>
        <v>1</v>
      </c>
      <c r="AI80" s="127" t="str">
        <f t="shared" si="38"/>
        <v/>
      </c>
      <c r="AJ80" s="45" t="str">
        <f t="shared" si="39"/>
        <v/>
      </c>
      <c r="AK80" s="45" t="str">
        <f t="shared" si="40"/>
        <v>Frankrijk</v>
      </c>
      <c r="AL80" s="119"/>
      <c r="AM80" s="40">
        <f t="shared" si="41"/>
        <v>0</v>
      </c>
    </row>
    <row r="81" spans="1:55">
      <c r="A81" s="98">
        <f>Toernooigegevens!B74</f>
        <v>54</v>
      </c>
      <c r="B81" s="99" t="str">
        <f>Toernooigegevens!C74</f>
        <v>ma</v>
      </c>
      <c r="C81" s="100">
        <f>Toernooigegevens!D74</f>
        <v>41455</v>
      </c>
      <c r="D81" s="318">
        <f>Toernooigegevens!E74</f>
        <v>0.91666666666666663</v>
      </c>
      <c r="E81" s="128" t="str">
        <f>Toernooigegevens!F74</f>
        <v>1G</v>
      </c>
      <c r="F81" s="129" t="str">
        <f t="shared" si="30"/>
        <v>Duitsland</v>
      </c>
      <c r="G81" s="78">
        <v>2</v>
      </c>
      <c r="H81" s="103" t="s">
        <v>29</v>
      </c>
      <c r="I81" s="78">
        <v>1</v>
      </c>
      <c r="J81" s="102" t="str">
        <f t="shared" si="31"/>
        <v>Algerije</v>
      </c>
      <c r="K81" s="130" t="str">
        <f>Toernooigegevens!J74</f>
        <v>2H</v>
      </c>
      <c r="L81" s="32"/>
      <c r="M81" s="103" t="str">
        <f t="shared" si="32"/>
        <v>1</v>
      </c>
      <c r="N81" s="123" t="str">
        <f t="shared" si="33"/>
        <v/>
      </c>
      <c r="R81" s="450"/>
      <c r="S81" s="450"/>
      <c r="T81" s="125"/>
      <c r="U81" s="126"/>
      <c r="V81" s="125"/>
      <c r="W81" s="126"/>
      <c r="X81" s="125"/>
      <c r="AD81" s="40" t="str">
        <f t="shared" si="34"/>
        <v>Duitsland</v>
      </c>
      <c r="AE81" s="41" t="str">
        <f t="shared" si="35"/>
        <v>Algerije</v>
      </c>
      <c r="AF81" s="40" t="str">
        <f t="shared" si="36"/>
        <v>2 - 1</v>
      </c>
      <c r="AG81" s="40" t="str">
        <f t="shared" si="37"/>
        <v>1</v>
      </c>
      <c r="AI81" s="127" t="str">
        <f t="shared" si="38"/>
        <v/>
      </c>
      <c r="AJ81" s="45" t="str">
        <f t="shared" si="39"/>
        <v/>
      </c>
      <c r="AK81" s="45" t="str">
        <f t="shared" si="40"/>
        <v>Duitsland</v>
      </c>
      <c r="AL81" s="119"/>
      <c r="AM81" s="40">
        <f t="shared" si="41"/>
        <v>0</v>
      </c>
    </row>
    <row r="82" spans="1:55">
      <c r="A82" s="93">
        <f>Toernooigegevens!B75</f>
        <v>55</v>
      </c>
      <c r="B82" s="94" t="str">
        <f>Toernooigegevens!C75</f>
        <v>di</v>
      </c>
      <c r="C82" s="95">
        <f>Toernooigegevens!D75</f>
        <v>41456</v>
      </c>
      <c r="D82" s="317">
        <f>Toernooigegevens!E75</f>
        <v>0.75</v>
      </c>
      <c r="E82" s="120" t="str">
        <f>Toernooigegevens!F75</f>
        <v>1F</v>
      </c>
      <c r="F82" s="121" t="str">
        <f t="shared" si="30"/>
        <v>Argentinië</v>
      </c>
      <c r="G82" s="69">
        <v>1</v>
      </c>
      <c r="H82" s="97" t="s">
        <v>29</v>
      </c>
      <c r="I82" s="69">
        <v>0</v>
      </c>
      <c r="J82" s="96" t="str">
        <f t="shared" si="31"/>
        <v>Zwitserland</v>
      </c>
      <c r="K82" s="122" t="str">
        <f>Toernooigegevens!J75</f>
        <v>2E</v>
      </c>
      <c r="L82" s="32"/>
      <c r="M82" s="97" t="str">
        <f t="shared" si="32"/>
        <v>1</v>
      </c>
      <c r="N82" s="123" t="str">
        <f t="shared" si="33"/>
        <v/>
      </c>
      <c r="R82" s="453"/>
      <c r="S82" s="453"/>
      <c r="T82" s="125"/>
      <c r="U82" s="126"/>
      <c r="V82" s="125"/>
      <c r="W82" s="126"/>
      <c r="X82" s="125"/>
      <c r="AD82" s="40" t="str">
        <f t="shared" si="34"/>
        <v>Argentinië</v>
      </c>
      <c r="AE82" s="41" t="str">
        <f t="shared" si="35"/>
        <v>Zwitserland</v>
      </c>
      <c r="AF82" s="40" t="str">
        <f t="shared" si="36"/>
        <v>1 - 0</v>
      </c>
      <c r="AG82" s="40" t="str">
        <f t="shared" si="37"/>
        <v>1</v>
      </c>
      <c r="AI82" s="127" t="str">
        <f t="shared" si="38"/>
        <v/>
      </c>
      <c r="AJ82" s="45" t="str">
        <f t="shared" si="39"/>
        <v/>
      </c>
      <c r="AK82" s="45" t="str">
        <f t="shared" si="40"/>
        <v>Argentinië</v>
      </c>
      <c r="AL82" s="119"/>
      <c r="AM82" s="40">
        <f t="shared" si="41"/>
        <v>0</v>
      </c>
    </row>
    <row r="83" spans="1:55">
      <c r="A83" s="98">
        <f>Toernooigegevens!B76</f>
        <v>56</v>
      </c>
      <c r="B83" s="99" t="str">
        <f>Toernooigegevens!C76</f>
        <v>di</v>
      </c>
      <c r="C83" s="100">
        <f>Toernooigegevens!D76</f>
        <v>41456</v>
      </c>
      <c r="D83" s="318">
        <f>Toernooigegevens!E76</f>
        <v>0.91666666666666663</v>
      </c>
      <c r="E83" s="128" t="str">
        <f>Toernooigegevens!F76</f>
        <v>1H</v>
      </c>
      <c r="F83" s="129" t="str">
        <f t="shared" si="30"/>
        <v>België</v>
      </c>
      <c r="G83" s="78">
        <v>2</v>
      </c>
      <c r="H83" s="103" t="s">
        <v>29</v>
      </c>
      <c r="I83" s="78">
        <v>1</v>
      </c>
      <c r="J83" s="102" t="str">
        <f t="shared" si="31"/>
        <v>USA</v>
      </c>
      <c r="K83" s="130" t="str">
        <f>Toernooigegevens!J76</f>
        <v>2G</v>
      </c>
      <c r="L83" s="32"/>
      <c r="M83" s="103" t="str">
        <f t="shared" si="32"/>
        <v>1</v>
      </c>
      <c r="N83" s="123" t="str">
        <f t="shared" si="33"/>
        <v/>
      </c>
      <c r="R83" s="450"/>
      <c r="S83" s="450"/>
      <c r="T83" s="125"/>
      <c r="U83" s="126"/>
      <c r="V83" s="125"/>
      <c r="W83" s="126"/>
      <c r="X83" s="125"/>
      <c r="AD83" s="40" t="str">
        <f t="shared" si="34"/>
        <v>België</v>
      </c>
      <c r="AE83" s="41" t="str">
        <f t="shared" si="35"/>
        <v>USA</v>
      </c>
      <c r="AF83" s="40" t="str">
        <f t="shared" si="36"/>
        <v>2 - 1</v>
      </c>
      <c r="AG83" s="40" t="str">
        <f t="shared" si="37"/>
        <v>1</v>
      </c>
      <c r="AI83" s="127" t="str">
        <f t="shared" si="38"/>
        <v/>
      </c>
      <c r="AJ83" s="45" t="str">
        <f t="shared" si="39"/>
        <v/>
      </c>
      <c r="AK83" s="45" t="str">
        <f t="shared" si="40"/>
        <v>België</v>
      </c>
      <c r="AL83" s="119"/>
      <c r="AM83" s="40">
        <f t="shared" si="41"/>
        <v>0</v>
      </c>
    </row>
    <row r="84" spans="1:55" s="1" customFormat="1">
      <c r="A84" s="104"/>
      <c r="B84" s="104"/>
      <c r="C84" s="106"/>
      <c r="D84" s="319"/>
      <c r="E84" s="105"/>
      <c r="F84" s="132"/>
      <c r="G84" s="104"/>
      <c r="H84" s="107"/>
      <c r="I84" s="104"/>
      <c r="J84" s="105"/>
      <c r="K84" s="105"/>
      <c r="L84" s="105"/>
      <c r="M84" s="107"/>
      <c r="N84" s="105"/>
      <c r="O84" s="105"/>
      <c r="P84" s="105"/>
      <c r="Q84" s="105"/>
      <c r="R84" s="105"/>
      <c r="S84" s="105"/>
      <c r="T84" s="105"/>
      <c r="U84" s="105"/>
      <c r="V84" s="105"/>
      <c r="W84" s="105"/>
      <c r="X84" s="105"/>
      <c r="Y84" s="105"/>
      <c r="Z84" s="105"/>
      <c r="AA84" s="105"/>
      <c r="AB84" s="105"/>
      <c r="AE84" s="133"/>
      <c r="AI84" s="127"/>
      <c r="AJ84" s="45"/>
      <c r="AK84" s="45"/>
      <c r="AL84" s="119"/>
      <c r="AM84" s="40">
        <f t="shared" si="41"/>
        <v>0</v>
      </c>
      <c r="AS84" s="443"/>
      <c r="AT84" s="443"/>
      <c r="AU84" s="443"/>
      <c r="AV84" s="443"/>
      <c r="AW84" s="443"/>
      <c r="AX84" s="443"/>
      <c r="AY84" s="443"/>
      <c r="AZ84" s="443"/>
      <c r="BA84" s="443"/>
      <c r="BB84" s="443"/>
      <c r="BC84" s="443"/>
    </row>
    <row r="85" spans="1:55">
      <c r="A85" s="108"/>
      <c r="B85" s="52"/>
      <c r="C85" s="48"/>
      <c r="D85" s="320"/>
      <c r="E85" s="49"/>
      <c r="F85" s="49"/>
      <c r="G85" s="52"/>
      <c r="H85" s="53"/>
      <c r="I85" s="52"/>
      <c r="J85" s="49"/>
      <c r="K85" s="49"/>
      <c r="L85" s="32"/>
      <c r="M85" s="32"/>
      <c r="R85" s="451" t="s">
        <v>38</v>
      </c>
      <c r="S85" s="451"/>
      <c r="T85" s="134"/>
      <c r="U85" s="134"/>
      <c r="AI85" s="127"/>
      <c r="AJ85" s="45"/>
      <c r="AK85" s="45"/>
      <c r="AL85" s="119"/>
      <c r="AM85" s="40">
        <f t="shared" si="41"/>
        <v>0</v>
      </c>
    </row>
    <row r="86" spans="1:55">
      <c r="A86" s="112" t="s">
        <v>87</v>
      </c>
      <c r="B86" s="113"/>
      <c r="C86" s="113"/>
      <c r="D86" s="321"/>
      <c r="E86" s="113"/>
      <c r="F86" s="113"/>
      <c r="G86" s="114"/>
      <c r="H86" s="113"/>
      <c r="I86" s="114"/>
      <c r="J86" s="113"/>
      <c r="K86" s="115"/>
      <c r="L86" s="32"/>
      <c r="M86" s="116" t="s">
        <v>20</v>
      </c>
      <c r="R86" s="452" t="s">
        <v>44</v>
      </c>
      <c r="S86" s="452"/>
      <c r="T86" s="117"/>
      <c r="U86" s="117"/>
      <c r="AI86" s="127"/>
      <c r="AJ86" s="45"/>
      <c r="AK86" s="45"/>
      <c r="AL86" s="119"/>
      <c r="AM86" s="40">
        <f t="shared" si="41"/>
        <v>0</v>
      </c>
    </row>
    <row r="87" spans="1:55">
      <c r="A87" s="93">
        <f>Toernooigegevens!B80</f>
        <v>57</v>
      </c>
      <c r="B87" s="94">
        <f>Toernooigegevens!C80</f>
        <v>40361</v>
      </c>
      <c r="C87" s="95">
        <f>Toernooigegevens!D80</f>
        <v>41459</v>
      </c>
      <c r="D87" s="317">
        <f>Toernooigegevens!E80</f>
        <v>0.91666666666666663</v>
      </c>
      <c r="E87" s="120" t="str">
        <f>Toernooigegevens!F80</f>
        <v>W49</v>
      </c>
      <c r="F87" s="96" t="str">
        <f>IF(INDEX($M$76:$M$83,MATCH(VALUE(RIGHT(E87,2)),$A$76:$A$83,0))=3,INDEX($R$76:$R$83,MATCH(VALUE(RIGHT(E87,2)),$A$76:$A$83,0)),IF(INDEX($M$76:$M$83,MATCH(VALUE(RIGHT(E87,2)),$A$76:$A$83,0))="1",INDEX($F$76:$F$83,MATCH(VALUE(RIGHT(E87,2)),$A$76:$A$83,0)),IF(INDEX($M$76:$M$83,MATCH(VALUE(RIGHT(E87,2)),$A$76:$A$83,0))=2,INDEX($J$76:$J$83,MATCH(VALUE(RIGHT(E87,2)),$A$76:$A$83,0)),CONCATENATE("Winnaar ",RIGHT(E87,2)))))</f>
        <v>Brazilië</v>
      </c>
      <c r="G87" s="135">
        <v>2</v>
      </c>
      <c r="H87" s="97" t="s">
        <v>29</v>
      </c>
      <c r="I87" s="69">
        <v>1</v>
      </c>
      <c r="J87" s="96" t="str">
        <f>IF(INDEX($M$76:$M$83,MATCH(VALUE(RIGHT(K87,2)),$A$76:$A$83,0))=3,INDEX($R$76:$R$83,MATCH(VALUE(RIGHT(K87,2)),$A$76:$A$83,0)),IF(INDEX($M$76:$M$83,MATCH(VALUE(RIGHT(K87,2)),$A$76:$A$83,0))="1",INDEX($F$76:$F$83,MATCH(VALUE(RIGHT(K87,2)),$A$76:$A$83,0)),IF(INDEX($M$76:$M$83,MATCH(VALUE(RIGHT(K87,2)),$A$76:$A$83,0))=2,INDEX($J$76:$J$83,MATCH(VALUE(RIGHT(K87,2)),$A$76:$A$83,0)),CONCATENATE("Winnaar ",RIGHT(K87,2)))))</f>
        <v>Colombia</v>
      </c>
      <c r="K87" s="122" t="str">
        <f>Toernooigegevens!J80</f>
        <v>W50</v>
      </c>
      <c r="L87" s="32"/>
      <c r="M87" s="97" t="str">
        <f>IF(AND(G87="",I87=""),"",IF(OR(G87="",I87=""),"FOUT",IF(G87&gt;I87,"1",IF(G87=I87,3,2))))</f>
        <v>1</v>
      </c>
      <c r="N87" s="123" t="str">
        <f>IF(M87=3,"======&gt;","")</f>
        <v/>
      </c>
      <c r="R87" s="453"/>
      <c r="S87" s="453"/>
      <c r="T87" s="125"/>
      <c r="U87" s="125"/>
      <c r="AD87" s="40" t="str">
        <f>F87</f>
        <v>Brazilië</v>
      </c>
      <c r="AE87" s="41" t="str">
        <f>J87</f>
        <v>Colombia</v>
      </c>
      <c r="AF87" s="40" t="str">
        <f>CONCATENATE(G87," - ",I87)</f>
        <v>2 - 1</v>
      </c>
      <c r="AG87" s="40" t="str">
        <f>M87</f>
        <v>1</v>
      </c>
      <c r="AI87" s="127" t="str">
        <f>IF(M87=3,F87,"")</f>
        <v/>
      </c>
      <c r="AJ87" s="45" t="str">
        <f>IF(M87=3,J87,"")</f>
        <v/>
      </c>
      <c r="AK87" s="45" t="str">
        <f>IF(M87="1",F87,IF(M87=2,J87,IF(AND(M87=3,R87&lt;&gt;"",OR(R87=J87,R87=F87)),R87,"Winnaar "&amp;A87)))</f>
        <v>Brazilië</v>
      </c>
      <c r="AL87" s="119"/>
      <c r="AM87" s="40">
        <f t="shared" si="41"/>
        <v>0</v>
      </c>
    </row>
    <row r="88" spans="1:55">
      <c r="A88" s="98">
        <f>Toernooigegevens!B81</f>
        <v>58</v>
      </c>
      <c r="B88" s="99">
        <f>Toernooigegevens!C81</f>
        <v>40361</v>
      </c>
      <c r="C88" s="100">
        <f>Toernooigegevens!D81</f>
        <v>41459</v>
      </c>
      <c r="D88" s="318">
        <f>Toernooigegevens!E81</f>
        <v>0.75</v>
      </c>
      <c r="E88" s="128" t="str">
        <f>Toernooigegevens!F81</f>
        <v>W53</v>
      </c>
      <c r="F88" s="102" t="str">
        <f>IF(INDEX($M$76:$M$83,MATCH(VALUE(RIGHT(E88,2)),$A$76:$A$83,0))=3,INDEX($R$76:$R$83,MATCH(VALUE(RIGHT(E88,2)),$A$76:$A$83,0)),IF(INDEX($M$76:$M$83,MATCH(VALUE(RIGHT(E88,2)),$A$76:$A$83,0))="1",INDEX($F$76:$F$83,MATCH(VALUE(RIGHT(E88,2)),$A$76:$A$83,0)),IF(INDEX($M$76:$M$83,MATCH(VALUE(RIGHT(E88,2)),$A$76:$A$83,0))=2,INDEX($J$76:$J$83,MATCH(VALUE(RIGHT(E88,2)),$A$76:$A$83,0)),CONCATENATE("Winnaar ",RIGHT(E88,2)))))</f>
        <v>Frankrijk</v>
      </c>
      <c r="G88" s="136">
        <v>0</v>
      </c>
      <c r="H88" s="103" t="s">
        <v>29</v>
      </c>
      <c r="I88" s="78">
        <v>1</v>
      </c>
      <c r="J88" s="102" t="str">
        <f>IF(INDEX($M$76:$M$83,MATCH(VALUE(RIGHT(K88,2)),$A$76:$A$83,0))=3,INDEX($R$76:$R$83,MATCH(VALUE(RIGHT(K88,2)),$A$76:$A$83,0)),IF(INDEX($M$76:$M$83,MATCH(VALUE(RIGHT(K88,2)),$A$76:$A$83,0))="1",INDEX($F$76:$F$83,MATCH(VALUE(RIGHT(K88,2)),$A$76:$A$83,0)),IF(INDEX($M$76:$M$83,MATCH(VALUE(RIGHT(K88,2)),$A$76:$A$83,0))=2,INDEX($J$76:$J$83,MATCH(VALUE(RIGHT(K88,2)),$A$76:$A$83,0)),CONCATENATE("Winnaar ",RIGHT(K88,2)))))</f>
        <v>Duitsland</v>
      </c>
      <c r="K88" s="130" t="str">
        <f>Toernooigegevens!J81</f>
        <v>W54</v>
      </c>
      <c r="L88" s="32"/>
      <c r="M88" s="103">
        <f>IF(AND(G88="",I88=""),"",IF(OR(G88="",I88=""),"FOUT",IF(G88&gt;I88,"1",IF(G88=I88,3,2))))</f>
        <v>2</v>
      </c>
      <c r="N88" s="123" t="str">
        <f>IF(M88=3,"======&gt;","")</f>
        <v/>
      </c>
      <c r="R88" s="450"/>
      <c r="S88" s="450"/>
      <c r="T88" s="125"/>
      <c r="U88" s="125"/>
      <c r="AD88" s="40" t="str">
        <f>F88</f>
        <v>Frankrijk</v>
      </c>
      <c r="AE88" s="41" t="str">
        <f>J88</f>
        <v>Duitsland</v>
      </c>
      <c r="AF88" s="40" t="str">
        <f>CONCATENATE(G88," - ",I88)</f>
        <v>0 - 1</v>
      </c>
      <c r="AG88" s="40">
        <f>M88</f>
        <v>2</v>
      </c>
      <c r="AI88" s="127" t="str">
        <f>IF(M88=3,F88,"")</f>
        <v/>
      </c>
      <c r="AJ88" s="45" t="str">
        <f>IF(M88=3,J88,"")</f>
        <v/>
      </c>
      <c r="AK88" s="45" t="str">
        <f>IF(M88="1",F88,IF(M88=2,J88,IF(AND(M88=3,R88&lt;&gt;"",OR(R88=J88,R88=F88)),R88,"Winnaar "&amp;A88)))</f>
        <v>Duitsland</v>
      </c>
      <c r="AL88" s="119"/>
      <c r="AM88" s="40">
        <f t="shared" si="41"/>
        <v>0</v>
      </c>
    </row>
    <row r="89" spans="1:55">
      <c r="A89" s="93">
        <f>Toernooigegevens!B82</f>
        <v>59</v>
      </c>
      <c r="B89" s="94">
        <f>Toernooigegevens!C82</f>
        <v>40362</v>
      </c>
      <c r="C89" s="95">
        <f>Toernooigegevens!D82</f>
        <v>41460</v>
      </c>
      <c r="D89" s="317">
        <f>Toernooigegevens!E82</f>
        <v>0.91666666666666663</v>
      </c>
      <c r="E89" s="120" t="str">
        <f>Toernooigegevens!F82</f>
        <v>W51</v>
      </c>
      <c r="F89" s="96" t="str">
        <f>IF(INDEX($M$76:$M$83,MATCH(VALUE(RIGHT(E89,2)),$A$76:$A$83,0))=3,INDEX($R$76:$R$83,MATCH(VALUE(RIGHT(E89,2)),$A$76:$A$83,0)),IF(INDEX($M$76:$M$83,MATCH(VALUE(RIGHT(E89,2)),$A$76:$A$83,0))="1",INDEX($F$76:$F$83,MATCH(VALUE(RIGHT(E89,2)),$A$76:$A$83,0)),IF(INDEX($M$76:$M$83,MATCH(VALUE(RIGHT(E89,2)),$A$76:$A$83,0))=2,INDEX($J$76:$J$83,MATCH(VALUE(RIGHT(E89,2)),$A$76:$A$83,0)),CONCATENATE("Winnaar ",RIGHT(E89,2)))))</f>
        <v>Nederland</v>
      </c>
      <c r="G89" s="135">
        <v>0</v>
      </c>
      <c r="H89" s="97" t="s">
        <v>29</v>
      </c>
      <c r="I89" s="69">
        <v>0</v>
      </c>
      <c r="J89" s="96" t="str">
        <f>IF(INDEX($M$76:$M$83,MATCH(VALUE(RIGHT(K89,2)),$A$76:$A$83,0))=3,INDEX($R$76:$R$83,MATCH(VALUE(RIGHT(K89,2)),$A$76:$A$83,0)),IF(INDEX($M$76:$M$83,MATCH(VALUE(RIGHT(K89,2)),$A$76:$A$83,0))="1",INDEX($F$76:$F$83,MATCH(VALUE(RIGHT(K89,2)),$A$76:$A$83,0)),IF(INDEX($M$76:$M$83,MATCH(VALUE(RIGHT(K89,2)),$A$76:$A$83,0))=2,INDEX($J$76:$J$83,MATCH(VALUE(RIGHT(K89,2)),$A$76:$A$83,0)),CONCATENATE("Winnaar ",RIGHT(K89,2)))))</f>
        <v>Costa Rica</v>
      </c>
      <c r="K89" s="122" t="str">
        <f>Toernooigegevens!J82</f>
        <v>W52</v>
      </c>
      <c r="L89" s="32"/>
      <c r="M89" s="97">
        <f>IF(AND(G89="",I89=""),"",IF(OR(G89="",I89=""),"FOUT",IF(G89&gt;I89,"1",IF(G89=I89,3,2))))</f>
        <v>3</v>
      </c>
      <c r="N89" s="137" t="str">
        <f>IF(M89=3,"======&gt;","")</f>
        <v>======&gt;</v>
      </c>
      <c r="O89" s="45"/>
      <c r="P89" s="45"/>
      <c r="Q89" s="45"/>
      <c r="R89" s="453" t="s">
        <v>135</v>
      </c>
      <c r="S89" s="453"/>
      <c r="T89" s="125"/>
      <c r="U89" s="125"/>
      <c r="V89" s="45"/>
      <c r="W89" s="45"/>
      <c r="X89" s="45"/>
      <c r="Y89" s="45"/>
      <c r="Z89" s="45"/>
      <c r="AA89" s="45"/>
      <c r="AB89" s="10"/>
      <c r="AD89" s="40" t="str">
        <f>F89</f>
        <v>Nederland</v>
      </c>
      <c r="AE89" s="41" t="str">
        <f>J89</f>
        <v>Costa Rica</v>
      </c>
      <c r="AF89" s="40" t="str">
        <f>CONCATENATE(G89," - ",I89)</f>
        <v>0 - 0</v>
      </c>
      <c r="AG89" s="40">
        <f>M89</f>
        <v>3</v>
      </c>
      <c r="AI89" s="127" t="str">
        <f>IF(M89=3,F89,"")</f>
        <v>Nederland</v>
      </c>
      <c r="AJ89" s="45" t="str">
        <f>IF(M89=3,J89,"")</f>
        <v>Costa Rica</v>
      </c>
      <c r="AK89" s="45" t="str">
        <f>IF(M89="1",F89,IF(M89=2,J89,IF(AND(M89=3,R89&lt;&gt;"",OR(R89=J89,R89=F89)),R89,"Winnaar "&amp;A89)))</f>
        <v>Nederland</v>
      </c>
      <c r="AL89" s="119"/>
      <c r="AM89" s="40">
        <f t="shared" si="41"/>
        <v>0</v>
      </c>
    </row>
    <row r="90" spans="1:55">
      <c r="A90" s="73">
        <f>Toernooigegevens!B83</f>
        <v>60</v>
      </c>
      <c r="B90" s="74">
        <f>Toernooigegevens!C83</f>
        <v>40362</v>
      </c>
      <c r="C90" s="75">
        <f>Toernooigegevens!D83</f>
        <v>41460</v>
      </c>
      <c r="D90" s="313">
        <f>Toernooigegevens!E83</f>
        <v>0.75</v>
      </c>
      <c r="E90" s="128" t="str">
        <f>Toernooigegevens!F83</f>
        <v>W55</v>
      </c>
      <c r="F90" s="102" t="str">
        <f>IF(INDEX($M$76:$M$83,MATCH(VALUE(RIGHT(E90,2)),$A$76:$A$83,0))=3,INDEX($R$76:$R$83,MATCH(VALUE(RIGHT(E90,2)),$A$76:$A$83,0)),IF(INDEX($M$76:$M$83,MATCH(VALUE(RIGHT(E90,2)),$A$76:$A$83,0))="1",INDEX($F$76:$F$83,MATCH(VALUE(RIGHT(E90,2)),$A$76:$A$83,0)),IF(INDEX($M$76:$M$83,MATCH(VALUE(RIGHT(E90,2)),$A$76:$A$83,0))=2,INDEX($J$76:$J$83,MATCH(VALUE(RIGHT(E90,2)),$A$76:$A$83,0)),CONCATENATE("Winnaar ",RIGHT(E90,2)))))</f>
        <v>Argentinië</v>
      </c>
      <c r="G90" s="136">
        <v>1</v>
      </c>
      <c r="H90" s="103" t="s">
        <v>29</v>
      </c>
      <c r="I90" s="78">
        <v>0</v>
      </c>
      <c r="J90" s="102" t="str">
        <f>IF(INDEX($M$76:$M$83,MATCH(VALUE(RIGHT(K90,2)),$A$76:$A$83,0))=3,INDEX($R$76:$R$83,MATCH(VALUE(RIGHT(K90,2)),$A$76:$A$83,0)),IF(INDEX($M$76:$M$83,MATCH(VALUE(RIGHT(K90,2)),$A$76:$A$83,0))="1",INDEX($F$76:$F$83,MATCH(VALUE(RIGHT(K90,2)),$A$76:$A$83,0)),IF(INDEX($M$76:$M$83,MATCH(VALUE(RIGHT(K90,2)),$A$76:$A$83,0))=2,INDEX($J$76:$J$83,MATCH(VALUE(RIGHT(K90,2)),$A$76:$A$83,0)),CONCATENATE("Winnaar ",RIGHT(K90,2)))))</f>
        <v>België</v>
      </c>
      <c r="K90" s="130" t="str">
        <f>Toernooigegevens!J83</f>
        <v>W56</v>
      </c>
      <c r="L90" s="32"/>
      <c r="M90" s="79" t="str">
        <f>IF(AND(G90="",I90=""),"",IF(OR(G90="",I90=""),"FOUT",IF(G90&gt;I90,"1",IF(G90=I90,3,2))))</f>
        <v>1</v>
      </c>
      <c r="N90" s="123" t="str">
        <f>IF(M90=3,"======&gt;","")</f>
        <v/>
      </c>
      <c r="R90" s="450"/>
      <c r="S90" s="450"/>
      <c r="T90" s="125"/>
      <c r="U90" s="125"/>
      <c r="AA90" s="45"/>
      <c r="AB90" s="45"/>
      <c r="AD90" s="40" t="str">
        <f>F90</f>
        <v>Argentinië</v>
      </c>
      <c r="AE90" s="41" t="str">
        <f>J90</f>
        <v>België</v>
      </c>
      <c r="AF90" s="40" t="str">
        <f>CONCATENATE(G90," - ",I90)</f>
        <v>1 - 0</v>
      </c>
      <c r="AG90" s="40" t="str">
        <f>M90</f>
        <v>1</v>
      </c>
      <c r="AI90" s="127" t="str">
        <f>IF(M90=3,F90,"")</f>
        <v/>
      </c>
      <c r="AJ90" s="45" t="str">
        <f>IF(M90=3,J90,"")</f>
        <v/>
      </c>
      <c r="AK90" s="45" t="str">
        <f>IF(M90="1",F90,IF(M90=2,J90,IF(AND(M90=3,R90&lt;&gt;"",OR(R90=J90,R90=F90)),R90,"Winnaar "&amp;A90)))</f>
        <v>Argentinië</v>
      </c>
      <c r="AL90" s="119"/>
      <c r="AM90" s="40">
        <f t="shared" si="41"/>
        <v>0</v>
      </c>
    </row>
    <row r="91" spans="1:55" s="1" customFormat="1">
      <c r="A91" s="104"/>
      <c r="B91" s="105"/>
      <c r="C91" s="106"/>
      <c r="D91" s="319"/>
      <c r="E91" s="105"/>
      <c r="F91" s="105"/>
      <c r="G91" s="104"/>
      <c r="H91" s="107"/>
      <c r="I91" s="104"/>
      <c r="J91" s="105"/>
      <c r="K91" s="105"/>
      <c r="L91" s="105"/>
      <c r="M91" s="107"/>
      <c r="N91" s="138"/>
      <c r="O91" s="105"/>
      <c r="P91" s="105"/>
      <c r="Q91" s="105"/>
      <c r="R91" s="105"/>
      <c r="S91" s="105"/>
      <c r="T91" s="105"/>
      <c r="U91" s="105"/>
      <c r="V91" s="105"/>
      <c r="W91" s="105"/>
      <c r="X91" s="105"/>
      <c r="Y91" s="105"/>
      <c r="Z91" s="105"/>
      <c r="AA91" s="105"/>
      <c r="AB91" s="105"/>
      <c r="AE91" s="133"/>
      <c r="AG91" s="40"/>
      <c r="AI91" s="127"/>
      <c r="AJ91" s="45"/>
      <c r="AK91" s="45"/>
      <c r="AL91" s="119"/>
      <c r="AM91" s="40">
        <f t="shared" si="41"/>
        <v>0</v>
      </c>
      <c r="AS91" s="443"/>
      <c r="AT91" s="443"/>
      <c r="AU91" s="443"/>
      <c r="AV91" s="443"/>
      <c r="AW91" s="443"/>
      <c r="AX91" s="443"/>
      <c r="AY91" s="443"/>
      <c r="AZ91" s="443"/>
      <c r="BA91" s="443"/>
      <c r="BB91" s="443"/>
      <c r="BC91" s="443"/>
    </row>
    <row r="92" spans="1:55">
      <c r="A92" s="108"/>
      <c r="B92" s="10"/>
      <c r="C92" s="139"/>
      <c r="D92" s="322"/>
      <c r="E92" s="10"/>
      <c r="F92" s="10"/>
      <c r="G92" s="108"/>
      <c r="H92" s="32"/>
      <c r="I92" s="108"/>
      <c r="J92" s="10"/>
      <c r="K92" s="10"/>
      <c r="L92" s="10"/>
      <c r="M92" s="32"/>
      <c r="N92" s="140"/>
      <c r="R92" s="451" t="s">
        <v>38</v>
      </c>
      <c r="S92" s="451"/>
      <c r="T92" s="134"/>
      <c r="U92" s="134"/>
      <c r="AI92" s="127"/>
      <c r="AJ92" s="45"/>
      <c r="AK92" s="45"/>
      <c r="AL92" s="119"/>
      <c r="AM92" s="40">
        <f t="shared" si="41"/>
        <v>0</v>
      </c>
    </row>
    <row r="93" spans="1:55">
      <c r="A93" s="55" t="s">
        <v>88</v>
      </c>
      <c r="B93" s="56"/>
      <c r="C93" s="56"/>
      <c r="D93" s="316"/>
      <c r="E93" s="56"/>
      <c r="F93" s="56"/>
      <c r="G93" s="57"/>
      <c r="H93" s="56"/>
      <c r="I93" s="57"/>
      <c r="J93" s="56"/>
      <c r="K93" s="58"/>
      <c r="L93" s="32"/>
      <c r="M93" s="60" t="s">
        <v>20</v>
      </c>
      <c r="N93" s="140"/>
      <c r="R93" s="452" t="s">
        <v>44</v>
      </c>
      <c r="S93" s="452"/>
      <c r="T93" s="117"/>
      <c r="U93" s="117"/>
      <c r="AI93" s="127"/>
      <c r="AJ93" s="45"/>
      <c r="AK93" s="45"/>
      <c r="AL93" s="119"/>
      <c r="AM93" s="40">
        <f t="shared" si="41"/>
        <v>0</v>
      </c>
    </row>
    <row r="94" spans="1:55">
      <c r="A94" s="64">
        <f>Toernooigegevens!B87</f>
        <v>61</v>
      </c>
      <c r="B94" s="65">
        <f>Toernooigegevens!C87</f>
        <v>40365</v>
      </c>
      <c r="C94" s="66">
        <f>Toernooigegevens!D87</f>
        <v>41463</v>
      </c>
      <c r="D94" s="314">
        <f>Toernooigegevens!E87</f>
        <v>0.91666666666666663</v>
      </c>
      <c r="E94" s="120" t="str">
        <f>Toernooigegevens!F87</f>
        <v>W57</v>
      </c>
      <c r="F94" s="96" t="str">
        <f>IF(INDEX($M$87:$M$90,MATCH(VALUE(RIGHT(E94,2)),$A$87:$A$90,0))=3,INDEX($R$87:$R$90,MATCH(VALUE(RIGHT(E94,2)),$A$87:$A$90,0)),IF(INDEX($M$87:$M$90,MATCH(VALUE(RIGHT(E94,2)),$A$87:$A$90,0))="1",INDEX($F$87:$F$90,MATCH(VALUE(RIGHT(E94,2)),$A$87:$A$90,0)),IF(INDEX($M$87:$M$90,MATCH(VALUE(RIGHT(E94,2)),$A$87:$A$90,0))=2,INDEX($J$87:$J$90,MATCH(VALUE(RIGHT(E94,2)),$A$87:$A$90,0)),Toernooigegevens!G87)))</f>
        <v>Brazilië</v>
      </c>
      <c r="G94" s="135">
        <v>1</v>
      </c>
      <c r="H94" s="97" t="s">
        <v>29</v>
      </c>
      <c r="I94" s="69">
        <v>7</v>
      </c>
      <c r="J94" s="96" t="str">
        <f>IF(INDEX($M$87:$M$90,MATCH(VALUE(RIGHT(K94,2)),$A$87:$A$90,0))=3,INDEX($R$87:$R$90,MATCH(VALUE(RIGHT(K94,2)),$A$87:$A$90,0)),IF(INDEX($M$87:$M$90,MATCH(VALUE(RIGHT(K94,2)),$A$87:$A$90,0))="1",INDEX($F$87:$F$90,MATCH(VALUE(RIGHT(K94,2)),$A$87:$A$90,0)),IF(INDEX($M$87:$M$90,MATCH(VALUE(RIGHT(K94,2)),$A$87:$A$90,0))=2,INDEX($J$87:$J$90,MATCH(VALUE(RIGHT(K94,2)),$A$87:$A$90,0)),Toernooigegevens!I87)))</f>
        <v>Duitsland</v>
      </c>
      <c r="K94" s="122" t="str">
        <f>Toernooigegevens!J87</f>
        <v>W58</v>
      </c>
      <c r="L94" s="32"/>
      <c r="M94" s="70">
        <f>IF(AND(G94="",I94=""),"",IF(OR(G94="",I94=""),"FOUT",IF(G94&gt;I94,"1",IF(G94=I94,3,2))))</f>
        <v>2</v>
      </c>
      <c r="N94" s="123" t="str">
        <f>IF(M94=3,"======&gt;","")</f>
        <v/>
      </c>
      <c r="R94" s="453"/>
      <c r="S94" s="453"/>
      <c r="T94" s="125"/>
      <c r="U94" s="125"/>
      <c r="AD94" s="40" t="str">
        <f>F94</f>
        <v>Brazilië</v>
      </c>
      <c r="AE94" s="41" t="str">
        <f>J94</f>
        <v>Duitsland</v>
      </c>
      <c r="AF94" s="40" t="str">
        <f>CONCATENATE(G94," - ",I94)</f>
        <v>1 - 7</v>
      </c>
      <c r="AG94" s="40">
        <f>M94</f>
        <v>2</v>
      </c>
      <c r="AI94" s="127" t="str">
        <f>IF(M94=3,F94,"")</f>
        <v/>
      </c>
      <c r="AJ94" s="45" t="str">
        <f>IF(M94=3,J94,"")</f>
        <v/>
      </c>
      <c r="AK94" s="45" t="str">
        <f>IF(M94="1",F94,IF(M94=2,J94,IF(AND(M94=3,R94&lt;&gt;"",OR(R94=J94,R94=F94)),R94,"Winnaar "&amp;A94)))</f>
        <v>Duitsland</v>
      </c>
      <c r="AL94" s="119"/>
      <c r="AM94" s="40">
        <f t="shared" si="41"/>
        <v>0</v>
      </c>
    </row>
    <row r="95" spans="1:55">
      <c r="A95" s="73">
        <f>Toernooigegevens!B88</f>
        <v>62</v>
      </c>
      <c r="B95" s="74">
        <f>Toernooigegevens!C88</f>
        <v>40366</v>
      </c>
      <c r="C95" s="75">
        <f>Toernooigegevens!D88</f>
        <v>41464</v>
      </c>
      <c r="D95" s="313">
        <f>Toernooigegevens!E88</f>
        <v>0.91666666666666663</v>
      </c>
      <c r="E95" s="128" t="str">
        <f>Toernooigegevens!F88</f>
        <v>W59</v>
      </c>
      <c r="F95" s="101" t="str">
        <f>IF(INDEX($M$87:$M$90,MATCH(VALUE(RIGHT(E95,2)),$A$87:$A$90,0))=3,INDEX($R$87:$R$90,MATCH(VALUE(RIGHT(E95,2)),$A$87:$A$90,0)),IF(INDEX($M$87:$M$90,MATCH(VALUE(RIGHT(E95,2)),$A$87:$A$90,0))="1",INDEX($F$87:$F$90,MATCH(VALUE(RIGHT(E95,2)),$A$87:$A$90,0)),IF(INDEX($M$87:$M$90,MATCH(VALUE(RIGHT(E95,2)),$A$87:$A$90,0))=2,INDEX($J$87:$J$90,MATCH(VALUE(RIGHT(E95,2)),$A$87:$A$90,0)),Toernooigegevens!G88)))</f>
        <v>Nederland</v>
      </c>
      <c r="G95" s="136">
        <v>0</v>
      </c>
      <c r="H95" s="103" t="s">
        <v>29</v>
      </c>
      <c r="I95" s="78">
        <v>0</v>
      </c>
      <c r="J95" s="102" t="str">
        <f>IF(INDEX($M$87:$M$90,MATCH(VALUE(RIGHT(K95,2)),$A$87:$A$90,0))=3,INDEX($R$87:$R$90,MATCH(VALUE(RIGHT(K95,2)),$A$87:$A$90,0)),IF(INDEX($M$87:$M$90,MATCH(VALUE(RIGHT(K95,2)),$A$87:$A$90,0))="1",INDEX($F$87:$F$90,MATCH(VALUE(RIGHT(K95,2)),$A$87:$A$90,0)),IF(INDEX($M$87:$M$90,MATCH(VALUE(RIGHT(K95,2)),$A$87:$A$90,0))=2,INDEX($J$87:$J$90,MATCH(VALUE(RIGHT(K95,2)),$A$87:$A$90,0)),Toernooigegevens!I88)))</f>
        <v>Argentinië</v>
      </c>
      <c r="K95" s="130" t="str">
        <f>Toernooigegevens!J88</f>
        <v>W60</v>
      </c>
      <c r="L95" s="32"/>
      <c r="M95" s="79">
        <f>IF(AND(G95="",I95=""),"",IF(OR(G95="",I95=""),"FOUT",IF(G95&gt;I95,"1",IF(G95=I95,3,2))))</f>
        <v>3</v>
      </c>
      <c r="N95" s="123" t="str">
        <f>IF(M95=3,"======&gt;","")</f>
        <v>======&gt;</v>
      </c>
      <c r="R95" s="450" t="s">
        <v>102</v>
      </c>
      <c r="S95" s="450"/>
      <c r="T95" s="125"/>
      <c r="U95" s="125"/>
      <c r="AD95" s="40" t="str">
        <f>F95</f>
        <v>Nederland</v>
      </c>
      <c r="AE95" s="41" t="str">
        <f>J95</f>
        <v>Argentinië</v>
      </c>
      <c r="AF95" s="40" t="str">
        <f>CONCATENATE(G95," - ",I95)</f>
        <v>0 - 0</v>
      </c>
      <c r="AG95" s="40">
        <f>M95</f>
        <v>3</v>
      </c>
      <c r="AI95" s="127" t="str">
        <f>IF(M95=3,F95,"")</f>
        <v>Nederland</v>
      </c>
      <c r="AJ95" s="45" t="str">
        <f>IF(M95=3,J95,"")</f>
        <v>Argentinië</v>
      </c>
      <c r="AK95" s="45" t="str">
        <f>IF(M95="1",F95,IF(M95=2,J95,IF(AND(M95=3,R95&lt;&gt;"",OR(R95=J95,R95=F95)),R95,"Winnaar "&amp;A95)))</f>
        <v>Argentinië</v>
      </c>
      <c r="AL95" s="119"/>
      <c r="AM95" s="40">
        <f t="shared" si="41"/>
        <v>0</v>
      </c>
    </row>
    <row r="96" spans="1:55">
      <c r="A96" s="104"/>
      <c r="B96" s="104"/>
      <c r="C96" s="106"/>
      <c r="D96" s="319"/>
      <c r="E96" s="105"/>
      <c r="F96" s="132"/>
      <c r="G96" s="104"/>
      <c r="H96" s="107"/>
      <c r="I96" s="104"/>
      <c r="J96" s="105"/>
      <c r="K96" s="105"/>
      <c r="L96" s="107"/>
      <c r="M96" s="107"/>
      <c r="N96" s="138"/>
      <c r="O96" s="105"/>
      <c r="P96" s="105"/>
      <c r="Q96" s="105"/>
      <c r="R96" s="105"/>
      <c r="S96" s="105"/>
      <c r="T96" s="105"/>
      <c r="U96" s="105"/>
      <c r="V96" s="105"/>
      <c r="W96" s="105"/>
      <c r="X96" s="104"/>
      <c r="Y96" s="105"/>
      <c r="Z96" s="105"/>
      <c r="AA96" s="105"/>
      <c r="AB96" s="105"/>
      <c r="AI96" s="127"/>
      <c r="AJ96" s="45"/>
      <c r="AK96" s="45"/>
      <c r="AL96" s="119"/>
      <c r="AM96" s="40">
        <f t="shared" si="41"/>
        <v>0</v>
      </c>
    </row>
    <row r="97" spans="1:55">
      <c r="A97" s="108"/>
      <c r="B97" s="52"/>
      <c r="C97" s="48"/>
      <c r="D97" s="320"/>
      <c r="E97" s="49"/>
      <c r="F97" s="49"/>
      <c r="G97" s="52"/>
      <c r="H97" s="53"/>
      <c r="I97" s="52"/>
      <c r="J97" s="49"/>
      <c r="K97" s="49"/>
      <c r="L97" s="32"/>
      <c r="M97" s="32"/>
      <c r="N97" s="140"/>
      <c r="R97" s="451" t="s">
        <v>38</v>
      </c>
      <c r="S97" s="451"/>
      <c r="T97" s="134"/>
      <c r="U97" s="134"/>
      <c r="AI97" s="127"/>
      <c r="AJ97" s="45"/>
      <c r="AK97" s="45"/>
      <c r="AL97" s="119"/>
      <c r="AM97" s="40">
        <f t="shared" si="41"/>
        <v>0</v>
      </c>
    </row>
    <row r="98" spans="1:55">
      <c r="A98" s="55" t="s">
        <v>47</v>
      </c>
      <c r="B98" s="56"/>
      <c r="C98" s="56"/>
      <c r="D98" s="316"/>
      <c r="E98" s="56"/>
      <c r="F98" s="56"/>
      <c r="G98" s="57"/>
      <c r="H98" s="56"/>
      <c r="I98" s="57"/>
      <c r="J98" s="56"/>
      <c r="K98" s="58"/>
      <c r="L98" s="32"/>
      <c r="M98" s="60" t="s">
        <v>20</v>
      </c>
      <c r="N98" s="140"/>
      <c r="R98" s="452" t="s">
        <v>44</v>
      </c>
      <c r="S98" s="452"/>
      <c r="T98" s="117"/>
      <c r="U98" s="117"/>
      <c r="AD98" s="40" t="str">
        <f>F99</f>
        <v>Brazilië</v>
      </c>
      <c r="AE98" s="41" t="str">
        <f>J99</f>
        <v>Nederland</v>
      </c>
      <c r="AF98" s="40" t="str">
        <f>CONCATENATE(G99," - ",I99)</f>
        <v>0 - 3</v>
      </c>
      <c r="AG98" s="40">
        <f>M99</f>
        <v>2</v>
      </c>
      <c r="AI98" s="127"/>
      <c r="AJ98" s="45"/>
      <c r="AK98" s="45"/>
      <c r="AL98" s="119"/>
      <c r="AM98" s="40">
        <f t="shared" si="41"/>
        <v>0</v>
      </c>
    </row>
    <row r="99" spans="1:55">
      <c r="A99" s="64">
        <f>Toernooigegevens!B92</f>
        <v>63</v>
      </c>
      <c r="B99" s="65">
        <f>Toernooigegevens!C92</f>
        <v>40369</v>
      </c>
      <c r="C99" s="66">
        <f>Toernooigegevens!D92</f>
        <v>41467</v>
      </c>
      <c r="D99" s="314">
        <f>Toernooigegevens!E92</f>
        <v>0.91666666666666663</v>
      </c>
      <c r="E99" s="141" t="str">
        <f>Toernooigegevens!F92</f>
        <v>V61</v>
      </c>
      <c r="F99" s="96" t="str">
        <f>IF(INDEX($A$94:$M$95,MATCH(VALUE(RIGHT(E99,2)),$A$94:$A$95),13)=3,INDEX($A$94:$M$95,MATCH(VALUE(RIGHT(E99,2)),$A$94:$A$95),IF(INDEX(A94:S95,MATCH(VALUE(RIGHT(E99,2)),$A$94:$A$95,0),6)=INDEX(A94:S95,MATCH(VALUE(RIGHT(E99,2)),$A$94:$A$95,0),18),10,6)),IF(INDEX($M$94:$M$95,MATCH(VALUE(RIGHT(E99,2)),$A$94:$A$95,0))=2,INDEX($F$94:$F$95,MATCH(VALUE(RIGHT(E99,2)),$A$94:$A$95,0)),IF(INDEX($M$94:$M$95,MATCH(VALUE(RIGHT(E99,2)),$A$94:$A$95,0))="1",INDEX($J$94:$J$95,MATCH(VALUE(RIGHT(E99,2)),$A$94:$A$95,0)),CONCATENATE("Verliezer ",RIGHT(E99,2)))))</f>
        <v>Brazilië</v>
      </c>
      <c r="G99" s="135">
        <v>0</v>
      </c>
      <c r="H99" s="97" t="s">
        <v>29</v>
      </c>
      <c r="I99" s="69">
        <v>3</v>
      </c>
      <c r="J99" s="96" t="str">
        <f>IF(INDEX($A$94:$M$95,MATCH(VALUE(RIGHT(K99,2)),$A$94:$A$95),13)=3,INDEX($A$94:$M$95,MATCH(VALUE(RIGHT(K99,2)),$A$94:$A$95),IF(INDEX(A94:S95,MATCH(VALUE(RIGHT(K99,2)),$A$94:$A$95,0),6)=INDEX(A94:S95,MATCH(VALUE(RIGHT(K99,2)),$A$94:$A$95,0),18),10,6)),IF(INDEX($M$94:$M$95,MATCH(VALUE(RIGHT(K99,2)),$A$94:$A$95,0))=2,INDEX($F$94:$F$95,MATCH(VALUE(RIGHT(K99,2)),$A$94:$A$95,0)),IF(INDEX($M$94:$M$95,MATCH(VALUE(RIGHT(K99,2)),$A$94:$A$95,0))="1",INDEX($J$94:$J$95,MATCH(VALUE(RIGHT(K99,2)),$A$94:$A$95,0)),CONCATENATE("Verliezer ",RIGHT(K99,2)))))</f>
        <v>Nederland</v>
      </c>
      <c r="K99" s="122" t="str">
        <f>Toernooigegevens!J92</f>
        <v>V62</v>
      </c>
      <c r="L99" s="32"/>
      <c r="M99" s="70">
        <f>IF(AND(G99="",I99=""),"",IF(OR(G99="",I99=""),"FOUT",IF(G99&gt;I99,"1",IF(G99=I99,3,2))))</f>
        <v>2</v>
      </c>
      <c r="N99" s="123" t="str">
        <f>IF(M99=3,"======&gt;","")</f>
        <v/>
      </c>
      <c r="R99" s="453"/>
      <c r="S99" s="453"/>
      <c r="T99" s="125"/>
      <c r="U99" s="125"/>
      <c r="AI99" s="127" t="str">
        <f>IF(M99=3,F99,"")</f>
        <v/>
      </c>
      <c r="AJ99" s="45" t="str">
        <f>IF(M99=3,J99,"")</f>
        <v/>
      </c>
      <c r="AK99" s="45" t="str">
        <f>IF(M99="1",F99,IF(M99=2,J99,IF(AND(M99=3,R99&lt;&gt;"",OR(R99=J99,R99=F99)),R99,"Winnaar "&amp;A99)))</f>
        <v>Nederland</v>
      </c>
      <c r="AL99" s="119"/>
      <c r="AM99" s="40">
        <f t="shared" si="41"/>
        <v>0</v>
      </c>
    </row>
    <row r="100" spans="1:55" s="1" customFormat="1">
      <c r="A100" s="104"/>
      <c r="B100" s="104"/>
      <c r="C100" s="106"/>
      <c r="D100" s="319"/>
      <c r="E100" s="105"/>
      <c r="F100" s="132"/>
      <c r="G100" s="104"/>
      <c r="H100" s="107"/>
      <c r="I100" s="104"/>
      <c r="J100" s="105"/>
      <c r="K100" s="105"/>
      <c r="L100" s="107"/>
      <c r="M100" s="107"/>
      <c r="N100" s="138"/>
      <c r="O100" s="105"/>
      <c r="P100" s="105"/>
      <c r="Q100" s="105"/>
      <c r="R100" s="105"/>
      <c r="S100" s="105"/>
      <c r="T100" s="105"/>
      <c r="U100" s="105"/>
      <c r="V100" s="105"/>
      <c r="W100" s="105"/>
      <c r="X100" s="105"/>
      <c r="Y100" s="105"/>
      <c r="Z100" s="105"/>
      <c r="AA100" s="105"/>
      <c r="AB100" s="105"/>
      <c r="AD100" s="40"/>
      <c r="AE100" s="41"/>
      <c r="AF100" s="40"/>
      <c r="AG100" s="40"/>
      <c r="AI100" s="127"/>
      <c r="AJ100" s="45"/>
      <c r="AK100" s="45"/>
      <c r="AL100" s="119"/>
      <c r="AM100" s="40">
        <f t="shared" si="41"/>
        <v>0</v>
      </c>
      <c r="AS100" s="443"/>
      <c r="AT100" s="443"/>
      <c r="AU100" s="443"/>
      <c r="AV100" s="443"/>
      <c r="AW100" s="443"/>
      <c r="AX100" s="443"/>
      <c r="AY100" s="443"/>
      <c r="AZ100" s="443"/>
      <c r="BA100" s="443"/>
      <c r="BB100" s="443"/>
      <c r="BC100" s="443"/>
    </row>
    <row r="101" spans="1:55">
      <c r="A101" s="108"/>
      <c r="B101" s="52"/>
      <c r="C101" s="48"/>
      <c r="D101" s="320"/>
      <c r="E101" s="49"/>
      <c r="F101" s="49"/>
      <c r="G101" s="52"/>
      <c r="H101" s="53"/>
      <c r="I101" s="52"/>
      <c r="J101" s="49"/>
      <c r="K101" s="49"/>
      <c r="L101" s="32"/>
      <c r="M101" s="32"/>
      <c r="N101" s="140"/>
      <c r="R101" s="451" t="s">
        <v>38</v>
      </c>
      <c r="S101" s="451"/>
      <c r="T101" s="134"/>
      <c r="U101" s="134"/>
      <c r="AD101" s="40" t="str">
        <f>F103</f>
        <v>Duitsland</v>
      </c>
      <c r="AE101" s="41" t="str">
        <f>J103</f>
        <v>Argentinië</v>
      </c>
      <c r="AF101" s="40" t="str">
        <f>CONCATENATE(G103," - ",I103)</f>
        <v>1 - 0</v>
      </c>
      <c r="AG101" s="40" t="str">
        <f>M103</f>
        <v>1</v>
      </c>
      <c r="AI101" s="127"/>
      <c r="AJ101" s="45"/>
      <c r="AK101" s="45"/>
      <c r="AL101" s="119"/>
      <c r="AM101" s="40">
        <f t="shared" si="41"/>
        <v>0</v>
      </c>
    </row>
    <row r="102" spans="1:55">
      <c r="A102" s="55" t="s">
        <v>48</v>
      </c>
      <c r="B102" s="56"/>
      <c r="C102" s="56"/>
      <c r="D102" s="316"/>
      <c r="E102" s="56"/>
      <c r="F102" s="56"/>
      <c r="G102" s="57"/>
      <c r="H102" s="56"/>
      <c r="I102" s="57"/>
      <c r="J102" s="56"/>
      <c r="K102" s="58"/>
      <c r="L102" s="32"/>
      <c r="M102" s="142" t="s">
        <v>20</v>
      </c>
      <c r="N102" s="454"/>
      <c r="O102" s="454"/>
      <c r="P102" s="117"/>
      <c r="Q102" s="117"/>
      <c r="R102" s="452" t="s">
        <v>44</v>
      </c>
      <c r="S102" s="452"/>
      <c r="T102" s="117"/>
      <c r="U102" s="117"/>
      <c r="V102" s="45"/>
      <c r="AD102" s="1"/>
      <c r="AE102" s="133"/>
      <c r="AF102" s="1"/>
      <c r="AG102" s="1"/>
      <c r="AI102" s="127"/>
      <c r="AJ102" s="45"/>
      <c r="AK102" s="45"/>
      <c r="AL102" s="119"/>
      <c r="AM102" s="40">
        <f t="shared" si="41"/>
        <v>0</v>
      </c>
    </row>
    <row r="103" spans="1:55">
      <c r="A103" s="73">
        <f>Toernooigegevens!B96</f>
        <v>64</v>
      </c>
      <c r="B103" s="74">
        <f>Toernooigegevens!C96</f>
        <v>40370</v>
      </c>
      <c r="C103" s="75">
        <f>Toernooigegevens!D96</f>
        <v>41468</v>
      </c>
      <c r="D103" s="313">
        <f>Toernooigegevens!E96</f>
        <v>0.875</v>
      </c>
      <c r="E103" s="128" t="str">
        <f>Toernooigegevens!F96</f>
        <v>W61</v>
      </c>
      <c r="F103" s="341" t="str">
        <f>IF(INDEX($M$94:$M$95,MATCH(VALUE(RIGHT(E103,2)),$A$94:$A$95,0))=3,INDEX($R$94:$R$95,MATCH(VALUE(RIGHT(E103,2)),$A$94:$A$95,0)),IF(INDEX($M$94:$M$95,MATCH(VALUE(RIGHT(E103,2)),$A$94:$A$95,0))="1",INDEX($F$94:$F$95,MATCH(VALUE(RIGHT(E103,2)),$A$94:$A$95,0)),IF(INDEX($M$94:$M$95,MATCH(VALUE(RIGHT(E103,2)),$A$94:$A$95,0))=2,INDEX($J$94:$J$95,MATCH(VALUE(RIGHT(E103,2)),$A$94:$A$95,0)),CONCATENATE("Winnaar ",RIGHT(E103,2)))))</f>
        <v>Duitsland</v>
      </c>
      <c r="G103" s="342">
        <v>1</v>
      </c>
      <c r="H103" s="343" t="s">
        <v>29</v>
      </c>
      <c r="I103" s="344">
        <v>0</v>
      </c>
      <c r="J103" s="345" t="str">
        <f>IF(INDEX($M$94:$M$95,MATCH(VALUE(RIGHT(K103,2)),$A$94:$A$95,0))=3,INDEX($R$94:$R$95,MATCH(VALUE(RIGHT(K103,2)),$A$94:$A$95,0)),IF(INDEX($M$94:$M$95,MATCH(VALUE(RIGHT(K103,2)),$A$94:$A$95,0))="1",INDEX($F$94:$F$95,MATCH(VALUE(RIGHT(K103,2)),$A$94:$A$95,0)),IF(INDEX($M$94:$M$95,MATCH(VALUE(RIGHT(K103,2)),$A$94:$A$95,0))=2,INDEX($J$94:$J$95,MATCH(VALUE(RIGHT(K103,2)),$A$94:$A$95,0)),CONCATENATE("Winnaar ",RIGHT(K103,2)))))</f>
        <v>Argentinië</v>
      </c>
      <c r="K103" s="130" t="str">
        <f>Toernooigegevens!J96</f>
        <v>W62</v>
      </c>
      <c r="L103" s="32"/>
      <c r="M103" s="143" t="str">
        <f>IF(AND(G103="",I103=""),"",IF(OR(G103="",I103=""),"FOUT",IF(G103&gt;I103,"1",IF(G103=I103,3,2))))</f>
        <v>1</v>
      </c>
      <c r="N103" s="455" t="str">
        <f>IF(M103=3,"======&gt;","")</f>
        <v/>
      </c>
      <c r="O103" s="455" t="str">
        <f>IF(N103=3,"======&gt;","")</f>
        <v/>
      </c>
      <c r="P103" s="125"/>
      <c r="Q103" s="125"/>
      <c r="R103" s="453"/>
      <c r="S103" s="453"/>
      <c r="T103" s="125"/>
      <c r="U103" s="125"/>
      <c r="AI103" s="127" t="str">
        <f>IF(M103=3,F103,"")</f>
        <v/>
      </c>
      <c r="AJ103" s="45" t="str">
        <f>IF(M103=3,J103,"")</f>
        <v/>
      </c>
      <c r="AK103" s="144" t="str">
        <f>IF(M103="1",F103,IF(M103=2,J103,IF(AND(M103=3,R103&lt;&gt;"",OR(R103=J103,R103=F103)),R103,"Winnaar "&amp;A103)))</f>
        <v>Duitsland</v>
      </c>
      <c r="AL103" s="145"/>
      <c r="AM103" s="40">
        <f t="shared" si="41"/>
        <v>0</v>
      </c>
    </row>
    <row r="104" spans="1:55" ht="18.75">
      <c r="A104" s="146" t="s">
        <v>406</v>
      </c>
      <c r="B104" s="146"/>
      <c r="C104" s="146"/>
      <c r="D104" s="146"/>
      <c r="E104" s="146"/>
      <c r="F104" s="346" t="str">
        <f>AK103</f>
        <v>Duitsland</v>
      </c>
      <c r="G104" s="147"/>
      <c r="H104" s="148"/>
      <c r="I104" s="147"/>
      <c r="J104" s="147"/>
      <c r="K104" s="49"/>
      <c r="L104" s="49"/>
      <c r="M104" s="53"/>
      <c r="N104" s="45"/>
      <c r="O104" s="45"/>
      <c r="AD104" s="40" t="str">
        <f>IF(M103="","FOUT",IF(M103="1",F103,IF(M103=2,J103,R103)))</f>
        <v>Duitsland</v>
      </c>
      <c r="AE104" s="149"/>
    </row>
    <row r="105" spans="1:55" hidden="1">
      <c r="AB105" s="105"/>
      <c r="AC105" s="1"/>
    </row>
    <row r="109" spans="1:55" hidden="1">
      <c r="A109" s="150"/>
      <c r="B109" s="151"/>
      <c r="C109" s="152"/>
      <c r="D109" s="151"/>
      <c r="E109" s="151"/>
      <c r="F109" s="151"/>
      <c r="G109" s="150"/>
      <c r="H109" s="153"/>
      <c r="I109" s="150"/>
      <c r="J109" s="151"/>
      <c r="K109" s="151"/>
      <c r="L109" s="151"/>
      <c r="M109" s="153"/>
    </row>
    <row r="112" spans="1:55"/>
    <row r="113"/>
    <row r="114"/>
  </sheetData>
  <sheetProtection password="D94F" sheet="1" objects="1" scenarios="1" selectLockedCells="1"/>
  <mergeCells count="28">
    <mergeCell ref="N102:O102"/>
    <mergeCell ref="R102:S102"/>
    <mergeCell ref="N103:O103"/>
    <mergeCell ref="R103:S103"/>
    <mergeCell ref="R94:S94"/>
    <mergeCell ref="R95:S95"/>
    <mergeCell ref="R97:S97"/>
    <mergeCell ref="R98:S98"/>
    <mergeCell ref="R99:S99"/>
    <mergeCell ref="R101:S101"/>
    <mergeCell ref="R93:S93"/>
    <mergeCell ref="R80:S80"/>
    <mergeCell ref="R81:S81"/>
    <mergeCell ref="R82:S82"/>
    <mergeCell ref="R83:S83"/>
    <mergeCell ref="R85:S85"/>
    <mergeCell ref="R86:S86"/>
    <mergeCell ref="R87:S87"/>
    <mergeCell ref="R88:S88"/>
    <mergeCell ref="R89:S89"/>
    <mergeCell ref="R90:S90"/>
    <mergeCell ref="R92:S92"/>
    <mergeCell ref="R79:S79"/>
    <mergeCell ref="R74:S74"/>
    <mergeCell ref="R75:S75"/>
    <mergeCell ref="R76:S76"/>
    <mergeCell ref="R77:S77"/>
    <mergeCell ref="R78:S78"/>
  </mergeCells>
  <conditionalFormatting sqref="M11:M16 M19:M24 M27:M32 M35:M40 M43:M48 M51:M56 M59:M64 M67:M72 M76:M83 M87:M90 M94:M95 M99 M103 P103:Q103 T76:T83 T87:U90 T94:U95 T99:U99 T103:U103 V76:V83 X76:X83">
    <cfRule type="cellIs" dxfId="24" priority="1" stopIfTrue="1" operator="equal">
      <formula>"FOUT"</formula>
    </cfRule>
  </conditionalFormatting>
  <conditionalFormatting sqref="R76:S103">
    <cfRule type="expression" dxfId="23" priority="2" stopIfTrue="1">
      <formula>AND($AM76=1,OR($M76=3,$R76&lt;&gt;""))</formula>
    </cfRule>
  </conditionalFormatting>
  <dataValidations count="16">
    <dataValidation type="list" operator="equal" allowBlank="1" showInputMessage="1" showErrorMessage="1" sqref="R76:S76">
      <formula1>$AI$76:$AJ$76</formula1>
      <formula2>0</formula2>
    </dataValidation>
    <dataValidation type="list" operator="equal" allowBlank="1" showInputMessage="1" showErrorMessage="1" sqref="R77:S77">
      <formula1>$AI$77:$AJ$77</formula1>
      <formula2>0</formula2>
    </dataValidation>
    <dataValidation type="list" operator="equal" allowBlank="1" showInputMessage="1" showErrorMessage="1" sqref="R78:S78">
      <formula1>$AI$78:$AJ$78</formula1>
      <formula2>0</formula2>
    </dataValidation>
    <dataValidation type="list" operator="equal" allowBlank="1" showInputMessage="1" showErrorMessage="1" sqref="R79:S79">
      <formula1>$AI$79:$AJ$79</formula1>
      <formula2>0</formula2>
    </dataValidation>
    <dataValidation type="list" operator="equal" allowBlank="1" showInputMessage="1" showErrorMessage="1" sqref="R80:S80">
      <formula1>$AI$80:$AJ$80</formula1>
      <formula2>0</formula2>
    </dataValidation>
    <dataValidation type="list" operator="equal" allowBlank="1" showInputMessage="1" showErrorMessage="1" sqref="R81:S81">
      <formula1>$AI$81:$AJ$81</formula1>
      <formula2>0</formula2>
    </dataValidation>
    <dataValidation type="list" operator="equal" allowBlank="1" showInputMessage="1" showErrorMessage="1" sqref="R82:S82">
      <formula1>$AI$82:$AJ$82</formula1>
      <formula2>0</formula2>
    </dataValidation>
    <dataValidation type="list" operator="equal" allowBlank="1" showInputMessage="1" showErrorMessage="1" sqref="R83:S83">
      <formula1>$AI$83:$AJ$83</formula1>
      <formula2>0</formula2>
    </dataValidation>
    <dataValidation type="list" operator="equal" allowBlank="1" showInputMessage="1" showErrorMessage="1" sqref="R87:S87">
      <formula1>$AI$87:$AJ$87</formula1>
      <formula2>0</formula2>
    </dataValidation>
    <dataValidation type="list" operator="equal" allowBlank="1" showInputMessage="1" showErrorMessage="1" sqref="R88:S88">
      <formula1>$AI$88:$AJ$88</formula1>
      <formula2>0</formula2>
    </dataValidation>
    <dataValidation type="list" operator="equal" allowBlank="1" showInputMessage="1" showErrorMessage="1" sqref="R89:S89">
      <formula1>$AI$89:$AJ$89</formula1>
      <formula2>0</formula2>
    </dataValidation>
    <dataValidation type="list" operator="equal" allowBlank="1" showInputMessage="1" showErrorMessage="1" sqref="R90:S90">
      <formula1>$AI$90:$AJ$90</formula1>
      <formula2>0</formula2>
    </dataValidation>
    <dataValidation type="list" operator="equal" allowBlank="1" showInputMessage="1" showErrorMessage="1" sqref="R94:S94">
      <formula1>$AI$94:$AJ$94</formula1>
      <formula2>0</formula2>
    </dataValidation>
    <dataValidation type="list" operator="equal" allowBlank="1" showInputMessage="1" showErrorMessage="1" sqref="R95:S95">
      <formula1>$AI$95:$AJ$95</formula1>
      <formula2>0</formula2>
    </dataValidation>
    <dataValidation type="list" operator="equal" allowBlank="1" showInputMessage="1" showErrorMessage="1" sqref="R99:S99">
      <formula1>$AI$99:$AJ$99</formula1>
      <formula2>0</formula2>
    </dataValidation>
    <dataValidation type="list" operator="equal" allowBlank="1" showInputMessage="1" showErrorMessage="1" sqref="R103:S103">
      <formula1>$AI$103:$AJ$103</formula1>
      <formula2>0</formula2>
    </dataValidation>
  </dataValidations>
  <pageMargins left="0.75" right="0.75" top="1" bottom="1" header="0.51180555555555551" footer="0.51180555555555551"/>
  <pageSetup firstPageNumber="0" fitToHeight="2" orientation="portrait" horizontalDpi="300" verticalDpi="300" r:id="rId1"/>
  <headerFooter alignWithMargins="0"/>
  <drawing r:id="rId2"/>
</worksheet>
</file>

<file path=xl/worksheets/sheet20.xml><?xml version="1.0" encoding="utf-8"?>
<worksheet xmlns="http://schemas.openxmlformats.org/spreadsheetml/2006/main" xmlns:r="http://schemas.openxmlformats.org/officeDocument/2006/relationships">
  <sheetPr>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8" width="4.140625" style="363" customWidth="1"/>
    <col min="9" max="9" width="3.5703125" style="363" customWidth="1"/>
    <col min="10" max="10" width="4.1406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494</v>
      </c>
      <c r="L1" s="194"/>
      <c r="P1" s="193">
        <f>SUM(P14:P101)+E11+H11+L7+L11+Q11</f>
        <v>420</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Nederland</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Ivoorkust</v>
      </c>
      <c r="C4" s="222">
        <f t="shared" si="1"/>
        <v>0</v>
      </c>
      <c r="D4" s="224" t="str">
        <f t="shared" si="2"/>
        <v>Italië</v>
      </c>
      <c r="E4" s="222">
        <f t="shared" si="3"/>
        <v>0</v>
      </c>
      <c r="F4" s="339" t="s">
        <v>450</v>
      </c>
      <c r="G4" s="195" t="str">
        <f>G88</f>
        <v>Italië</v>
      </c>
      <c r="H4" s="222">
        <f t="shared" si="4"/>
        <v>0</v>
      </c>
      <c r="I4" s="339" t="s">
        <v>458</v>
      </c>
      <c r="J4" s="195" t="str">
        <f>G94</f>
        <v>Duitsland</v>
      </c>
      <c r="L4" s="222">
        <f>IF(ISNA(MATCH(J4,teams_halve,0)),0,20)</f>
        <v>20</v>
      </c>
      <c r="Q4" s="224"/>
    </row>
    <row r="5" spans="1:21" s="195" customFormat="1" ht="15" customHeight="1">
      <c r="B5" s="224" t="str">
        <f t="shared" si="0"/>
        <v>Spanje</v>
      </c>
      <c r="C5" s="222">
        <f t="shared" si="1"/>
        <v>0</v>
      </c>
      <c r="D5" s="224" t="str">
        <f t="shared" si="2"/>
        <v>Kroatië</v>
      </c>
      <c r="E5" s="222">
        <f t="shared" si="3"/>
        <v>0</v>
      </c>
      <c r="F5" s="339" t="s">
        <v>451</v>
      </c>
      <c r="G5" s="195" t="str">
        <f>E90</f>
        <v>Spanje</v>
      </c>
      <c r="H5" s="222">
        <f t="shared" si="4"/>
        <v>0</v>
      </c>
      <c r="I5" s="339" t="s">
        <v>459</v>
      </c>
      <c r="J5" s="195" t="str">
        <f>E95</f>
        <v>Spanje</v>
      </c>
      <c r="L5" s="222">
        <f>IF(ISNA(MATCH(J5,teams_halve,0)),0,20)</f>
        <v>0</v>
      </c>
    </row>
    <row r="6" spans="1:21" s="195" customFormat="1" ht="15" customHeight="1">
      <c r="B6" s="224" t="str">
        <f t="shared" si="0"/>
        <v>Uruguay</v>
      </c>
      <c r="C6" s="222">
        <f t="shared" si="1"/>
        <v>10</v>
      </c>
      <c r="D6" s="224" t="str">
        <f t="shared" si="2"/>
        <v>Colombia</v>
      </c>
      <c r="E6" s="222">
        <f t="shared" si="3"/>
        <v>10</v>
      </c>
      <c r="F6" s="339" t="s">
        <v>452</v>
      </c>
      <c r="G6" s="195" t="str">
        <f>G90</f>
        <v>Uruguay</v>
      </c>
      <c r="H6" s="222">
        <f t="shared" si="4"/>
        <v>0</v>
      </c>
      <c r="I6" s="339" t="s">
        <v>460</v>
      </c>
      <c r="J6" s="195" t="str">
        <f>G95</f>
        <v>Argentinië</v>
      </c>
      <c r="L6" s="222">
        <f>IF(ISNA(MATCH(J6,teams_halve,0)),0,20)</f>
        <v>20</v>
      </c>
    </row>
    <row r="7" spans="1:21" s="195" customFormat="1" ht="15" customHeight="1">
      <c r="B7" s="224" t="str">
        <f t="shared" si="0"/>
        <v>Zwitserland</v>
      </c>
      <c r="C7" s="222">
        <f t="shared" si="1"/>
        <v>10</v>
      </c>
      <c r="D7" s="224" t="str">
        <f t="shared" si="2"/>
        <v>Nigeria</v>
      </c>
      <c r="E7" s="222">
        <f t="shared" si="3"/>
        <v>10</v>
      </c>
      <c r="F7" s="339" t="s">
        <v>453</v>
      </c>
      <c r="G7" s="195" t="str">
        <f>E89</f>
        <v>Nigeria</v>
      </c>
      <c r="H7" s="222">
        <f t="shared" si="4"/>
        <v>0</v>
      </c>
      <c r="I7" s="339"/>
      <c r="J7" s="198" t="s">
        <v>83</v>
      </c>
      <c r="K7" s="199"/>
      <c r="L7" s="225">
        <f>SUM(L3:L6)</f>
        <v>60</v>
      </c>
    </row>
    <row r="8" spans="1:21" s="195" customFormat="1" ht="15" customHeight="1">
      <c r="B8" s="224" t="str">
        <f t="shared" si="0"/>
        <v>Duitsland</v>
      </c>
      <c r="C8" s="222">
        <f t="shared" si="1"/>
        <v>10</v>
      </c>
      <c r="D8" s="224" t="str">
        <f t="shared" si="2"/>
        <v>Rusland</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Frankrijk</v>
      </c>
      <c r="E9" s="222">
        <f t="shared" si="3"/>
        <v>10</v>
      </c>
      <c r="F9" s="339" t="s">
        <v>455</v>
      </c>
      <c r="G9" s="195" t="str">
        <f>E91</f>
        <v>Argentinië</v>
      </c>
      <c r="H9" s="222">
        <f t="shared" si="4"/>
        <v>15</v>
      </c>
      <c r="I9" s="339" t="s">
        <v>461</v>
      </c>
      <c r="J9" s="195" t="str">
        <f>E101</f>
        <v>Brazilië</v>
      </c>
      <c r="L9" s="222">
        <f>IF(ISNA(MATCH(J9,teams_fin,0)),0,30)</f>
        <v>0</v>
      </c>
      <c r="P9" s="444" t="str">
        <f>E98</f>
        <v>Duitsland</v>
      </c>
      <c r="Q9" s="222">
        <f>IF(ISNA(MATCH(P9,teams_troost,0)),0,25)</f>
        <v>0</v>
      </c>
    </row>
    <row r="10" spans="1:21" s="195" customFormat="1" ht="15" customHeight="1">
      <c r="B10" s="224" t="str">
        <f t="shared" si="0"/>
        <v>België</v>
      </c>
      <c r="C10" s="222">
        <f t="shared" si="1"/>
        <v>10</v>
      </c>
      <c r="D10" s="224" t="str">
        <f t="shared" si="2"/>
        <v>Portugal</v>
      </c>
      <c r="E10" s="222">
        <f t="shared" si="3"/>
        <v>0</v>
      </c>
      <c r="F10" s="339" t="s">
        <v>456</v>
      </c>
      <c r="G10" s="195" t="str">
        <f>G91</f>
        <v>Portugal</v>
      </c>
      <c r="H10" s="222">
        <f t="shared" si="4"/>
        <v>0</v>
      </c>
      <c r="I10" s="339" t="s">
        <v>462</v>
      </c>
      <c r="J10" s="195" t="str">
        <f>G101</f>
        <v>Argentinië</v>
      </c>
      <c r="L10" s="222">
        <f>IF(ISNA(MATCH(J10,teams_fin,0)),0,30)</f>
        <v>30</v>
      </c>
      <c r="P10" s="444" t="str">
        <f>G98</f>
        <v>Spanje</v>
      </c>
      <c r="Q10" s="222">
        <f>IF(ISNA(MATCH(P10,teams_troost,0)),0,25)</f>
        <v>0</v>
      </c>
    </row>
    <row r="11" spans="1:21" s="195" customFormat="1" ht="15" customHeight="1">
      <c r="D11" s="198" t="s">
        <v>89</v>
      </c>
      <c r="E11" s="225">
        <f>SUM(C3:E10)</f>
        <v>100</v>
      </c>
      <c r="G11" s="198" t="s">
        <v>82</v>
      </c>
      <c r="H11" s="225">
        <f>SUM(H3:H10)</f>
        <v>45</v>
      </c>
      <c r="J11" s="198" t="s">
        <v>90</v>
      </c>
      <c r="K11" s="199"/>
      <c r="L11" s="225">
        <f>SUM(L9:L10)</f>
        <v>30</v>
      </c>
      <c r="P11" s="199"/>
      <c r="Q11" s="225">
        <f>SUM(Q9:Q10)</f>
        <v>0</v>
      </c>
    </row>
    <row r="12" spans="1:21">
      <c r="B12" s="201" t="s">
        <v>19</v>
      </c>
      <c r="C12" s="201"/>
      <c r="D12" s="339" t="s">
        <v>463</v>
      </c>
      <c r="E12" s="202" t="s">
        <v>102</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2</v>
      </c>
      <c r="I14" s="366" t="s">
        <v>29</v>
      </c>
      <c r="J14" s="366">
        <v>1</v>
      </c>
      <c r="K14" s="212" t="str">
        <f t="shared" ref="K14:K76"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2</v>
      </c>
      <c r="I15" s="366" t="s">
        <v>29</v>
      </c>
      <c r="J15" s="366">
        <v>1</v>
      </c>
      <c r="K15" s="212" t="str">
        <f t="shared" si="5"/>
        <v>1</v>
      </c>
      <c r="L15" s="210" t="str">
        <f>VLOOKUP($B15,Invulblad!$A$11:$S$103,13,0)</f>
        <v>1</v>
      </c>
      <c r="M15" s="211">
        <f>IF(L15&lt;&gt;"",VLOOKUP($B15,Invulblad!$A$11:$S$103,7,0),"")</f>
        <v>1</v>
      </c>
      <c r="N15" s="209" t="s">
        <v>29</v>
      </c>
      <c r="O15" s="211">
        <f>IF(L15&lt;&gt;"",VLOOKUP($B15,Invulblad!$A$11:$S$103,9,0),"")</f>
        <v>0</v>
      </c>
      <c r="P15" s="212">
        <f t="shared" si="6"/>
        <v>5</v>
      </c>
    </row>
    <row r="16" spans="1:21">
      <c r="A16" s="188">
        <v>3</v>
      </c>
      <c r="B16" s="195">
        <v>17</v>
      </c>
      <c r="C16" s="332">
        <v>41807</v>
      </c>
      <c r="D16" s="333">
        <v>0.875</v>
      </c>
      <c r="E16" s="189" t="s">
        <v>557</v>
      </c>
      <c r="F16" s="189" t="s">
        <v>29</v>
      </c>
      <c r="G16" s="189" t="s">
        <v>96</v>
      </c>
      <c r="H16" s="366">
        <v>2</v>
      </c>
      <c r="I16" s="366" t="s">
        <v>29</v>
      </c>
      <c r="J16" s="366">
        <v>0</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0</v>
      </c>
      <c r="I17" s="366" t="s">
        <v>29</v>
      </c>
      <c r="J17" s="366">
        <v>1</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0</v>
      </c>
      <c r="I18" s="366" t="s">
        <v>29</v>
      </c>
      <c r="J18" s="366">
        <v>3</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2</v>
      </c>
      <c r="I19" s="366" t="s">
        <v>29</v>
      </c>
      <c r="J19" s="366">
        <v>1</v>
      </c>
      <c r="K19" s="212" t="str">
        <f t="shared" si="5"/>
        <v>1</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1</v>
      </c>
      <c r="I22" s="366" t="s">
        <v>29</v>
      </c>
      <c r="J22" s="366">
        <v>1</v>
      </c>
      <c r="K22" s="212">
        <f t="shared" si="5"/>
        <v>3</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2</v>
      </c>
      <c r="I23" s="366" t="s">
        <v>29</v>
      </c>
      <c r="J23" s="366">
        <v>1</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3</v>
      </c>
      <c r="I24" s="366" t="s">
        <v>29</v>
      </c>
      <c r="J24" s="366">
        <v>1</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0</v>
      </c>
      <c r="I25" s="366" t="s">
        <v>29</v>
      </c>
      <c r="J25" s="366">
        <v>2</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1</v>
      </c>
      <c r="I26" s="366" t="s">
        <v>29</v>
      </c>
      <c r="J26" s="366">
        <v>3</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2</v>
      </c>
      <c r="I27" s="366" t="s">
        <v>29</v>
      </c>
      <c r="J27" s="366">
        <v>1</v>
      </c>
      <c r="K27" s="212" t="str">
        <f t="shared" si="5"/>
        <v>1</v>
      </c>
      <c r="L27" s="210" t="str">
        <f>VLOOKUP($B27,Invulblad!$A$11:$S$103,13,0)</f>
        <v>1</v>
      </c>
      <c r="M27" s="211">
        <f>IF(L27&lt;&gt;"",VLOOKUP($B27,Invulblad!$A$11:$S$103,7,0),"")</f>
        <v>2</v>
      </c>
      <c r="N27" s="209" t="s">
        <v>29</v>
      </c>
      <c r="O27" s="211">
        <f>IF(L27&lt;&gt;"",VLOOKUP($B27,Invulblad!$A$11:$S$103,9,0),"")</f>
        <v>0</v>
      </c>
      <c r="P27" s="212">
        <f t="shared" si="7"/>
        <v>5</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2</v>
      </c>
      <c r="I30" s="366" t="s">
        <v>29</v>
      </c>
      <c r="J30" s="366">
        <v>1</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2</v>
      </c>
      <c r="I31" s="366" t="s">
        <v>29</v>
      </c>
      <c r="J31" s="366">
        <v>2</v>
      </c>
      <c r="K31" s="212">
        <f t="shared" si="5"/>
        <v>3</v>
      </c>
      <c r="L31" s="210" t="str">
        <f>VLOOKUP($B31,Invulblad!$A$11:$S$103,13,0)</f>
        <v>1</v>
      </c>
      <c r="M31" s="211">
        <f>IF(L31&lt;&gt;"",VLOOKUP($B31,Invulblad!$A$11:$S$103,7,0),"")</f>
        <v>2</v>
      </c>
      <c r="N31" s="209" t="s">
        <v>29</v>
      </c>
      <c r="O31" s="211">
        <f>IF(L31&lt;&gt;"",VLOOKUP($B31,Invulblad!$A$11:$S$103,9,0),"")</f>
        <v>1</v>
      </c>
      <c r="P31" s="212">
        <f t="shared" si="8"/>
        <v>0</v>
      </c>
    </row>
    <row r="32" spans="1:16">
      <c r="A32" s="188">
        <v>19</v>
      </c>
      <c r="B32" s="195">
        <v>21</v>
      </c>
      <c r="C32" s="332">
        <v>41809</v>
      </c>
      <c r="D32" s="333">
        <v>0.75</v>
      </c>
      <c r="E32" s="189" t="s">
        <v>428</v>
      </c>
      <c r="F32" s="189" t="s">
        <v>29</v>
      </c>
      <c r="G32" s="189" t="s">
        <v>125</v>
      </c>
      <c r="H32" s="366">
        <v>1</v>
      </c>
      <c r="I32" s="366" t="s">
        <v>29</v>
      </c>
      <c r="J32" s="366">
        <v>2</v>
      </c>
      <c r="K32" s="212">
        <f t="shared" si="5"/>
        <v>2</v>
      </c>
      <c r="L32" s="210" t="str">
        <f>VLOOKUP($B32,Invulblad!$A$11:$S$103,13,0)</f>
        <v>1</v>
      </c>
      <c r="M32" s="211">
        <f>IF(L32&lt;&gt;"",VLOOKUP($B32,Invulblad!$A$11:$S$103,7,0),"")</f>
        <v>2</v>
      </c>
      <c r="N32" s="209" t="s">
        <v>29</v>
      </c>
      <c r="O32" s="211">
        <f>IF(L32&lt;&gt;"",VLOOKUP($B32,Invulblad!$A$11:$S$103,9,0),"")</f>
        <v>1</v>
      </c>
      <c r="P32" s="212">
        <f t="shared" si="8"/>
        <v>0</v>
      </c>
    </row>
    <row r="33" spans="1:16">
      <c r="A33" s="188">
        <v>20</v>
      </c>
      <c r="B33" s="195">
        <v>22</v>
      </c>
      <c r="C33" s="332">
        <v>41810</v>
      </c>
      <c r="D33" s="333">
        <v>0</v>
      </c>
      <c r="E33" s="189" t="s">
        <v>118</v>
      </c>
      <c r="F33" s="189" t="s">
        <v>29</v>
      </c>
      <c r="G33" s="189" t="s">
        <v>105</v>
      </c>
      <c r="H33" s="366">
        <v>1</v>
      </c>
      <c r="I33" s="366" t="s">
        <v>29</v>
      </c>
      <c r="J33" s="366">
        <v>0</v>
      </c>
      <c r="K33" s="212" t="str">
        <f t="shared" si="5"/>
        <v>1</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0</v>
      </c>
      <c r="I34" s="366" t="s">
        <v>29</v>
      </c>
      <c r="J34" s="366">
        <v>1</v>
      </c>
      <c r="K34" s="212">
        <f t="shared" si="5"/>
        <v>2</v>
      </c>
      <c r="L34" s="210">
        <f>VLOOKUP($B34,Invulblad!$A$11:$S$103,13,0)</f>
        <v>2</v>
      </c>
      <c r="M34" s="211">
        <f>IF(L34&lt;&gt;"",VLOOKUP($B34,Invulblad!$A$11:$S$103,7,0),"")</f>
        <v>1</v>
      </c>
      <c r="N34" s="209" t="s">
        <v>29</v>
      </c>
      <c r="O34" s="211">
        <f>IF(L34&lt;&gt;"",VLOOKUP($B34,Invulblad!$A$11:$S$103,9,0),"")</f>
        <v>4</v>
      </c>
      <c r="P34" s="212">
        <f t="shared" si="8"/>
        <v>5</v>
      </c>
    </row>
    <row r="35" spans="1:16">
      <c r="A35" s="188">
        <v>22</v>
      </c>
      <c r="B35" s="195">
        <v>38</v>
      </c>
      <c r="C35" s="332">
        <v>41814</v>
      </c>
      <c r="D35" s="333">
        <v>0.91666666666666663</v>
      </c>
      <c r="E35" s="189" t="s">
        <v>233</v>
      </c>
      <c r="F35" s="189" t="s">
        <v>29</v>
      </c>
      <c r="G35" s="189" t="s">
        <v>125</v>
      </c>
      <c r="H35" s="366">
        <v>1</v>
      </c>
      <c r="I35" s="366" t="s">
        <v>29</v>
      </c>
      <c r="J35" s="366">
        <v>2</v>
      </c>
      <c r="K35" s="212">
        <f t="shared" si="5"/>
        <v>2</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3</v>
      </c>
      <c r="I38" s="366" t="s">
        <v>29</v>
      </c>
      <c r="J38" s="366">
        <v>2</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1</v>
      </c>
      <c r="K39" s="212">
        <f t="shared" si="5"/>
        <v>3</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1</v>
      </c>
      <c r="I40" s="366" t="s">
        <v>29</v>
      </c>
      <c r="J40" s="366">
        <v>0</v>
      </c>
      <c r="K40" s="212" t="str">
        <f t="shared" si="5"/>
        <v>1</v>
      </c>
      <c r="L40" s="210" t="str">
        <f>VLOOKUP($B40,Invulblad!$A$11:$S$103,13,0)</f>
        <v>1</v>
      </c>
      <c r="M40" s="211">
        <f>IF(L40&lt;&gt;"",VLOOKUP($B40,Invulblad!$A$11:$S$103,7,0),"")</f>
        <v>2</v>
      </c>
      <c r="N40" s="209" t="s">
        <v>29</v>
      </c>
      <c r="O40" s="211">
        <f>IF(L40&lt;&gt;"",VLOOKUP($B40,Invulblad!$A$11:$S$103,9,0),"")</f>
        <v>1</v>
      </c>
      <c r="P40" s="212">
        <f t="shared" si="9"/>
        <v>5</v>
      </c>
    </row>
    <row r="41" spans="1:16">
      <c r="A41" s="188">
        <v>28</v>
      </c>
      <c r="B41" s="195">
        <v>24</v>
      </c>
      <c r="C41" s="332">
        <v>41810</v>
      </c>
      <c r="D41" s="333">
        <v>0.75</v>
      </c>
      <c r="E41" s="189" t="s">
        <v>564</v>
      </c>
      <c r="F41" s="189" t="s">
        <v>29</v>
      </c>
      <c r="G41" s="189" t="s">
        <v>430</v>
      </c>
      <c r="H41" s="366">
        <v>1</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1</v>
      </c>
      <c r="I42" s="366" t="s">
        <v>29</v>
      </c>
      <c r="J42" s="366">
        <v>1</v>
      </c>
      <c r="K42" s="212">
        <f t="shared" si="5"/>
        <v>3</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1</v>
      </c>
      <c r="I43" s="366" t="s">
        <v>29</v>
      </c>
      <c r="J43" s="366">
        <v>2</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2</v>
      </c>
      <c r="I46" s="366" t="s">
        <v>29</v>
      </c>
      <c r="J46" s="366">
        <v>1</v>
      </c>
      <c r="K46" s="212" t="str">
        <f t="shared" si="5"/>
        <v>1</v>
      </c>
      <c r="L46" s="210" t="str">
        <f>VLOOKUP($B46,Invulblad!$A$11:$S$103,13,0)</f>
        <v>1</v>
      </c>
      <c r="M46" s="211">
        <f>IF(L46&lt;&gt;"",VLOOKUP($B46,Invulblad!$A$11:$S$103,7,0),"")</f>
        <v>2</v>
      </c>
      <c r="N46" s="209" t="s">
        <v>29</v>
      </c>
      <c r="O46" s="211">
        <f>IF(L46&lt;&gt;"",VLOOKUP($B46,Invulblad!$A$11:$S$103,9,0),"")</f>
        <v>1</v>
      </c>
      <c r="P46" s="212">
        <f t="shared" ref="P46:P51" si="10">IF(L46&lt;&gt;"",IF(AND(M46=H46,O46=J46),10,IF(K46=L46,5,0)),"")</f>
        <v>10</v>
      </c>
    </row>
    <row r="47" spans="1:16">
      <c r="A47" s="188">
        <v>34</v>
      </c>
      <c r="B47" s="195">
        <v>10</v>
      </c>
      <c r="C47" s="332">
        <v>41805</v>
      </c>
      <c r="D47" s="333">
        <v>0.875</v>
      </c>
      <c r="E47" s="189" t="s">
        <v>100</v>
      </c>
      <c r="F47" s="189" t="s">
        <v>29</v>
      </c>
      <c r="G47" s="189" t="s">
        <v>132</v>
      </c>
      <c r="H47" s="366">
        <v>2</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1</v>
      </c>
      <c r="I48" s="366" t="s">
        <v>29</v>
      </c>
      <c r="J48" s="366">
        <v>1</v>
      </c>
      <c r="K48" s="212">
        <f t="shared" si="5"/>
        <v>3</v>
      </c>
      <c r="L48" s="210">
        <f>VLOOKUP($B48,Invulblad!$A$11:$S$103,13,0)</f>
        <v>2</v>
      </c>
      <c r="M48" s="211">
        <f>IF(L48&lt;&gt;"",VLOOKUP($B48,Invulblad!$A$11:$S$103,7,0),"")</f>
        <v>2</v>
      </c>
      <c r="N48" s="209" t="s">
        <v>29</v>
      </c>
      <c r="O48" s="211">
        <f>IF(L48&lt;&gt;"",VLOOKUP($B48,Invulblad!$A$11:$S$103,9,0),"")</f>
        <v>5</v>
      </c>
      <c r="P48" s="212">
        <f t="shared" si="10"/>
        <v>0</v>
      </c>
    </row>
    <row r="49" spans="1:16">
      <c r="A49" s="188">
        <v>36</v>
      </c>
      <c r="B49" s="195">
        <v>26</v>
      </c>
      <c r="C49" s="332">
        <v>41811</v>
      </c>
      <c r="D49" s="333">
        <v>0</v>
      </c>
      <c r="E49" s="189" t="s">
        <v>127</v>
      </c>
      <c r="F49" s="189" t="s">
        <v>29</v>
      </c>
      <c r="G49" s="189" t="s">
        <v>434</v>
      </c>
      <c r="H49" s="366">
        <v>0</v>
      </c>
      <c r="I49" s="366" t="s">
        <v>29</v>
      </c>
      <c r="J49" s="366">
        <v>2</v>
      </c>
      <c r="K49" s="212">
        <f t="shared" si="5"/>
        <v>2</v>
      </c>
      <c r="L49" s="210">
        <f>VLOOKUP($B49,Invulblad!$A$11:$S$103,13,0)</f>
        <v>2</v>
      </c>
      <c r="M49" s="211">
        <f>IF(L49&lt;&gt;"",VLOOKUP($B49,Invulblad!$A$11:$S$103,7,0),"")</f>
        <v>1</v>
      </c>
      <c r="N49" s="209" t="s">
        <v>29</v>
      </c>
      <c r="O49" s="211">
        <f>IF(L49&lt;&gt;"",VLOOKUP($B49,Invulblad!$A$11:$S$103,9,0),"")</f>
        <v>2</v>
      </c>
      <c r="P49" s="212">
        <f t="shared" si="10"/>
        <v>5</v>
      </c>
    </row>
    <row r="50" spans="1:16">
      <c r="A50" s="188">
        <v>37</v>
      </c>
      <c r="B50" s="195">
        <v>41</v>
      </c>
      <c r="C50" s="332">
        <v>41815</v>
      </c>
      <c r="D50" s="333">
        <v>0.91666666666666663</v>
      </c>
      <c r="E50" s="189" t="s">
        <v>127</v>
      </c>
      <c r="F50" s="189" t="s">
        <v>29</v>
      </c>
      <c r="G50" s="189" t="s">
        <v>130</v>
      </c>
      <c r="H50" s="366">
        <v>1</v>
      </c>
      <c r="I50" s="366" t="s">
        <v>29</v>
      </c>
      <c r="J50" s="366">
        <v>3</v>
      </c>
      <c r="K50" s="212">
        <f t="shared" si="5"/>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0</v>
      </c>
      <c r="I51" s="366" t="s">
        <v>29</v>
      </c>
      <c r="J51" s="366">
        <v>1</v>
      </c>
      <c r="K51" s="212">
        <f t="shared" si="5"/>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367"/>
      <c r="I52" s="367"/>
      <c r="J52" s="367"/>
      <c r="K52" s="213" t="str">
        <f t="shared" si="5"/>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3</v>
      </c>
      <c r="I54" s="366" t="s">
        <v>29</v>
      </c>
      <c r="J54" s="366">
        <v>1</v>
      </c>
      <c r="K54" s="212" t="str">
        <f t="shared" si="5"/>
        <v>1</v>
      </c>
      <c r="L54" s="210" t="str">
        <f>VLOOKUP($B54,Invulblad!$A$11:$S$103,13,0)</f>
        <v>1</v>
      </c>
      <c r="M54" s="211">
        <f>IF(L54&lt;&gt;"",VLOOKUP($B54,Invulblad!$A$11:$S$103,7,0),"")</f>
        <v>2</v>
      </c>
      <c r="N54" s="209" t="s">
        <v>29</v>
      </c>
      <c r="O54" s="211">
        <f>IF(L54&lt;&gt;"",VLOOKUP($B54,Invulblad!$A$11:$S$103,9,0),"")</f>
        <v>1</v>
      </c>
      <c r="P54" s="212">
        <f t="shared" ref="P54:P59" si="11">IF(L54&lt;&gt;"",IF(AND(M54=H54,O54=J54),10,IF(K54=L54,5,0)),"")</f>
        <v>5</v>
      </c>
    </row>
    <row r="55" spans="1:16">
      <c r="A55" s="188">
        <v>42</v>
      </c>
      <c r="B55" s="195">
        <v>12</v>
      </c>
      <c r="C55" s="332">
        <v>41806</v>
      </c>
      <c r="D55" s="333">
        <v>0.875</v>
      </c>
      <c r="E55" s="189" t="s">
        <v>438</v>
      </c>
      <c r="F55" s="189" t="s">
        <v>29</v>
      </c>
      <c r="G55" s="189" t="s">
        <v>103</v>
      </c>
      <c r="H55" s="366">
        <v>0</v>
      </c>
      <c r="I55" s="366" t="s">
        <v>29</v>
      </c>
      <c r="J55" s="366">
        <v>2</v>
      </c>
      <c r="K55" s="212">
        <f t="shared" si="5"/>
        <v>2</v>
      </c>
      <c r="L55" s="210">
        <f>VLOOKUP($B55,Invulblad!$A$11:$S$103,13,0)</f>
        <v>3</v>
      </c>
      <c r="M55" s="211">
        <f>IF(L55&lt;&gt;"",VLOOKUP($B55,Invulblad!$A$11:$S$103,7,0),"")</f>
        <v>0</v>
      </c>
      <c r="N55" s="209" t="s">
        <v>29</v>
      </c>
      <c r="O55" s="211">
        <f>IF(L55&lt;&gt;"",VLOOKUP($B55,Invulblad!$A$11:$S$103,9,0),"")</f>
        <v>0</v>
      </c>
      <c r="P55" s="212">
        <f t="shared" si="11"/>
        <v>0</v>
      </c>
    </row>
    <row r="56" spans="1:16">
      <c r="A56" s="188">
        <v>43</v>
      </c>
      <c r="B56" s="195">
        <v>27</v>
      </c>
      <c r="C56" s="332">
        <v>41811</v>
      </c>
      <c r="D56" s="333">
        <v>0.75</v>
      </c>
      <c r="E56" s="189" t="s">
        <v>565</v>
      </c>
      <c r="F56" s="189" t="s">
        <v>29</v>
      </c>
      <c r="G56" s="189" t="s">
        <v>439</v>
      </c>
      <c r="H56" s="366">
        <v>4</v>
      </c>
      <c r="I56" s="366" t="s">
        <v>29</v>
      </c>
      <c r="J56" s="366">
        <v>0</v>
      </c>
      <c r="K56" s="212" t="str">
        <f t="shared" si="5"/>
        <v>1</v>
      </c>
      <c r="L56" s="210" t="str">
        <f>VLOOKUP($B56,Invulblad!$A$11:$S$103,13,0)</f>
        <v>1</v>
      </c>
      <c r="M56" s="211">
        <f>IF(L56&lt;&gt;"",VLOOKUP($B56,Invulblad!$A$11:$S$103,7,0),"")</f>
        <v>1</v>
      </c>
      <c r="N56" s="209" t="s">
        <v>29</v>
      </c>
      <c r="O56" s="211">
        <f>IF(L56&lt;&gt;"",VLOOKUP($B56,Invulblad!$A$11:$S$103,9,0),"")</f>
        <v>0</v>
      </c>
      <c r="P56" s="212">
        <f t="shared" si="11"/>
        <v>5</v>
      </c>
    </row>
    <row r="57" spans="1:16">
      <c r="A57" s="188">
        <v>44</v>
      </c>
      <c r="B57" s="195">
        <v>28</v>
      </c>
      <c r="C57" s="332">
        <v>41812</v>
      </c>
      <c r="D57" s="333">
        <v>0</v>
      </c>
      <c r="E57" s="189" t="s">
        <v>234</v>
      </c>
      <c r="F57" s="189" t="s">
        <v>29</v>
      </c>
      <c r="G57" s="189" t="s">
        <v>566</v>
      </c>
      <c r="H57" s="366">
        <v>2</v>
      </c>
      <c r="I57" s="366" t="s">
        <v>29</v>
      </c>
      <c r="J57" s="366">
        <v>2</v>
      </c>
      <c r="K57" s="212">
        <f t="shared" si="5"/>
        <v>3</v>
      </c>
      <c r="L57" s="210" t="str">
        <f>VLOOKUP($B57,Invulblad!$A$11:$S$103,13,0)</f>
        <v>1</v>
      </c>
      <c r="M57" s="211">
        <f>IF(L57&lt;&gt;"",VLOOKUP($B57,Invulblad!$A$11:$S$103,7,0),"")</f>
        <v>1</v>
      </c>
      <c r="N57" s="209" t="s">
        <v>29</v>
      </c>
      <c r="O57" s="211">
        <f>IF(L57&lt;&gt;"",VLOOKUP($B57,Invulblad!$A$11:$S$103,9,0),"")</f>
        <v>0</v>
      </c>
      <c r="P57" s="212">
        <f t="shared" si="11"/>
        <v>0</v>
      </c>
    </row>
    <row r="58" spans="1:16">
      <c r="A58" s="188">
        <v>45</v>
      </c>
      <c r="B58" s="195">
        <v>43</v>
      </c>
      <c r="C58" s="332">
        <v>41815</v>
      </c>
      <c r="D58" s="333">
        <v>0.75</v>
      </c>
      <c r="E58" s="189" t="s">
        <v>234</v>
      </c>
      <c r="F58" s="189" t="s">
        <v>29</v>
      </c>
      <c r="G58" s="189" t="s">
        <v>567</v>
      </c>
      <c r="H58" s="366">
        <v>0</v>
      </c>
      <c r="I58" s="366" t="s">
        <v>29</v>
      </c>
      <c r="J58" s="366">
        <v>1</v>
      </c>
      <c r="K58" s="212">
        <f t="shared" si="5"/>
        <v>2</v>
      </c>
      <c r="L58" s="210">
        <f>VLOOKUP($B58,Invulblad!$A$11:$S$103,13,0)</f>
        <v>2</v>
      </c>
      <c r="M58" s="211">
        <f>IF(L58&lt;&gt;"",VLOOKUP($B58,Invulblad!$A$11:$S$103,7,0),"")</f>
        <v>2</v>
      </c>
      <c r="N58" s="209" t="s">
        <v>29</v>
      </c>
      <c r="O58" s="211">
        <f>IF(L58&lt;&gt;"",VLOOKUP($B58,Invulblad!$A$11:$S$103,9,0),"")</f>
        <v>3</v>
      </c>
      <c r="P58" s="212">
        <f t="shared" si="11"/>
        <v>5</v>
      </c>
    </row>
    <row r="59" spans="1:16">
      <c r="A59" s="188">
        <v>46</v>
      </c>
      <c r="B59" s="195">
        <v>44</v>
      </c>
      <c r="C59" s="332">
        <v>41815</v>
      </c>
      <c r="D59" s="333">
        <v>0.75</v>
      </c>
      <c r="E59" s="189" t="s">
        <v>568</v>
      </c>
      <c r="F59" s="189" t="s">
        <v>29</v>
      </c>
      <c r="G59" s="189" t="s">
        <v>439</v>
      </c>
      <c r="H59" s="366">
        <v>2</v>
      </c>
      <c r="I59" s="366" t="s">
        <v>29</v>
      </c>
      <c r="J59" s="366">
        <v>0</v>
      </c>
      <c r="K59" s="212" t="str">
        <f t="shared" si="5"/>
        <v>1</v>
      </c>
      <c r="L59" s="210" t="str">
        <f>VLOOKUP($B59,Invulblad!$A$11:$S$103,13,0)</f>
        <v>1</v>
      </c>
      <c r="M59" s="211">
        <f>IF(L59&lt;&gt;"",VLOOKUP($B59,Invulblad!$A$11:$S$103,7,0),"")</f>
        <v>3</v>
      </c>
      <c r="N59" s="209" t="s">
        <v>29</v>
      </c>
      <c r="O59" s="211">
        <f>IF(L59&lt;&gt;"",VLOOKUP($B59,Invulblad!$A$11:$S$103,9,0),"")</f>
        <v>1</v>
      </c>
      <c r="P59" s="212">
        <f t="shared" si="11"/>
        <v>5</v>
      </c>
    </row>
    <row r="60" spans="1:16">
      <c r="A60" s="188">
        <v>47</v>
      </c>
      <c r="B60" s="201" t="s">
        <v>36</v>
      </c>
      <c r="H60" s="367"/>
      <c r="I60" s="367"/>
      <c r="J60" s="367"/>
      <c r="K60" s="213" t="str">
        <f t="shared" si="5"/>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3</v>
      </c>
      <c r="I62" s="366" t="s">
        <v>29</v>
      </c>
      <c r="J62" s="366">
        <v>2</v>
      </c>
      <c r="K62" s="212" t="str">
        <f t="shared" si="5"/>
        <v>1</v>
      </c>
      <c r="L62" s="210" t="str">
        <f>VLOOKUP($B62,Invulblad!$A$11:$S$103,13,0)</f>
        <v>1</v>
      </c>
      <c r="M62" s="211">
        <f>IF(L62&lt;&gt;"",VLOOKUP($B62,Invulblad!$A$11:$S$103,7,0),"")</f>
        <v>4</v>
      </c>
      <c r="N62" s="209" t="s">
        <v>29</v>
      </c>
      <c r="O62" s="211">
        <f>IF(L62&lt;&gt;"",VLOOKUP($B62,Invulblad!$A$11:$S$103,9,0),"")</f>
        <v>0</v>
      </c>
      <c r="P62" s="212">
        <f t="shared" ref="P62:P67" si="12">IF(L62&lt;&gt;"",IF(AND(M62=H62,O62=J62),10,IF(K62=L62,5,0)),"")</f>
        <v>5</v>
      </c>
    </row>
    <row r="63" spans="1:16">
      <c r="A63" s="188">
        <v>50</v>
      </c>
      <c r="B63" s="195">
        <v>14</v>
      </c>
      <c r="C63" s="332">
        <v>41807</v>
      </c>
      <c r="D63" s="333">
        <v>0</v>
      </c>
      <c r="E63" s="189" t="s">
        <v>115</v>
      </c>
      <c r="F63" s="189" t="s">
        <v>29</v>
      </c>
      <c r="G63" s="189" t="s">
        <v>577</v>
      </c>
      <c r="H63" s="366">
        <v>2</v>
      </c>
      <c r="I63" s="366" t="s">
        <v>29</v>
      </c>
      <c r="J63" s="366">
        <v>2</v>
      </c>
      <c r="K63" s="212">
        <f t="shared" si="5"/>
        <v>3</v>
      </c>
      <c r="L63" s="210">
        <f>VLOOKUP($B63,Invulblad!$A$11:$S$103,13,0)</f>
        <v>2</v>
      </c>
      <c r="M63" s="211">
        <f>IF(L63&lt;&gt;"",VLOOKUP($B63,Invulblad!$A$11:$S$103,7,0),"")</f>
        <v>1</v>
      </c>
      <c r="N63" s="209" t="s">
        <v>29</v>
      </c>
      <c r="O63" s="211">
        <f>IF(L63&lt;&gt;"",VLOOKUP($B63,Invulblad!$A$11:$S$103,9,0),"")</f>
        <v>2</v>
      </c>
      <c r="P63" s="212">
        <f t="shared" si="12"/>
        <v>0</v>
      </c>
    </row>
    <row r="64" spans="1:16">
      <c r="A64" s="188">
        <v>51</v>
      </c>
      <c r="B64" s="195">
        <v>29</v>
      </c>
      <c r="C64" s="332">
        <v>41811</v>
      </c>
      <c r="D64" s="333">
        <v>0.875</v>
      </c>
      <c r="E64" s="189" t="s">
        <v>113</v>
      </c>
      <c r="F64" s="189" t="s">
        <v>29</v>
      </c>
      <c r="G64" s="189" t="s">
        <v>114</v>
      </c>
      <c r="H64" s="366">
        <v>2</v>
      </c>
      <c r="I64" s="366" t="s">
        <v>29</v>
      </c>
      <c r="J64" s="366">
        <v>0</v>
      </c>
      <c r="K64" s="212" t="str">
        <f t="shared" si="5"/>
        <v>1</v>
      </c>
      <c r="L64" s="210">
        <f>VLOOKUP($B64,Invulblad!$A$11:$S$103,13,0)</f>
        <v>3</v>
      </c>
      <c r="M64" s="211">
        <f>IF(L64&lt;&gt;"",VLOOKUP($B64,Invulblad!$A$11:$S$103,7,0),"")</f>
        <v>2</v>
      </c>
      <c r="N64" s="209" t="s">
        <v>29</v>
      </c>
      <c r="O64" s="211">
        <f>IF(L64&lt;&gt;"",VLOOKUP($B64,Invulblad!$A$11:$S$103,9,0),"")</f>
        <v>2</v>
      </c>
      <c r="P64" s="212">
        <f t="shared" si="12"/>
        <v>0</v>
      </c>
    </row>
    <row r="65" spans="1:16">
      <c r="A65" s="188">
        <v>52</v>
      </c>
      <c r="B65" s="195">
        <v>30</v>
      </c>
      <c r="C65" s="332">
        <v>41813</v>
      </c>
      <c r="D65" s="333">
        <v>0</v>
      </c>
      <c r="E65" s="189" t="s">
        <v>578</v>
      </c>
      <c r="F65" s="189" t="s">
        <v>29</v>
      </c>
      <c r="G65" s="189" t="s">
        <v>124</v>
      </c>
      <c r="H65" s="366">
        <v>1</v>
      </c>
      <c r="I65" s="366" t="s">
        <v>29</v>
      </c>
      <c r="J65" s="366">
        <v>2</v>
      </c>
      <c r="K65" s="212">
        <f t="shared" si="5"/>
        <v>2</v>
      </c>
      <c r="L65" s="210">
        <f>VLOOKUP($B65,Invulblad!$A$11:$S$103,13,0)</f>
        <v>3</v>
      </c>
      <c r="M65" s="211">
        <f>IF(L65&lt;&gt;"",VLOOKUP($B65,Invulblad!$A$11:$S$103,7,0),"")</f>
        <v>2</v>
      </c>
      <c r="N65" s="209" t="s">
        <v>29</v>
      </c>
      <c r="O65" s="211">
        <f>IF(L65&lt;&gt;"",VLOOKUP($B65,Invulblad!$A$11:$S$103,9,0),"")</f>
        <v>2</v>
      </c>
      <c r="P65" s="212">
        <f t="shared" si="12"/>
        <v>0</v>
      </c>
    </row>
    <row r="66" spans="1:16">
      <c r="A66" s="188">
        <v>53</v>
      </c>
      <c r="B66" s="195">
        <v>45</v>
      </c>
      <c r="C66" s="332">
        <v>41816</v>
      </c>
      <c r="D66" s="333">
        <v>0.75</v>
      </c>
      <c r="E66" s="189" t="s">
        <v>578</v>
      </c>
      <c r="F66" s="189" t="s">
        <v>29</v>
      </c>
      <c r="G66" s="189" t="s">
        <v>116</v>
      </c>
      <c r="H66" s="366">
        <v>1</v>
      </c>
      <c r="I66" s="366" t="s">
        <v>29</v>
      </c>
      <c r="J66" s="366">
        <v>2</v>
      </c>
      <c r="K66" s="212">
        <f t="shared" si="5"/>
        <v>2</v>
      </c>
      <c r="L66" s="210">
        <f>VLOOKUP($B66,Invulblad!$A$11:$S$103,13,0)</f>
        <v>2</v>
      </c>
      <c r="M66" s="211">
        <f>IF(L66&lt;&gt;"",VLOOKUP($B66,Invulblad!$A$11:$S$103,7,0),"")</f>
        <v>0</v>
      </c>
      <c r="N66" s="209" t="s">
        <v>29</v>
      </c>
      <c r="O66" s="211">
        <f>IF(L66&lt;&gt;"",VLOOKUP($B66,Invulblad!$A$11:$S$103,9,0),"")</f>
        <v>1</v>
      </c>
      <c r="P66" s="212">
        <f t="shared" si="12"/>
        <v>5</v>
      </c>
    </row>
    <row r="67" spans="1:16">
      <c r="A67" s="188">
        <v>54</v>
      </c>
      <c r="B67" s="195">
        <v>46</v>
      </c>
      <c r="C67" s="332">
        <v>41816</v>
      </c>
      <c r="D67" s="333">
        <v>0.75</v>
      </c>
      <c r="E67" s="189" t="s">
        <v>126</v>
      </c>
      <c r="F67" s="189" t="s">
        <v>29</v>
      </c>
      <c r="G67" s="189" t="s">
        <v>114</v>
      </c>
      <c r="H67" s="366">
        <v>1</v>
      </c>
      <c r="I67" s="366" t="s">
        <v>29</v>
      </c>
      <c r="J67" s="366">
        <v>1</v>
      </c>
      <c r="K67" s="212">
        <f t="shared" si="5"/>
        <v>3</v>
      </c>
      <c r="L67" s="210" t="str">
        <f>VLOOKUP($B67,Invulblad!$A$11:$S$103,13,0)</f>
        <v>1</v>
      </c>
      <c r="M67" s="211">
        <f>IF(L67&lt;&gt;"",VLOOKUP($B67,Invulblad!$A$11:$S$103,7,0),"")</f>
        <v>2</v>
      </c>
      <c r="N67" s="209" t="s">
        <v>29</v>
      </c>
      <c r="O67" s="211">
        <f>IF(L67&lt;&gt;"",VLOOKUP($B67,Invulblad!$A$11:$S$103,9,0),"")</f>
        <v>1</v>
      </c>
      <c r="P67" s="212">
        <f t="shared" si="12"/>
        <v>0</v>
      </c>
    </row>
    <row r="68" spans="1:16">
      <c r="A68" s="188">
        <v>55</v>
      </c>
      <c r="B68" s="201" t="s">
        <v>37</v>
      </c>
      <c r="H68" s="367"/>
      <c r="I68" s="367"/>
      <c r="J68" s="367"/>
      <c r="K68" s="213" t="str">
        <f t="shared" si="5"/>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2</v>
      </c>
      <c r="I70" s="366" t="s">
        <v>29</v>
      </c>
      <c r="J70" s="366">
        <v>1</v>
      </c>
      <c r="K70" s="212" t="str">
        <f t="shared" si="5"/>
        <v>1</v>
      </c>
      <c r="L70" s="210" t="str">
        <f>VLOOKUP($B70,Invulblad!$A$11:$S$103,13,0)</f>
        <v>1</v>
      </c>
      <c r="M70" s="211">
        <f>IF(L70&lt;&gt;"",VLOOKUP($B70,Invulblad!$A$11:$S$103,7,0),"")</f>
        <v>2</v>
      </c>
      <c r="N70" s="209" t="s">
        <v>29</v>
      </c>
      <c r="O70" s="211">
        <f>IF(L70&lt;&gt;"",VLOOKUP($B70,Invulblad!$A$11:$S$103,9,0),"")</f>
        <v>1</v>
      </c>
      <c r="P70" s="212">
        <f t="shared" ref="P70:P75" si="13">IF(L70&lt;&gt;"",IF(AND(M70=H70,O70=J70),10,IF(K70=L70,5,0)),"")</f>
        <v>10</v>
      </c>
    </row>
    <row r="71" spans="1:16">
      <c r="A71" s="188">
        <v>58</v>
      </c>
      <c r="B71" s="195">
        <v>16</v>
      </c>
      <c r="C71" s="332">
        <v>41808</v>
      </c>
      <c r="D71" s="333">
        <v>0</v>
      </c>
      <c r="E71" s="189" t="s">
        <v>445</v>
      </c>
      <c r="F71" s="189" t="s">
        <v>29</v>
      </c>
      <c r="G71" s="189" t="s">
        <v>107</v>
      </c>
      <c r="H71" s="366">
        <v>2</v>
      </c>
      <c r="I71" s="366" t="s">
        <v>29</v>
      </c>
      <c r="J71" s="366">
        <v>0</v>
      </c>
      <c r="K71" s="212" t="str">
        <f t="shared" si="5"/>
        <v>1</v>
      </c>
      <c r="L71" s="210">
        <f>VLOOKUP($B71,Invulblad!$A$11:$S$103,13,0)</f>
        <v>3</v>
      </c>
      <c r="M71" s="211">
        <f>IF(L71&lt;&gt;"",VLOOKUP($B71,Invulblad!$A$11:$S$103,7,0),"")</f>
        <v>1</v>
      </c>
      <c r="N71" s="209" t="s">
        <v>29</v>
      </c>
      <c r="O71" s="211">
        <f>IF(L71&lt;&gt;"",VLOOKUP($B71,Invulblad!$A$11:$S$103,9,0),"")</f>
        <v>1</v>
      </c>
      <c r="P71" s="212">
        <f t="shared" si="13"/>
        <v>0</v>
      </c>
    </row>
    <row r="72" spans="1:16">
      <c r="A72" s="188">
        <v>59</v>
      </c>
      <c r="B72" s="195">
        <v>31</v>
      </c>
      <c r="C72" s="332">
        <v>41812</v>
      </c>
      <c r="D72" s="333">
        <v>0.75</v>
      </c>
      <c r="E72" s="189" t="s">
        <v>569</v>
      </c>
      <c r="F72" s="189" t="s">
        <v>29</v>
      </c>
      <c r="G72" s="189" t="s">
        <v>446</v>
      </c>
      <c r="H72" s="366">
        <v>0</v>
      </c>
      <c r="I72" s="366" t="s">
        <v>29</v>
      </c>
      <c r="J72" s="366">
        <v>0</v>
      </c>
      <c r="K72" s="212">
        <f t="shared" si="5"/>
        <v>3</v>
      </c>
      <c r="L72" s="210" t="str">
        <f>VLOOKUP($B72,Invulblad!$A$11:$S$103,13,0)</f>
        <v>1</v>
      </c>
      <c r="M72" s="211">
        <f>IF(L72&lt;&gt;"",VLOOKUP($B72,Invulblad!$A$11:$S$103,7,0),"")</f>
        <v>1</v>
      </c>
      <c r="N72" s="209" t="s">
        <v>29</v>
      </c>
      <c r="O72" s="211">
        <f>IF(L72&lt;&gt;"",VLOOKUP($B72,Invulblad!$A$11:$S$103,9,0),"")</f>
        <v>0</v>
      </c>
      <c r="P72" s="212">
        <f t="shared" si="13"/>
        <v>0</v>
      </c>
    </row>
    <row r="73" spans="1:16">
      <c r="A73" s="188">
        <v>60</v>
      </c>
      <c r="B73" s="195">
        <v>32</v>
      </c>
      <c r="C73" s="332">
        <v>41812</v>
      </c>
      <c r="D73" s="333">
        <v>0.875</v>
      </c>
      <c r="E73" s="189" t="s">
        <v>232</v>
      </c>
      <c r="F73" s="189" t="s">
        <v>29</v>
      </c>
      <c r="G73" s="189" t="s">
        <v>111</v>
      </c>
      <c r="H73" s="366">
        <v>1</v>
      </c>
      <c r="I73" s="366" t="s">
        <v>29</v>
      </c>
      <c r="J73" s="366">
        <v>0</v>
      </c>
      <c r="K73" s="212" t="str">
        <f t="shared" si="5"/>
        <v>1</v>
      </c>
      <c r="L73" s="210">
        <f>VLOOKUP($B73,Invulblad!$A$11:$S$103,13,0)</f>
        <v>2</v>
      </c>
      <c r="M73" s="211">
        <f>IF(L73&lt;&gt;"",VLOOKUP($B73,Invulblad!$A$11:$S$103,7,0),"")</f>
        <v>2</v>
      </c>
      <c r="N73" s="209" t="s">
        <v>29</v>
      </c>
      <c r="O73" s="211">
        <f>IF(L73&lt;&gt;"",VLOOKUP($B73,Invulblad!$A$11:$S$103,9,0),"")</f>
        <v>4</v>
      </c>
      <c r="P73" s="212">
        <f t="shared" si="13"/>
        <v>0</v>
      </c>
    </row>
    <row r="74" spans="1:16">
      <c r="A74" s="188">
        <v>61</v>
      </c>
      <c r="B74" s="195">
        <v>47</v>
      </c>
      <c r="C74" s="332">
        <v>41816</v>
      </c>
      <c r="D74" s="333">
        <v>0.91666666666666663</v>
      </c>
      <c r="E74" s="189" t="s">
        <v>232</v>
      </c>
      <c r="F74" s="189" t="s">
        <v>29</v>
      </c>
      <c r="G74" s="189" t="s">
        <v>570</v>
      </c>
      <c r="H74" s="366">
        <v>0</v>
      </c>
      <c r="I74" s="366" t="s">
        <v>29</v>
      </c>
      <c r="J74" s="366">
        <v>2</v>
      </c>
      <c r="K74" s="212">
        <f t="shared" si="5"/>
        <v>2</v>
      </c>
      <c r="L74" s="210">
        <f>VLOOKUP($B74,Invulblad!$A$11:$S$103,13,0)</f>
        <v>2</v>
      </c>
      <c r="M74" s="211">
        <f>IF(L74&lt;&gt;"",VLOOKUP($B74,Invulblad!$A$11:$S$103,7,0),"")</f>
        <v>0</v>
      </c>
      <c r="N74" s="209" t="s">
        <v>29</v>
      </c>
      <c r="O74" s="211">
        <f>IF(L74&lt;&gt;"",VLOOKUP($B74,Invulblad!$A$11:$S$103,9,0),"")</f>
        <v>1</v>
      </c>
      <c r="P74" s="212">
        <f t="shared" si="13"/>
        <v>5</v>
      </c>
    </row>
    <row r="75" spans="1:16">
      <c r="A75" s="188">
        <v>62</v>
      </c>
      <c r="B75" s="195">
        <v>48</v>
      </c>
      <c r="C75" s="332">
        <v>41816</v>
      </c>
      <c r="D75" s="333">
        <v>0.91666666666666663</v>
      </c>
      <c r="E75" s="189" t="s">
        <v>236</v>
      </c>
      <c r="F75" s="189" t="s">
        <v>29</v>
      </c>
      <c r="G75" s="189" t="s">
        <v>446</v>
      </c>
      <c r="H75" s="366">
        <v>1</v>
      </c>
      <c r="I75" s="366" t="s">
        <v>29</v>
      </c>
      <c r="J75" s="366">
        <v>1</v>
      </c>
      <c r="K75" s="212">
        <f t="shared" si="5"/>
        <v>3</v>
      </c>
      <c r="L75" s="210">
        <f>VLOOKUP($B75,Invulblad!$A$11:$S$103,13,0)</f>
        <v>3</v>
      </c>
      <c r="M75" s="211">
        <f>IF(L75&lt;&gt;"",VLOOKUP($B75,Invulblad!$A$11:$S$103,7,0),"")</f>
        <v>1</v>
      </c>
      <c r="N75" s="209" t="s">
        <v>29</v>
      </c>
      <c r="O75" s="211">
        <f>IF(L75&lt;&gt;"",VLOOKUP($B75,Invulblad!$A$11:$S$103,9,0),"")</f>
        <v>1</v>
      </c>
      <c r="P75" s="212">
        <f t="shared" si="13"/>
        <v>10</v>
      </c>
    </row>
    <row r="76" spans="1:16">
      <c r="A76" s="188">
        <v>63</v>
      </c>
      <c r="B76" s="201" t="s">
        <v>86</v>
      </c>
      <c r="H76" s="367"/>
      <c r="I76" s="367"/>
      <c r="J76" s="367"/>
      <c r="K76" s="213" t="str">
        <f t="shared" si="5"/>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135</v>
      </c>
      <c r="H78" s="366">
        <v>2</v>
      </c>
      <c r="I78" s="366" t="s">
        <v>29</v>
      </c>
      <c r="J78" s="366">
        <v>1</v>
      </c>
      <c r="K78" s="212" t="str">
        <f t="shared" ref="K78:K101" si="14">IF(AND(H78="",J78=""),"",IF(OR(H78="",J78=""),"FOUT",IF(H78&gt;J78,"1",IF(H78=J78,3,2))))</f>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200</v>
      </c>
      <c r="F79" s="189" t="s">
        <v>29</v>
      </c>
      <c r="G79" s="189" t="s">
        <v>193</v>
      </c>
      <c r="H79" s="366">
        <v>1</v>
      </c>
      <c r="I79" s="366" t="s">
        <v>29</v>
      </c>
      <c r="J79" s="366">
        <v>2</v>
      </c>
      <c r="K79" s="212">
        <f t="shared" si="14"/>
        <v>2</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138</v>
      </c>
      <c r="F80" s="189" t="s">
        <v>29</v>
      </c>
      <c r="G80" s="189" t="s">
        <v>389</v>
      </c>
      <c r="H80" s="366">
        <v>3</v>
      </c>
      <c r="I80" s="366" t="s">
        <v>29</v>
      </c>
      <c r="J80" s="366">
        <v>1</v>
      </c>
      <c r="K80" s="212" t="str">
        <f t="shared" si="14"/>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97</v>
      </c>
      <c r="F81" s="189" t="s">
        <v>29</v>
      </c>
      <c r="G81" s="189" t="s">
        <v>390</v>
      </c>
      <c r="H81" s="366">
        <v>2</v>
      </c>
      <c r="I81" s="366" t="s">
        <v>29</v>
      </c>
      <c r="J81" s="366">
        <v>1</v>
      </c>
      <c r="K81" s="212" t="str">
        <f t="shared" si="14"/>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209</v>
      </c>
      <c r="F82" s="189" t="s">
        <v>29</v>
      </c>
      <c r="G82" s="189" t="s">
        <v>108</v>
      </c>
      <c r="H82" s="366">
        <v>0</v>
      </c>
      <c r="I82" s="366" t="s">
        <v>29</v>
      </c>
      <c r="J82" s="366">
        <v>1</v>
      </c>
      <c r="K82" s="212">
        <f t="shared" si="14"/>
        <v>2</v>
      </c>
      <c r="L82" s="210" t="str">
        <f>VLOOKUP($B82,Invulblad!$A$11:$S$103,13,0)</f>
        <v>1</v>
      </c>
      <c r="M82" s="211">
        <f>IF(L82&lt;&gt;"",VLOOKUP($B82,Invulblad!$A$11:$S$103,7,0),"")</f>
        <v>2</v>
      </c>
      <c r="N82" s="209" t="s">
        <v>29</v>
      </c>
      <c r="O82" s="211">
        <f>IF(L82&lt;&gt;"",VLOOKUP($B82,Invulblad!$A$11:$S$103,9,0),"")</f>
        <v>0</v>
      </c>
      <c r="P82" s="212">
        <f t="shared" si="15"/>
        <v>0</v>
      </c>
    </row>
    <row r="83" spans="1:16">
      <c r="A83" s="188">
        <v>70</v>
      </c>
      <c r="B83" s="195">
        <v>54</v>
      </c>
      <c r="C83" s="332">
        <v>41820</v>
      </c>
      <c r="D83" s="333">
        <v>0.91666666666666663</v>
      </c>
      <c r="E83" s="189" t="s">
        <v>177</v>
      </c>
      <c r="F83" s="189" t="s">
        <v>29</v>
      </c>
      <c r="G83" s="189" t="s">
        <v>396</v>
      </c>
      <c r="H83" s="366">
        <v>3</v>
      </c>
      <c r="I83" s="366" t="s">
        <v>29</v>
      </c>
      <c r="J83" s="366">
        <v>1</v>
      </c>
      <c r="K83" s="212" t="str">
        <f t="shared" si="14"/>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143</v>
      </c>
      <c r="H84" s="366">
        <v>1</v>
      </c>
      <c r="I84" s="366" t="s">
        <v>29</v>
      </c>
      <c r="J84" s="366">
        <v>0</v>
      </c>
      <c r="K84" s="212" t="str">
        <f t="shared" si="14"/>
        <v>1</v>
      </c>
      <c r="L84" s="210" t="str">
        <f>VLOOKUP($B84,Invulblad!$A$11:$S$103,13,0)</f>
        <v>1</v>
      </c>
      <c r="M84" s="211">
        <f>IF(L84&lt;&gt;"",VLOOKUP($B84,Invulblad!$A$11:$S$103,7,0),"")</f>
        <v>1</v>
      </c>
      <c r="N84" s="209" t="s">
        <v>29</v>
      </c>
      <c r="O84" s="211">
        <f>IF(L84&lt;&gt;"",VLOOKUP($B84,Invulblad!$A$11:$S$103,9,0),"")</f>
        <v>0</v>
      </c>
      <c r="P84" s="212">
        <f t="shared" si="15"/>
        <v>10</v>
      </c>
    </row>
    <row r="85" spans="1:16">
      <c r="A85" s="188">
        <v>72</v>
      </c>
      <c r="B85" s="195">
        <v>56</v>
      </c>
      <c r="C85" s="332">
        <v>41821</v>
      </c>
      <c r="D85" s="333">
        <v>0.91666666666666663</v>
      </c>
      <c r="E85" s="189" t="s">
        <v>395</v>
      </c>
      <c r="F85" s="189" t="s">
        <v>29</v>
      </c>
      <c r="G85" s="189" t="s">
        <v>202</v>
      </c>
      <c r="H85" s="366">
        <v>1</v>
      </c>
      <c r="I85" s="366" t="s">
        <v>29</v>
      </c>
      <c r="J85" s="366">
        <v>2</v>
      </c>
      <c r="K85" s="212">
        <f t="shared" si="14"/>
        <v>2</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si="14"/>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193</v>
      </c>
      <c r="H88" s="366">
        <v>2</v>
      </c>
      <c r="I88" s="366" t="s">
        <v>29</v>
      </c>
      <c r="J88" s="366">
        <v>1</v>
      </c>
      <c r="K88" s="212" t="str">
        <f t="shared" si="14"/>
        <v>1</v>
      </c>
      <c r="L88" s="210" t="str">
        <f>VLOOKUP($B88,Invulblad!$A$11:$S$103,13,0)</f>
        <v>1</v>
      </c>
      <c r="M88" s="211">
        <f>IF(L88&lt;&gt;"",VLOOKUP($B88,Invulblad!$A$11:$S$103,7,0),"")</f>
        <v>2</v>
      </c>
      <c r="N88" s="209" t="s">
        <v>29</v>
      </c>
      <c r="O88" s="211">
        <f>IF(L88&lt;&gt;"",VLOOKUP($B88,Invulblad!$A$11:$S$103,9,0),"")</f>
        <v>1</v>
      </c>
      <c r="P88" s="212">
        <f>IF(L88&lt;&gt;"",IF(AND(M88=H88,O88=J88),10,IF(K88=L88,5,0)),"")</f>
        <v>10</v>
      </c>
    </row>
    <row r="89" spans="1:16">
      <c r="A89" s="188">
        <v>76</v>
      </c>
      <c r="B89" s="195">
        <v>58</v>
      </c>
      <c r="C89" s="332">
        <v>41824</v>
      </c>
      <c r="D89" s="333">
        <v>0.75</v>
      </c>
      <c r="E89" s="189" t="s">
        <v>108</v>
      </c>
      <c r="F89" s="189" t="s">
        <v>29</v>
      </c>
      <c r="G89" s="189" t="s">
        <v>177</v>
      </c>
      <c r="H89" s="366">
        <v>0</v>
      </c>
      <c r="I89" s="366" t="s">
        <v>29</v>
      </c>
      <c r="J89" s="366">
        <v>1</v>
      </c>
      <c r="K89" s="212">
        <f t="shared" si="14"/>
        <v>2</v>
      </c>
      <c r="L89" s="210">
        <f>VLOOKUP($B89,Invulblad!$A$11:$S$103,13,0)</f>
        <v>2</v>
      </c>
      <c r="M89" s="211">
        <f>IF(L89&lt;&gt;"",VLOOKUP($B89,Invulblad!$A$11:$S$103,7,0),"")</f>
        <v>0</v>
      </c>
      <c r="N89" s="209" t="s">
        <v>29</v>
      </c>
      <c r="O89" s="211">
        <f>IF(L89&lt;&gt;"",VLOOKUP($B89,Invulblad!$A$11:$S$103,9,0),"")</f>
        <v>1</v>
      </c>
      <c r="P89" s="212">
        <f>IF(L89&lt;&gt;"",IF(AND(M89=H89,O89=J89),10,IF(K89=L89,5,0)),"")</f>
        <v>10</v>
      </c>
    </row>
    <row r="90" spans="1:16">
      <c r="A90" s="188">
        <v>77</v>
      </c>
      <c r="B90" s="195">
        <v>59</v>
      </c>
      <c r="C90" s="332">
        <v>41825</v>
      </c>
      <c r="D90" s="333">
        <v>0.91666666666666663</v>
      </c>
      <c r="E90" s="189" t="s">
        <v>138</v>
      </c>
      <c r="F90" s="189" t="s">
        <v>29</v>
      </c>
      <c r="G90" s="189" t="s">
        <v>97</v>
      </c>
      <c r="H90" s="366">
        <v>2</v>
      </c>
      <c r="I90" s="366" t="s">
        <v>29</v>
      </c>
      <c r="J90" s="366">
        <v>0</v>
      </c>
      <c r="K90" s="212" t="str">
        <f t="shared" si="14"/>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202</v>
      </c>
      <c r="H91" s="366">
        <v>1</v>
      </c>
      <c r="I91" s="366" t="s">
        <v>29</v>
      </c>
      <c r="J91" s="366">
        <v>0</v>
      </c>
      <c r="K91" s="212" t="str">
        <f t="shared" si="14"/>
        <v>1</v>
      </c>
      <c r="L91" s="210" t="str">
        <f>VLOOKUP($B91,Invulblad!$A$11:$S$103,13,0)</f>
        <v>1</v>
      </c>
      <c r="M91" s="211">
        <f>IF(L91&lt;&gt;"",VLOOKUP($B91,Invulblad!$A$11:$S$103,7,0),"")</f>
        <v>1</v>
      </c>
      <c r="N91" s="209" t="s">
        <v>29</v>
      </c>
      <c r="O91" s="211">
        <f>IF(L91&lt;&gt;"",VLOOKUP($B91,Invulblad!$A$11:$S$103,9,0),"")</f>
        <v>0</v>
      </c>
      <c r="P91" s="212">
        <f>IF(L91&lt;&gt;"",IF(AND(M91=H91,O91=J91),10,IF(K91=L91,5,0)),"")</f>
        <v>10</v>
      </c>
    </row>
    <row r="92" spans="1:16">
      <c r="A92" s="188">
        <v>79</v>
      </c>
      <c r="B92" s="201" t="s">
        <v>88</v>
      </c>
      <c r="H92" s="367"/>
      <c r="I92" s="367"/>
      <c r="J92" s="367"/>
      <c r="K92" s="213" t="str">
        <f t="shared" si="14"/>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177</v>
      </c>
      <c r="H94" s="366">
        <v>1</v>
      </c>
      <c r="I94" s="366" t="s">
        <v>29</v>
      </c>
      <c r="J94" s="366">
        <v>1</v>
      </c>
      <c r="K94" s="212">
        <f t="shared" si="14"/>
        <v>3</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138</v>
      </c>
      <c r="F95" s="189" t="s">
        <v>29</v>
      </c>
      <c r="G95" s="189" t="s">
        <v>102</v>
      </c>
      <c r="H95" s="366">
        <v>1</v>
      </c>
      <c r="I95" s="366" t="s">
        <v>29</v>
      </c>
      <c r="J95" s="366">
        <v>2</v>
      </c>
      <c r="K95" s="212">
        <f t="shared" si="14"/>
        <v>2</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367"/>
      <c r="I96" s="367"/>
      <c r="J96" s="367"/>
      <c r="K96" s="213" t="str">
        <f t="shared" si="14"/>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177</v>
      </c>
      <c r="F98" s="189" t="s">
        <v>29</v>
      </c>
      <c r="G98" s="189" t="s">
        <v>138</v>
      </c>
      <c r="H98" s="366">
        <v>2</v>
      </c>
      <c r="I98" s="366" t="s">
        <v>29</v>
      </c>
      <c r="J98" s="366">
        <v>2</v>
      </c>
      <c r="K98" s="212">
        <f t="shared" si="14"/>
        <v>3</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367"/>
      <c r="I99" s="367"/>
      <c r="J99" s="367"/>
      <c r="K99" s="213" t="str">
        <f t="shared" si="14"/>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199</v>
      </c>
      <c r="F101" s="189" t="s">
        <v>29</v>
      </c>
      <c r="G101" s="189" t="s">
        <v>102</v>
      </c>
      <c r="H101" s="366">
        <v>1</v>
      </c>
      <c r="I101" s="366" t="s">
        <v>29</v>
      </c>
      <c r="J101" s="366">
        <v>2</v>
      </c>
      <c r="K101" s="212">
        <f t="shared" si="14"/>
        <v>2</v>
      </c>
      <c r="L101" s="210" t="str">
        <f>VLOOKUP($B101,Invulblad!$A$11:$S$103,13,0)</f>
        <v>1</v>
      </c>
      <c r="M101" s="211">
        <f>IF(L101&lt;&gt;"",VLOOKUP($B101,Invulblad!$A$11:$S$103,7,0),"")</f>
        <v>1</v>
      </c>
      <c r="N101" s="209" t="s">
        <v>29</v>
      </c>
      <c r="O101" s="211">
        <f>IF(L101&lt;&gt;"",VLOOKUP($B101,Invulblad!$A$11:$S$103,9,0),"")</f>
        <v>0</v>
      </c>
      <c r="P101" s="212">
        <f>IF(L101&lt;&gt;"",IF(AND(M101=H101,O101=J101),10,IF(K101=L101,5,0)),"")</f>
        <v>0</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389</v>
      </c>
    </row>
    <row r="112" spans="1:16">
      <c r="B112" s="201" t="s">
        <v>144</v>
      </c>
    </row>
    <row r="113" spans="2:15" ht="15.75" thickBot="1"/>
    <row r="114" spans="2:15" ht="15.75" thickBot="1">
      <c r="B114" s="215" t="s">
        <v>145</v>
      </c>
      <c r="C114" s="215" t="s">
        <v>146</v>
      </c>
      <c r="D114" s="215" t="s">
        <v>147</v>
      </c>
      <c r="E114" s="215" t="s">
        <v>148</v>
      </c>
    </row>
    <row r="115" spans="2:15" ht="15.75" thickBot="1">
      <c r="B115" s="216" t="s">
        <v>199</v>
      </c>
      <c r="C115" s="216" t="s">
        <v>163</v>
      </c>
      <c r="D115" s="216" t="s">
        <v>164</v>
      </c>
      <c r="E115" s="216" t="s">
        <v>172</v>
      </c>
    </row>
    <row r="116" spans="2:15" ht="15.75" thickBot="1">
      <c r="B116" s="217" t="s">
        <v>389</v>
      </c>
      <c r="C116" s="217" t="s">
        <v>164</v>
      </c>
      <c r="D116" s="217" t="s">
        <v>156</v>
      </c>
      <c r="E116" s="217" t="s">
        <v>149</v>
      </c>
    </row>
    <row r="117" spans="2:15" ht="15.75" thickBot="1">
      <c r="B117" s="216" t="s">
        <v>152</v>
      </c>
      <c r="C117" s="216" t="s">
        <v>151</v>
      </c>
      <c r="D117" s="216" t="s">
        <v>165</v>
      </c>
      <c r="E117" s="216" t="s">
        <v>151</v>
      </c>
    </row>
    <row r="118" spans="2:15" ht="15.75" thickBot="1">
      <c r="B118" s="217" t="s">
        <v>185</v>
      </c>
      <c r="C118" s="217" t="s">
        <v>150</v>
      </c>
      <c r="D118" s="217" t="s">
        <v>162</v>
      </c>
      <c r="E118" s="217" t="s">
        <v>156</v>
      </c>
    </row>
    <row r="121" spans="2:15">
      <c r="B121" s="201" t="s">
        <v>157</v>
      </c>
    </row>
    <row r="122" spans="2:15">
      <c r="B122" s="195"/>
    </row>
    <row r="123" spans="2:15">
      <c r="B123" s="195" t="s">
        <v>158</v>
      </c>
    </row>
    <row r="124" spans="2:15">
      <c r="B124" s="195" t="s">
        <v>251</v>
      </c>
    </row>
    <row r="127" spans="2:15">
      <c r="B127" s="218"/>
      <c r="C127" s="218"/>
      <c r="D127" s="218"/>
      <c r="E127" s="218"/>
      <c r="F127" s="218"/>
      <c r="G127" s="218"/>
      <c r="H127" s="364"/>
      <c r="I127" s="364"/>
      <c r="J127" s="364"/>
      <c r="K127" s="218"/>
      <c r="L127" s="219"/>
      <c r="M127" s="218"/>
      <c r="N127" s="218"/>
      <c r="O127" s="218"/>
    </row>
    <row r="130" spans="1:5">
      <c r="B130" s="201" t="s">
        <v>160</v>
      </c>
    </row>
    <row r="132" spans="1:5">
      <c r="A132" s="227" t="s">
        <v>67</v>
      </c>
      <c r="B132" s="189" t="s">
        <v>140</v>
      </c>
      <c r="C132" s="189" t="s">
        <v>141</v>
      </c>
      <c r="D132" s="201" t="s">
        <v>138</v>
      </c>
    </row>
    <row r="133" spans="1:5">
      <c r="A133" s="188" t="s">
        <v>68</v>
      </c>
      <c r="B133" s="189" t="s">
        <v>142</v>
      </c>
      <c r="C133" s="189" t="s">
        <v>141</v>
      </c>
      <c r="D133" s="201" t="s">
        <v>135</v>
      </c>
    </row>
    <row r="136" spans="1:5">
      <c r="B136" s="201" t="s">
        <v>161</v>
      </c>
    </row>
    <row r="137" spans="1:5" ht="15.75" thickBot="1"/>
    <row r="138" spans="1:5" ht="15.75" thickBot="1">
      <c r="B138" s="215" t="s">
        <v>145</v>
      </c>
      <c r="C138" s="215" t="s">
        <v>146</v>
      </c>
      <c r="D138" s="215" t="s">
        <v>147</v>
      </c>
      <c r="E138" s="215" t="s">
        <v>148</v>
      </c>
    </row>
    <row r="139" spans="1:5" ht="15.75" thickBot="1">
      <c r="B139" s="216" t="s">
        <v>138</v>
      </c>
      <c r="C139" s="216" t="s">
        <v>172</v>
      </c>
      <c r="D139" s="216" t="s">
        <v>149</v>
      </c>
      <c r="E139" s="216" t="s">
        <v>172</v>
      </c>
    </row>
    <row r="140" spans="1:5" ht="15.75" thickBot="1">
      <c r="B140" s="217" t="s">
        <v>135</v>
      </c>
      <c r="C140" s="217" t="s">
        <v>172</v>
      </c>
      <c r="D140" s="217" t="s">
        <v>151</v>
      </c>
      <c r="E140" s="217" t="s">
        <v>155</v>
      </c>
    </row>
    <row r="141" spans="1:5" ht="15.75" thickBot="1">
      <c r="B141" s="216" t="s">
        <v>207</v>
      </c>
      <c r="C141" s="216" t="s">
        <v>151</v>
      </c>
      <c r="D141" s="216" t="s">
        <v>165</v>
      </c>
      <c r="E141" s="216" t="s">
        <v>149</v>
      </c>
    </row>
    <row r="142" spans="1:5" ht="15.75" thickBot="1">
      <c r="B142" s="217" t="s">
        <v>179</v>
      </c>
      <c r="C142" s="217" t="s">
        <v>150</v>
      </c>
      <c r="D142" s="217" t="s">
        <v>162</v>
      </c>
      <c r="E142" s="217" t="s">
        <v>153</v>
      </c>
    </row>
    <row r="145" spans="1:15">
      <c r="B145" s="201" t="s">
        <v>166</v>
      </c>
    </row>
    <row r="146" spans="1:15">
      <c r="B146" s="195"/>
    </row>
    <row r="147" spans="1:15">
      <c r="B147" s="195" t="s">
        <v>260</v>
      </c>
    </row>
    <row r="148" spans="1:15">
      <c r="B148" s="195"/>
    </row>
    <row r="150" spans="1:15">
      <c r="H150" s="364"/>
      <c r="I150" s="364"/>
      <c r="J150" s="364"/>
    </row>
    <row r="151" spans="1:15">
      <c r="B151" s="218"/>
      <c r="C151" s="218"/>
      <c r="D151" s="218"/>
      <c r="E151" s="218"/>
      <c r="F151" s="218"/>
      <c r="G151" s="218"/>
    </row>
    <row r="152" spans="1:15">
      <c r="K152" s="218"/>
      <c r="L152" s="219"/>
      <c r="M152" s="218"/>
      <c r="N152" s="218"/>
      <c r="O152" s="218"/>
    </row>
    <row r="154" spans="1:15">
      <c r="B154" s="189" t="s">
        <v>169</v>
      </c>
    </row>
    <row r="155" spans="1:15">
      <c r="B155" s="201"/>
    </row>
    <row r="156" spans="1:15">
      <c r="A156" s="188" t="s">
        <v>69</v>
      </c>
      <c r="B156" s="189" t="s">
        <v>140</v>
      </c>
      <c r="C156" s="189" t="s">
        <v>141</v>
      </c>
      <c r="D156" s="189" t="s">
        <v>200</v>
      </c>
    </row>
    <row r="157" spans="1:15">
      <c r="A157" s="188" t="s">
        <v>70</v>
      </c>
      <c r="B157" s="189" t="s">
        <v>142</v>
      </c>
      <c r="C157" s="189" t="s">
        <v>141</v>
      </c>
      <c r="D157" s="201" t="s">
        <v>390</v>
      </c>
    </row>
    <row r="158" spans="1:15">
      <c r="D158" s="201"/>
    </row>
    <row r="160" spans="1:15">
      <c r="B160" s="189" t="s">
        <v>170</v>
      </c>
    </row>
    <row r="161" spans="2:15">
      <c r="B161" s="201"/>
    </row>
    <row r="162" spans="2:15" ht="15.75" thickBot="1">
      <c r="B162" s="189" t="s">
        <v>145</v>
      </c>
      <c r="C162" s="189" t="s">
        <v>146</v>
      </c>
      <c r="D162" s="189" t="s">
        <v>147</v>
      </c>
      <c r="E162" s="189" t="s">
        <v>148</v>
      </c>
    </row>
    <row r="163" spans="2:15" ht="15.75" thickBot="1">
      <c r="B163" s="215" t="s">
        <v>390</v>
      </c>
      <c r="C163" s="215" t="s">
        <v>164</v>
      </c>
      <c r="D163" s="215" t="s">
        <v>156</v>
      </c>
      <c r="E163" s="215" t="s">
        <v>149</v>
      </c>
    </row>
    <row r="164" spans="2:15" ht="15.75" thickBot="1">
      <c r="B164" s="216" t="s">
        <v>106</v>
      </c>
      <c r="C164" s="216" t="s">
        <v>150</v>
      </c>
      <c r="D164" s="216" t="s">
        <v>171</v>
      </c>
      <c r="E164" s="216" t="s">
        <v>153</v>
      </c>
    </row>
    <row r="165" spans="2:15" ht="15.75" thickBot="1">
      <c r="B165" s="217" t="s">
        <v>200</v>
      </c>
      <c r="C165" s="217" t="s">
        <v>172</v>
      </c>
      <c r="D165" s="217" t="s">
        <v>153</v>
      </c>
      <c r="E165" s="217" t="s">
        <v>164</v>
      </c>
    </row>
    <row r="166" spans="2:15" ht="15.75" thickBot="1">
      <c r="B166" s="216" t="s">
        <v>187</v>
      </c>
      <c r="C166" s="216" t="s">
        <v>149</v>
      </c>
      <c r="D166" s="216" t="s">
        <v>150</v>
      </c>
      <c r="E166" s="216" t="s">
        <v>151</v>
      </c>
    </row>
    <row r="167" spans="2:15" ht="15.75" thickBot="1">
      <c r="B167" s="217"/>
      <c r="C167" s="217"/>
      <c r="D167" s="217"/>
      <c r="E167" s="217"/>
    </row>
    <row r="169" spans="2:15">
      <c r="B169" s="189" t="s">
        <v>173</v>
      </c>
    </row>
    <row r="170" spans="2:15">
      <c r="B170" s="201"/>
    </row>
    <row r="171" spans="2:15">
      <c r="B171" s="195" t="s">
        <v>174</v>
      </c>
    </row>
    <row r="172" spans="2:15">
      <c r="B172" s="195" t="s">
        <v>175</v>
      </c>
    </row>
    <row r="173" spans="2:15">
      <c r="B173" s="195"/>
    </row>
    <row r="174" spans="2:15">
      <c r="H174" s="364"/>
      <c r="I174" s="364"/>
      <c r="J174" s="364"/>
    </row>
    <row r="176" spans="2:15">
      <c r="B176" s="218"/>
      <c r="C176" s="218"/>
      <c r="D176" s="218"/>
      <c r="E176" s="218"/>
      <c r="F176" s="218"/>
      <c r="G176" s="218"/>
      <c r="K176" s="218"/>
      <c r="L176" s="219"/>
      <c r="M176" s="218"/>
      <c r="N176" s="218"/>
      <c r="O176" s="218"/>
    </row>
    <row r="178" spans="1:5">
      <c r="B178" s="189" t="s">
        <v>176</v>
      </c>
    </row>
    <row r="179" spans="1:5">
      <c r="B179" s="201"/>
    </row>
    <row r="180" spans="1:5">
      <c r="A180" s="188" t="s">
        <v>71</v>
      </c>
      <c r="B180" s="189" t="s">
        <v>140</v>
      </c>
      <c r="C180" s="189" t="s">
        <v>141</v>
      </c>
      <c r="D180" s="189" t="s">
        <v>97</v>
      </c>
    </row>
    <row r="181" spans="1:5">
      <c r="A181" s="188" t="s">
        <v>72</v>
      </c>
      <c r="B181" s="189" t="s">
        <v>142</v>
      </c>
      <c r="C181" s="189" t="s">
        <v>141</v>
      </c>
      <c r="D181" s="201" t="s">
        <v>193</v>
      </c>
    </row>
    <row r="182" spans="1:5">
      <c r="D182" s="201"/>
    </row>
    <row r="184" spans="1:5">
      <c r="B184" s="189" t="s">
        <v>178</v>
      </c>
    </row>
    <row r="185" spans="1:5">
      <c r="B185" s="201"/>
    </row>
    <row r="186" spans="1:5" ht="15.75" thickBot="1">
      <c r="B186" s="189" t="s">
        <v>145</v>
      </c>
      <c r="C186" s="189" t="s">
        <v>146</v>
      </c>
      <c r="D186" s="189" t="s">
        <v>147</v>
      </c>
      <c r="E186" s="189" t="s">
        <v>148</v>
      </c>
    </row>
    <row r="187" spans="1:5" ht="15.75" thickBot="1">
      <c r="B187" s="215" t="s">
        <v>97</v>
      </c>
      <c r="C187" s="215" t="s">
        <v>172</v>
      </c>
      <c r="D187" s="215" t="s">
        <v>153</v>
      </c>
      <c r="E187" s="215" t="s">
        <v>155</v>
      </c>
    </row>
    <row r="188" spans="1:5" ht="15.75" thickBot="1">
      <c r="B188" s="216" t="s">
        <v>391</v>
      </c>
      <c r="C188" s="216" t="s">
        <v>150</v>
      </c>
      <c r="D188" s="216" t="s">
        <v>171</v>
      </c>
      <c r="E188" s="216" t="s">
        <v>151</v>
      </c>
    </row>
    <row r="189" spans="1:5" ht="15.75" thickBot="1">
      <c r="B189" s="217" t="s">
        <v>109</v>
      </c>
      <c r="C189" s="217" t="s">
        <v>149</v>
      </c>
      <c r="D189" s="217" t="s">
        <v>150</v>
      </c>
      <c r="E189" s="217" t="s">
        <v>151</v>
      </c>
    </row>
    <row r="190" spans="1:5" ht="15.75" thickBot="1">
      <c r="B190" s="216" t="s">
        <v>193</v>
      </c>
      <c r="C190" s="216" t="s">
        <v>155</v>
      </c>
      <c r="D190" s="216" t="s">
        <v>156</v>
      </c>
      <c r="E190" s="216" t="s">
        <v>151</v>
      </c>
    </row>
    <row r="191" spans="1:5" ht="15.75" thickBot="1">
      <c r="B191" s="217"/>
      <c r="C191" s="217"/>
      <c r="D191" s="217"/>
      <c r="E191" s="217"/>
    </row>
    <row r="193" spans="1:15">
      <c r="B193" s="189" t="s">
        <v>182</v>
      </c>
    </row>
    <row r="194" spans="1:15">
      <c r="B194" s="201"/>
    </row>
    <row r="195" spans="1:15">
      <c r="B195" s="195" t="s">
        <v>239</v>
      </c>
    </row>
    <row r="196" spans="1:15">
      <c r="B196" s="195" t="s">
        <v>240</v>
      </c>
    </row>
    <row r="197" spans="1:15">
      <c r="B197" s="195"/>
    </row>
    <row r="198" spans="1:15">
      <c r="H198" s="364"/>
      <c r="I198" s="364"/>
      <c r="J198" s="364"/>
    </row>
    <row r="199" spans="1:15">
      <c r="K199" s="218"/>
      <c r="L199" s="219"/>
      <c r="M199" s="218"/>
      <c r="N199" s="218"/>
      <c r="O199" s="218"/>
    </row>
    <row r="200" spans="1:15">
      <c r="B200" s="218"/>
      <c r="C200" s="218"/>
      <c r="D200" s="218"/>
      <c r="E200" s="218"/>
      <c r="F200" s="218"/>
      <c r="G200" s="218"/>
    </row>
    <row r="202" spans="1:15">
      <c r="B202" s="189" t="s">
        <v>184</v>
      </c>
    </row>
    <row r="203" spans="1:15">
      <c r="B203" s="201"/>
    </row>
    <row r="204" spans="1:15">
      <c r="A204" s="188" t="s">
        <v>73</v>
      </c>
      <c r="B204" s="189" t="s">
        <v>140</v>
      </c>
      <c r="C204" s="189" t="s">
        <v>141</v>
      </c>
      <c r="D204" s="189" t="s">
        <v>209</v>
      </c>
    </row>
    <row r="205" spans="1:15">
      <c r="A205" s="188" t="s">
        <v>74</v>
      </c>
      <c r="B205" s="189" t="s">
        <v>142</v>
      </c>
      <c r="C205" s="189" t="s">
        <v>141</v>
      </c>
      <c r="D205" s="201" t="s">
        <v>143</v>
      </c>
    </row>
    <row r="206" spans="1:15">
      <c r="D206" s="201"/>
    </row>
    <row r="208" spans="1:15">
      <c r="B208" s="189" t="s">
        <v>186</v>
      </c>
    </row>
    <row r="209" spans="2:15">
      <c r="B209" s="201"/>
    </row>
    <row r="210" spans="2:15" ht="15.75" thickBot="1">
      <c r="B210" s="189" t="s">
        <v>145</v>
      </c>
      <c r="C210" s="189" t="s">
        <v>146</v>
      </c>
      <c r="D210" s="189" t="s">
        <v>147</v>
      </c>
      <c r="E210" s="189" t="s">
        <v>148</v>
      </c>
    </row>
    <row r="211" spans="2:15" ht="15.75" thickBot="1">
      <c r="B211" s="215" t="s">
        <v>209</v>
      </c>
      <c r="C211" s="215" t="s">
        <v>172</v>
      </c>
      <c r="D211" s="215" t="s">
        <v>151</v>
      </c>
      <c r="E211" s="215" t="s">
        <v>164</v>
      </c>
    </row>
    <row r="212" spans="2:15" ht="15.75" thickBot="1">
      <c r="B212" s="216" t="s">
        <v>392</v>
      </c>
      <c r="C212" s="216" t="s">
        <v>151</v>
      </c>
      <c r="D212" s="216" t="s">
        <v>150</v>
      </c>
      <c r="E212" s="216" t="s">
        <v>151</v>
      </c>
    </row>
    <row r="213" spans="2:15" ht="15.75" thickBot="1">
      <c r="B213" s="217" t="s">
        <v>143</v>
      </c>
      <c r="C213" s="217" t="s">
        <v>172</v>
      </c>
      <c r="D213" s="217" t="s">
        <v>151</v>
      </c>
      <c r="E213" s="217" t="s">
        <v>149</v>
      </c>
    </row>
    <row r="214" spans="2:15" ht="15.75" thickBot="1">
      <c r="B214" s="216" t="s">
        <v>210</v>
      </c>
      <c r="C214" s="216" t="s">
        <v>150</v>
      </c>
      <c r="D214" s="216" t="s">
        <v>241</v>
      </c>
      <c r="E214" s="216" t="s">
        <v>156</v>
      </c>
    </row>
    <row r="215" spans="2:15" ht="15.75" thickBot="1">
      <c r="B215" s="217"/>
      <c r="C215" s="217"/>
      <c r="D215" s="217"/>
      <c r="E215" s="217"/>
    </row>
    <row r="217" spans="2:15">
      <c r="B217" s="189" t="s">
        <v>189</v>
      </c>
    </row>
    <row r="218" spans="2:15">
      <c r="B218" s="201"/>
    </row>
    <row r="219" spans="2:15">
      <c r="B219" s="195" t="s">
        <v>526</v>
      </c>
    </row>
    <row r="220" spans="2:15">
      <c r="B220" s="195"/>
    </row>
    <row r="221" spans="2:15">
      <c r="B221" s="195"/>
      <c r="H221" s="364"/>
      <c r="I221" s="364"/>
      <c r="J221" s="364"/>
    </row>
    <row r="223" spans="2:15">
      <c r="K223" s="218"/>
      <c r="L223" s="219"/>
      <c r="M223" s="218"/>
      <c r="N223" s="218"/>
      <c r="O223" s="218"/>
    </row>
    <row r="224" spans="2:15">
      <c r="B224" s="218"/>
      <c r="C224" s="218"/>
      <c r="D224" s="218"/>
      <c r="E224" s="218"/>
      <c r="F224" s="218"/>
      <c r="G224" s="218"/>
    </row>
    <row r="226" spans="1:5">
      <c r="B226" s="189" t="s">
        <v>192</v>
      </c>
    </row>
    <row r="228" spans="1:5">
      <c r="A228" s="188" t="s">
        <v>75</v>
      </c>
      <c r="B228" s="201" t="s">
        <v>140</v>
      </c>
      <c r="C228" s="189" t="s">
        <v>141</v>
      </c>
      <c r="D228" s="189" t="s">
        <v>102</v>
      </c>
    </row>
    <row r="229" spans="1:5">
      <c r="A229" s="188" t="s">
        <v>76</v>
      </c>
      <c r="B229" s="189" t="s">
        <v>142</v>
      </c>
      <c r="C229" s="189" t="s">
        <v>141</v>
      </c>
      <c r="D229" s="189" t="s">
        <v>108</v>
      </c>
    </row>
    <row r="230" spans="1:5">
      <c r="D230" s="201"/>
    </row>
    <row r="231" spans="1:5">
      <c r="D231" s="201"/>
    </row>
    <row r="232" spans="1:5">
      <c r="B232" s="189" t="s">
        <v>194</v>
      </c>
    </row>
    <row r="234" spans="1:5">
      <c r="B234" s="201" t="s">
        <v>145</v>
      </c>
      <c r="C234" s="189" t="s">
        <v>146</v>
      </c>
      <c r="D234" s="189" t="s">
        <v>147</v>
      </c>
      <c r="E234" s="189" t="s">
        <v>148</v>
      </c>
    </row>
    <row r="235" spans="1:5" ht="15.75" thickBot="1">
      <c r="B235" s="189" t="s">
        <v>102</v>
      </c>
      <c r="C235" s="189" t="s">
        <v>163</v>
      </c>
      <c r="D235" s="189" t="s">
        <v>172</v>
      </c>
      <c r="E235" s="189" t="s">
        <v>243</v>
      </c>
    </row>
    <row r="236" spans="1:5" ht="15.75" thickBot="1">
      <c r="B236" s="215" t="s">
        <v>572</v>
      </c>
      <c r="C236" s="215" t="s">
        <v>149</v>
      </c>
      <c r="D236" s="215" t="s">
        <v>150</v>
      </c>
      <c r="E236" s="215" t="s">
        <v>155</v>
      </c>
    </row>
    <row r="237" spans="1:5" ht="15.75" thickBot="1">
      <c r="B237" s="216" t="s">
        <v>394</v>
      </c>
      <c r="C237" s="216" t="s">
        <v>150</v>
      </c>
      <c r="D237" s="216" t="s">
        <v>246</v>
      </c>
      <c r="E237" s="216" t="s">
        <v>150</v>
      </c>
    </row>
    <row r="238" spans="1:5" ht="15.75" thickBot="1">
      <c r="B238" s="217" t="s">
        <v>108</v>
      </c>
      <c r="C238" s="217" t="s">
        <v>149</v>
      </c>
      <c r="D238" s="217" t="s">
        <v>156</v>
      </c>
      <c r="E238" s="217" t="s">
        <v>149</v>
      </c>
    </row>
    <row r="239" spans="1:5" ht="15.75" thickBot="1">
      <c r="B239" s="216"/>
      <c r="C239" s="216"/>
      <c r="D239" s="216"/>
      <c r="E239" s="216"/>
    </row>
    <row r="240" spans="1:5" ht="15.75" thickBot="1">
      <c r="B240" s="217"/>
      <c r="C240" s="217"/>
      <c r="D240" s="217"/>
      <c r="E240" s="217"/>
    </row>
    <row r="241" spans="1:15">
      <c r="B241" s="189" t="s">
        <v>195</v>
      </c>
    </row>
    <row r="243" spans="1:15">
      <c r="B243" s="201" t="s">
        <v>196</v>
      </c>
    </row>
    <row r="244" spans="1:15">
      <c r="B244" s="195" t="s">
        <v>262</v>
      </c>
    </row>
    <row r="245" spans="1:15">
      <c r="B245" s="195"/>
      <c r="H245" s="364"/>
      <c r="I245" s="364"/>
      <c r="J245" s="364"/>
    </row>
    <row r="247" spans="1:15">
      <c r="K247" s="218"/>
      <c r="L247" s="219"/>
      <c r="M247" s="218"/>
      <c r="N247" s="218"/>
      <c r="O247" s="218"/>
    </row>
    <row r="248" spans="1:15">
      <c r="B248" s="218"/>
      <c r="C248" s="218"/>
      <c r="D248" s="218"/>
      <c r="E248" s="218"/>
      <c r="F248" s="218"/>
      <c r="G248" s="218"/>
    </row>
    <row r="250" spans="1:15">
      <c r="B250" s="189" t="s">
        <v>198</v>
      </c>
    </row>
    <row r="252" spans="1:15">
      <c r="A252" s="188" t="s">
        <v>77</v>
      </c>
      <c r="B252" s="201" t="s">
        <v>140</v>
      </c>
      <c r="C252" s="189" t="s">
        <v>141</v>
      </c>
      <c r="D252" s="189" t="s">
        <v>177</v>
      </c>
    </row>
    <row r="253" spans="1:15">
      <c r="A253" s="188" t="s">
        <v>78</v>
      </c>
      <c r="B253" s="189" t="s">
        <v>142</v>
      </c>
      <c r="C253" s="189" t="s">
        <v>141</v>
      </c>
      <c r="D253" s="189" t="s">
        <v>202</v>
      </c>
    </row>
    <row r="254" spans="1:15">
      <c r="D254" s="201"/>
    </row>
    <row r="255" spans="1:15">
      <c r="D255" s="201"/>
    </row>
    <row r="256" spans="1:15">
      <c r="B256" s="189" t="s">
        <v>201</v>
      </c>
    </row>
    <row r="258" spans="2:15">
      <c r="B258" s="201" t="s">
        <v>145</v>
      </c>
      <c r="C258" s="189" t="s">
        <v>146</v>
      </c>
      <c r="D258" s="189" t="s">
        <v>147</v>
      </c>
      <c r="E258" s="189" t="s">
        <v>148</v>
      </c>
    </row>
    <row r="259" spans="2:15" ht="15.75" thickBot="1">
      <c r="B259" s="189" t="s">
        <v>177</v>
      </c>
      <c r="C259" s="189" t="s">
        <v>163</v>
      </c>
      <c r="D259" s="189" t="s">
        <v>149</v>
      </c>
      <c r="E259" s="189" t="s">
        <v>172</v>
      </c>
    </row>
    <row r="260" spans="2:15" ht="15.75" thickBot="1">
      <c r="B260" s="215" t="s">
        <v>202</v>
      </c>
      <c r="C260" s="215" t="s">
        <v>149</v>
      </c>
      <c r="D260" s="215" t="s">
        <v>150</v>
      </c>
      <c r="E260" s="215" t="s">
        <v>155</v>
      </c>
    </row>
    <row r="261" spans="2:15" ht="15.75" thickBot="1">
      <c r="B261" s="216" t="s">
        <v>181</v>
      </c>
      <c r="C261" s="216" t="s">
        <v>153</v>
      </c>
      <c r="D261" s="216" t="s">
        <v>165</v>
      </c>
      <c r="E261" s="216" t="s">
        <v>151</v>
      </c>
    </row>
    <row r="262" spans="2:15" ht="15.75" thickBot="1">
      <c r="B262" s="217" t="s">
        <v>32</v>
      </c>
      <c r="C262" s="217" t="s">
        <v>156</v>
      </c>
      <c r="D262" s="217" t="s">
        <v>165</v>
      </c>
      <c r="E262" s="217" t="s">
        <v>149</v>
      </c>
    </row>
    <row r="263" spans="2:15" ht="15.75" thickBot="1">
      <c r="B263" s="216"/>
      <c r="C263" s="216"/>
      <c r="D263" s="216"/>
      <c r="E263" s="216"/>
    </row>
    <row r="264" spans="2:15" ht="15.75" thickBot="1">
      <c r="B264" s="217"/>
      <c r="C264" s="217"/>
      <c r="D264" s="217"/>
      <c r="E264" s="217"/>
    </row>
    <row r="265" spans="2:15">
      <c r="B265" s="189" t="s">
        <v>203</v>
      </c>
    </row>
    <row r="267" spans="2:15">
      <c r="B267" s="201" t="s">
        <v>204</v>
      </c>
    </row>
    <row r="268" spans="2:15">
      <c r="B268" s="195" t="s">
        <v>205</v>
      </c>
    </row>
    <row r="269" spans="2:15">
      <c r="B269" s="195"/>
      <c r="J269" s="364"/>
    </row>
    <row r="270" spans="2:15">
      <c r="B270" s="195"/>
      <c r="H270" s="364"/>
      <c r="I270" s="364"/>
      <c r="K270" s="218"/>
      <c r="L270" s="219"/>
      <c r="M270" s="218"/>
      <c r="N270" s="218"/>
      <c r="O270" s="218"/>
    </row>
    <row r="271" spans="2:15">
      <c r="B271" s="218"/>
      <c r="C271" s="218"/>
      <c r="D271" s="218"/>
      <c r="E271" s="218"/>
      <c r="F271" s="218"/>
      <c r="G271" s="218"/>
    </row>
    <row r="274" spans="1:5">
      <c r="B274" s="189" t="s">
        <v>206</v>
      </c>
    </row>
    <row r="276" spans="1:5">
      <c r="A276" s="188" t="s">
        <v>79</v>
      </c>
      <c r="B276" s="201" t="s">
        <v>140</v>
      </c>
      <c r="C276" s="189" t="s">
        <v>141</v>
      </c>
      <c r="D276" s="189" t="s">
        <v>395</v>
      </c>
    </row>
    <row r="277" spans="1:5">
      <c r="A277" s="188" t="s">
        <v>80</v>
      </c>
      <c r="B277" s="189" t="s">
        <v>142</v>
      </c>
      <c r="C277" s="189" t="s">
        <v>141</v>
      </c>
      <c r="D277" s="189" t="s">
        <v>396</v>
      </c>
    </row>
    <row r="278" spans="1:5">
      <c r="D278" s="201"/>
    </row>
    <row r="279" spans="1:5">
      <c r="D279" s="201"/>
    </row>
    <row r="280" spans="1:5">
      <c r="B280" s="189" t="s">
        <v>208</v>
      </c>
    </row>
    <row r="282" spans="1:5">
      <c r="B282" s="201" t="s">
        <v>145</v>
      </c>
      <c r="C282" s="189" t="s">
        <v>146</v>
      </c>
      <c r="D282" s="189" t="s">
        <v>147</v>
      </c>
      <c r="E282" s="189" t="s">
        <v>148</v>
      </c>
    </row>
    <row r="283" spans="1:5" ht="15.75" thickBot="1">
      <c r="B283" s="189" t="s">
        <v>395</v>
      </c>
      <c r="C283" s="189" t="s">
        <v>172</v>
      </c>
      <c r="D283" s="189" t="s">
        <v>151</v>
      </c>
      <c r="E283" s="189" t="s">
        <v>149</v>
      </c>
    </row>
    <row r="284" spans="1:5" ht="15.75" thickBot="1">
      <c r="B284" s="215" t="s">
        <v>110</v>
      </c>
      <c r="C284" s="215" t="s">
        <v>156</v>
      </c>
      <c r="D284" s="215" t="s">
        <v>165</v>
      </c>
      <c r="E284" s="215" t="s">
        <v>153</v>
      </c>
    </row>
    <row r="285" spans="1:5" ht="15.75" thickBot="1">
      <c r="B285" s="216" t="s">
        <v>396</v>
      </c>
      <c r="C285" s="216" t="s">
        <v>155</v>
      </c>
      <c r="D285" s="216" t="s">
        <v>153</v>
      </c>
      <c r="E285" s="216" t="s">
        <v>151</v>
      </c>
    </row>
    <row r="286" spans="1:5" ht="15.75" thickBot="1">
      <c r="B286" s="217" t="s">
        <v>104</v>
      </c>
      <c r="C286" s="217" t="s">
        <v>151</v>
      </c>
      <c r="D286" s="217" t="s">
        <v>171</v>
      </c>
      <c r="E286" s="217" t="s">
        <v>156</v>
      </c>
    </row>
    <row r="287" spans="1:5" ht="15.75" thickBot="1">
      <c r="B287" s="216"/>
      <c r="C287" s="216"/>
      <c r="D287" s="216"/>
      <c r="E287" s="216"/>
    </row>
    <row r="288" spans="1:5" ht="15.75" thickBot="1">
      <c r="B288" s="217"/>
      <c r="C288" s="217"/>
      <c r="D288" s="217"/>
      <c r="E288" s="217"/>
    </row>
    <row r="289" spans="2:15">
      <c r="B289" s="189" t="s">
        <v>211</v>
      </c>
    </row>
    <row r="291" spans="2:15">
      <c r="B291" s="201" t="s">
        <v>212</v>
      </c>
    </row>
    <row r="292" spans="2:15">
      <c r="B292" s="195" t="s">
        <v>213</v>
      </c>
    </row>
    <row r="293" spans="2:15">
      <c r="B293" s="195"/>
      <c r="H293" s="364"/>
      <c r="I293" s="364"/>
      <c r="J293" s="364"/>
    </row>
    <row r="295" spans="2:15">
      <c r="K295" s="218"/>
      <c r="L295" s="219"/>
      <c r="M295" s="218"/>
      <c r="N295" s="218"/>
      <c r="O295" s="218"/>
    </row>
    <row r="296" spans="2:15">
      <c r="B296" s="218"/>
      <c r="C296" s="218"/>
      <c r="D296" s="218"/>
      <c r="E296" s="218"/>
      <c r="F296" s="218"/>
      <c r="G296" s="218"/>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1.xml><?xml version="1.0" encoding="utf-8"?>
<worksheet xmlns="http://schemas.openxmlformats.org/spreadsheetml/2006/main" xmlns:r="http://schemas.openxmlformats.org/officeDocument/2006/relationships">
  <sheetPr codeName="Blad23">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263</v>
      </c>
      <c r="L1" s="194"/>
      <c r="P1" s="193">
        <f>SUM(P14:P101)+E11+H11+L7+L11+Q11</f>
        <v>425</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Nederland</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Colombia</v>
      </c>
      <c r="C4" s="222">
        <f t="shared" si="1"/>
        <v>10</v>
      </c>
      <c r="D4" s="224" t="str">
        <f t="shared" si="2"/>
        <v>Uruguay</v>
      </c>
      <c r="E4" s="222">
        <f t="shared" si="3"/>
        <v>10</v>
      </c>
      <c r="F4" s="339" t="s">
        <v>450</v>
      </c>
      <c r="G4" s="195" t="str">
        <f>G88</f>
        <v>Uruguay</v>
      </c>
      <c r="H4" s="222">
        <f t="shared" si="4"/>
        <v>0</v>
      </c>
      <c r="I4" s="339" t="s">
        <v>458</v>
      </c>
      <c r="J4" s="195" t="str">
        <f>G94</f>
        <v>Portugal</v>
      </c>
      <c r="L4" s="222">
        <f>IF(ISNA(MATCH(J4,teams_halve,0)),0,20)</f>
        <v>0</v>
      </c>
      <c r="Q4" s="224"/>
    </row>
    <row r="5" spans="1:21" s="195" customFormat="1" ht="15" customHeight="1">
      <c r="B5" s="224" t="str">
        <f t="shared" si="0"/>
        <v>Spanje</v>
      </c>
      <c r="C5" s="222">
        <f t="shared" si="1"/>
        <v>0</v>
      </c>
      <c r="D5" s="224" t="str">
        <f t="shared" si="2"/>
        <v>Mexico</v>
      </c>
      <c r="E5" s="222">
        <f t="shared" si="3"/>
        <v>10</v>
      </c>
      <c r="F5" s="339" t="s">
        <v>451</v>
      </c>
      <c r="G5" s="195" t="str">
        <f>E90</f>
        <v>Spanje</v>
      </c>
      <c r="H5" s="222">
        <f t="shared" si="4"/>
        <v>0</v>
      </c>
      <c r="I5" s="339" t="s">
        <v>459</v>
      </c>
      <c r="J5" s="195" t="str">
        <f>E95</f>
        <v>Spanje</v>
      </c>
      <c r="L5" s="222">
        <f>IF(ISNA(MATCH(J5,teams_halve,0)),0,20)</f>
        <v>0</v>
      </c>
    </row>
    <row r="6" spans="1:21" s="195" customFormat="1" ht="15" customHeight="1">
      <c r="B6" s="224" t="str">
        <f t="shared" si="0"/>
        <v>Italië</v>
      </c>
      <c r="C6" s="222">
        <f t="shared" si="1"/>
        <v>0</v>
      </c>
      <c r="D6" s="224" t="str">
        <f t="shared" si="2"/>
        <v>Japan</v>
      </c>
      <c r="E6" s="222">
        <f t="shared" si="3"/>
        <v>0</v>
      </c>
      <c r="F6" s="339" t="s">
        <v>452</v>
      </c>
      <c r="G6" s="195" t="str">
        <f>G90</f>
        <v>Italië</v>
      </c>
      <c r="H6" s="222">
        <f t="shared" si="4"/>
        <v>0</v>
      </c>
      <c r="I6" s="339" t="s">
        <v>460</v>
      </c>
      <c r="J6" s="195" t="str">
        <f>G95</f>
        <v>Argentinië</v>
      </c>
      <c r="L6" s="222">
        <f>IF(ISNA(MATCH(J6,teams_halve,0)),0,20)</f>
        <v>20</v>
      </c>
    </row>
    <row r="7" spans="1:21" s="195" customFormat="1" ht="15" customHeight="1">
      <c r="B7" s="224" t="str">
        <f t="shared" si="0"/>
        <v>Frankrijk</v>
      </c>
      <c r="C7" s="222">
        <f t="shared" si="1"/>
        <v>10</v>
      </c>
      <c r="D7" s="224" t="str">
        <f t="shared" si="2"/>
        <v>Bosnië en Herzegovina</v>
      </c>
      <c r="E7" s="222">
        <f t="shared" si="3"/>
        <v>0</v>
      </c>
      <c r="F7" s="339" t="s">
        <v>453</v>
      </c>
      <c r="G7" s="195" t="str">
        <f>E89</f>
        <v>Frankrijk</v>
      </c>
      <c r="H7" s="222">
        <f t="shared" si="4"/>
        <v>15</v>
      </c>
      <c r="I7" s="339"/>
      <c r="J7" s="198" t="s">
        <v>83</v>
      </c>
      <c r="K7" s="199"/>
      <c r="L7" s="225">
        <f>SUM(L3:L6)</f>
        <v>40</v>
      </c>
    </row>
    <row r="8" spans="1:21" s="195" customFormat="1" ht="15" customHeight="1">
      <c r="B8" s="224" t="str">
        <f t="shared" si="0"/>
        <v>Portugal</v>
      </c>
      <c r="C8" s="222">
        <f t="shared" si="1"/>
        <v>0</v>
      </c>
      <c r="D8" s="224" t="str">
        <f t="shared" si="2"/>
        <v>Rusland</v>
      </c>
      <c r="E8" s="222">
        <f t="shared" si="3"/>
        <v>0</v>
      </c>
      <c r="F8" s="339" t="s">
        <v>454</v>
      </c>
      <c r="G8" s="195" t="str">
        <f>G89</f>
        <v>Portugal</v>
      </c>
      <c r="H8" s="222">
        <f t="shared" si="4"/>
        <v>0</v>
      </c>
      <c r="I8" s="339"/>
      <c r="J8" s="196" t="s">
        <v>48</v>
      </c>
      <c r="L8" s="197"/>
      <c r="P8" s="196" t="s">
        <v>579</v>
      </c>
    </row>
    <row r="9" spans="1:21" s="195" customFormat="1" ht="15" customHeight="1">
      <c r="B9" s="224" t="str">
        <f t="shared" si="0"/>
        <v>Argentinië</v>
      </c>
      <c r="C9" s="222">
        <f t="shared" si="1"/>
        <v>10</v>
      </c>
      <c r="D9" s="224" t="str">
        <f t="shared" si="2"/>
        <v>Ecuador</v>
      </c>
      <c r="E9" s="222">
        <f t="shared" si="3"/>
        <v>0</v>
      </c>
      <c r="F9" s="339" t="s">
        <v>455</v>
      </c>
      <c r="G9" s="195" t="str">
        <f>E91</f>
        <v>Argentinië</v>
      </c>
      <c r="H9" s="222">
        <f t="shared" si="4"/>
        <v>15</v>
      </c>
      <c r="I9" s="339" t="s">
        <v>461</v>
      </c>
      <c r="J9" s="195" t="str">
        <f>E101</f>
        <v>Brazilië</v>
      </c>
      <c r="L9" s="222">
        <f>IF(ISNA(MATCH(J9,teams_fin,0)),0,30)</f>
        <v>0</v>
      </c>
      <c r="P9" s="444" t="str">
        <f>E98</f>
        <v>Portugal</v>
      </c>
      <c r="Q9" s="222">
        <f>IF(ISNA(MATCH(P9,teams_troost,0)),0,25)</f>
        <v>0</v>
      </c>
    </row>
    <row r="10" spans="1:21" s="195" customFormat="1" ht="15" customHeight="1">
      <c r="B10" s="224" t="str">
        <f t="shared" si="0"/>
        <v>België</v>
      </c>
      <c r="C10" s="222">
        <f t="shared" si="1"/>
        <v>10</v>
      </c>
      <c r="D10" s="224" t="str">
        <f t="shared" si="2"/>
        <v>Duitsland</v>
      </c>
      <c r="E10" s="222">
        <f t="shared" si="3"/>
        <v>10</v>
      </c>
      <c r="F10" s="339" t="s">
        <v>456</v>
      </c>
      <c r="G10" s="195" t="str">
        <f>G91</f>
        <v>België</v>
      </c>
      <c r="H10" s="222">
        <f t="shared" si="4"/>
        <v>15</v>
      </c>
      <c r="I10" s="339" t="s">
        <v>462</v>
      </c>
      <c r="J10" s="195" t="str">
        <f>G101</f>
        <v>Argentinië</v>
      </c>
      <c r="L10" s="222">
        <f>IF(ISNA(MATCH(J10,teams_fin,0)),0,30)</f>
        <v>30</v>
      </c>
      <c r="P10" s="444" t="str">
        <f>G98</f>
        <v>Spanje</v>
      </c>
      <c r="Q10" s="222">
        <f>IF(ISNA(MATCH(P10,teams_troost,0)),0,25)</f>
        <v>0</v>
      </c>
    </row>
    <row r="11" spans="1:21" s="195" customFormat="1" ht="15" customHeight="1">
      <c r="D11" s="198" t="s">
        <v>89</v>
      </c>
      <c r="E11" s="225">
        <f>SUM(C3:E10)</f>
        <v>90</v>
      </c>
      <c r="G11" s="198" t="s">
        <v>82</v>
      </c>
      <c r="H11" s="225">
        <f>SUM(H3:H10)</f>
        <v>60</v>
      </c>
      <c r="J11" s="198" t="s">
        <v>90</v>
      </c>
      <c r="K11" s="199"/>
      <c r="L11" s="225">
        <f>SUM(L9:L10)</f>
        <v>30</v>
      </c>
      <c r="P11" s="199"/>
      <c r="Q11" s="225">
        <f>SUM(Q9:Q10)</f>
        <v>0</v>
      </c>
    </row>
    <row r="12" spans="1:21">
      <c r="B12" s="201" t="s">
        <v>19</v>
      </c>
      <c r="C12" s="201"/>
      <c r="D12" s="339" t="s">
        <v>463</v>
      </c>
      <c r="E12" s="202" t="s">
        <v>199</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2</v>
      </c>
      <c r="I14" s="366" t="s">
        <v>29</v>
      </c>
      <c r="J14" s="366">
        <v>0</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1</v>
      </c>
      <c r="I15" s="366" t="s">
        <v>29</v>
      </c>
      <c r="J15" s="366">
        <v>0</v>
      </c>
      <c r="K15" s="212" t="str">
        <f t="shared" si="5"/>
        <v>1</v>
      </c>
      <c r="L15" s="210" t="str">
        <f>VLOOKUP($B15,Invulblad!$A$11:$S$103,13,0)</f>
        <v>1</v>
      </c>
      <c r="M15" s="211">
        <f>IF(L15&lt;&gt;"",VLOOKUP($B15,Invulblad!$A$11:$S$103,7,0),"")</f>
        <v>1</v>
      </c>
      <c r="N15" s="209" t="s">
        <v>29</v>
      </c>
      <c r="O15" s="211">
        <f>IF(L15&lt;&gt;"",VLOOKUP($B15,Invulblad!$A$11:$S$103,9,0),"")</f>
        <v>0</v>
      </c>
      <c r="P15" s="212">
        <f t="shared" si="6"/>
        <v>10</v>
      </c>
    </row>
    <row r="16" spans="1:21">
      <c r="A16" s="188">
        <v>3</v>
      </c>
      <c r="B16" s="195">
        <v>17</v>
      </c>
      <c r="C16" s="332">
        <v>41807</v>
      </c>
      <c r="D16" s="333">
        <v>0.875</v>
      </c>
      <c r="E16" s="189" t="s">
        <v>557</v>
      </c>
      <c r="F16" s="189" t="s">
        <v>29</v>
      </c>
      <c r="G16" s="189" t="s">
        <v>96</v>
      </c>
      <c r="H16" s="366">
        <v>2</v>
      </c>
      <c r="I16" s="366" t="s">
        <v>29</v>
      </c>
      <c r="J16" s="366">
        <v>1</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0</v>
      </c>
      <c r="I17" s="366" t="s">
        <v>29</v>
      </c>
      <c r="J17" s="366">
        <v>1</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1</v>
      </c>
      <c r="I18" s="366" t="s">
        <v>29</v>
      </c>
      <c r="J18" s="366">
        <v>1</v>
      </c>
      <c r="K18" s="212">
        <f t="shared" si="5"/>
        <v>3</v>
      </c>
      <c r="L18" s="210">
        <f>VLOOKUP($B18,Invulblad!$A$11:$S$103,13,0)</f>
        <v>2</v>
      </c>
      <c r="M18" s="211">
        <f>IF(L18&lt;&gt;"",VLOOKUP($B18,Invulblad!$A$11:$S$103,7,0),"")</f>
        <v>1</v>
      </c>
      <c r="N18" s="209" t="s">
        <v>29</v>
      </c>
      <c r="O18" s="211">
        <f>IF(L18&lt;&gt;"",VLOOKUP($B18,Invulblad!$A$11:$S$103,9,0),"")</f>
        <v>4</v>
      </c>
      <c r="P18" s="212">
        <f t="shared" si="6"/>
        <v>0</v>
      </c>
    </row>
    <row r="19" spans="1:16">
      <c r="A19" s="188">
        <v>6</v>
      </c>
      <c r="B19" s="195">
        <v>34</v>
      </c>
      <c r="C19" s="332">
        <v>41813</v>
      </c>
      <c r="D19" s="333">
        <v>0.91666666666666663</v>
      </c>
      <c r="E19" s="189" t="s">
        <v>560</v>
      </c>
      <c r="F19" s="189" t="s">
        <v>29</v>
      </c>
      <c r="G19" s="189" t="s">
        <v>96</v>
      </c>
      <c r="H19" s="366">
        <v>1</v>
      </c>
      <c r="I19" s="366" t="s">
        <v>29</v>
      </c>
      <c r="J19" s="366">
        <v>2</v>
      </c>
      <c r="K19" s="212">
        <f t="shared" si="5"/>
        <v>2</v>
      </c>
      <c r="L19" s="210">
        <f>VLOOKUP($B19,Invulblad!$A$11:$S$103,13,0)</f>
        <v>2</v>
      </c>
      <c r="M19" s="211">
        <f>IF(L19&lt;&gt;"",VLOOKUP($B19,Invulblad!$A$11:$S$103,7,0),"")</f>
        <v>1</v>
      </c>
      <c r="N19" s="209" t="s">
        <v>29</v>
      </c>
      <c r="O19" s="211">
        <f>IF(L19&lt;&gt;"",VLOOKUP($B19,Invulblad!$A$11:$S$103,9,0),"")</f>
        <v>3</v>
      </c>
      <c r="P19" s="212">
        <f t="shared" si="6"/>
        <v>5</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2</v>
      </c>
      <c r="I22" s="366" t="s">
        <v>29</v>
      </c>
      <c r="J22" s="366">
        <v>0</v>
      </c>
      <c r="K22" s="212" t="str">
        <f t="shared" si="5"/>
        <v>1</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1</v>
      </c>
      <c r="I23" s="366" t="s">
        <v>29</v>
      </c>
      <c r="J23" s="366">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1</v>
      </c>
      <c r="I24" s="366" t="s">
        <v>29</v>
      </c>
      <c r="J24" s="366">
        <v>0</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1</v>
      </c>
      <c r="I25" s="366" t="s">
        <v>29</v>
      </c>
      <c r="J25" s="366">
        <v>1</v>
      </c>
      <c r="K25" s="212">
        <f t="shared" si="5"/>
        <v>3</v>
      </c>
      <c r="L25" s="210">
        <f>VLOOKUP($B25,Invulblad!$A$11:$S$103,13,0)</f>
        <v>2</v>
      </c>
      <c r="M25" s="211">
        <f>IF(L25&lt;&gt;"",VLOOKUP($B25,Invulblad!$A$11:$S$103,7,0),"")</f>
        <v>2</v>
      </c>
      <c r="N25" s="209" t="s">
        <v>29</v>
      </c>
      <c r="O25" s="211">
        <f>IF(L25&lt;&gt;"",VLOOKUP($B25,Invulblad!$A$11:$S$103,9,0),"")</f>
        <v>3</v>
      </c>
      <c r="P25" s="212">
        <f t="shared" si="7"/>
        <v>0</v>
      </c>
    </row>
    <row r="26" spans="1:16">
      <c r="A26" s="188">
        <v>13</v>
      </c>
      <c r="B26" s="195">
        <v>35</v>
      </c>
      <c r="C26" s="332">
        <v>41813</v>
      </c>
      <c r="D26" s="333">
        <v>0.75</v>
      </c>
      <c r="E26" s="189" t="s">
        <v>562</v>
      </c>
      <c r="F26" s="189" t="s">
        <v>29</v>
      </c>
      <c r="G26" s="189" t="s">
        <v>133</v>
      </c>
      <c r="H26" s="366">
        <v>1</v>
      </c>
      <c r="I26" s="366" t="s">
        <v>29</v>
      </c>
      <c r="J26" s="366">
        <v>2</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2</v>
      </c>
      <c r="I27" s="366" t="s">
        <v>29</v>
      </c>
      <c r="J27" s="366">
        <v>0</v>
      </c>
      <c r="K27" s="212" t="str">
        <f t="shared" si="5"/>
        <v>1</v>
      </c>
      <c r="L27" s="210" t="str">
        <f>VLOOKUP($B27,Invulblad!$A$11:$S$103,13,0)</f>
        <v>1</v>
      </c>
      <c r="M27" s="211">
        <f>IF(L27&lt;&gt;"",VLOOKUP($B27,Invulblad!$A$11:$S$103,7,0),"")</f>
        <v>2</v>
      </c>
      <c r="N27" s="209" t="s">
        <v>29</v>
      </c>
      <c r="O27" s="211">
        <f>IF(L27&lt;&gt;"",VLOOKUP($B27,Invulblad!$A$11:$S$103,9,0),"")</f>
        <v>0</v>
      </c>
      <c r="P27" s="212">
        <f t="shared" si="7"/>
        <v>10</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3</v>
      </c>
      <c r="I30" s="366" t="s">
        <v>29</v>
      </c>
      <c r="J30" s="366">
        <v>1</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1</v>
      </c>
      <c r="I31" s="366" t="s">
        <v>29</v>
      </c>
      <c r="J31" s="366">
        <v>2</v>
      </c>
      <c r="K31" s="212">
        <f t="shared" si="5"/>
        <v>2</v>
      </c>
      <c r="L31" s="210" t="str">
        <f>VLOOKUP($B31,Invulblad!$A$11:$S$103,13,0)</f>
        <v>1</v>
      </c>
      <c r="M31" s="211">
        <f>IF(L31&lt;&gt;"",VLOOKUP($B31,Invulblad!$A$11:$S$103,7,0),"")</f>
        <v>2</v>
      </c>
      <c r="N31" s="209" t="s">
        <v>29</v>
      </c>
      <c r="O31" s="211">
        <f>IF(L31&lt;&gt;"",VLOOKUP($B31,Invulblad!$A$11:$S$103,9,0),"")</f>
        <v>1</v>
      </c>
      <c r="P31" s="212">
        <f t="shared" si="8"/>
        <v>0</v>
      </c>
    </row>
    <row r="32" spans="1:16">
      <c r="A32" s="188">
        <v>19</v>
      </c>
      <c r="B32" s="195">
        <v>21</v>
      </c>
      <c r="C32" s="332">
        <v>41809</v>
      </c>
      <c r="D32" s="333">
        <v>0.75</v>
      </c>
      <c r="E32" s="189" t="s">
        <v>428</v>
      </c>
      <c r="F32" s="189" t="s">
        <v>29</v>
      </c>
      <c r="G32" s="189" t="s">
        <v>125</v>
      </c>
      <c r="H32" s="366">
        <v>3</v>
      </c>
      <c r="I32" s="366" t="s">
        <v>29</v>
      </c>
      <c r="J32" s="366">
        <v>0</v>
      </c>
      <c r="K32" s="212" t="str">
        <f t="shared" si="5"/>
        <v>1</v>
      </c>
      <c r="L32" s="210" t="str">
        <f>VLOOKUP($B32,Invulblad!$A$11:$S$103,13,0)</f>
        <v>1</v>
      </c>
      <c r="M32" s="211">
        <f>IF(L32&lt;&gt;"",VLOOKUP($B32,Invulblad!$A$11:$S$103,7,0),"")</f>
        <v>2</v>
      </c>
      <c r="N32" s="209" t="s">
        <v>29</v>
      </c>
      <c r="O32" s="211">
        <f>IF(L32&lt;&gt;"",VLOOKUP($B32,Invulblad!$A$11:$S$103,9,0),"")</f>
        <v>1</v>
      </c>
      <c r="P32" s="212">
        <f t="shared" si="8"/>
        <v>5</v>
      </c>
    </row>
    <row r="33" spans="1:16">
      <c r="A33" s="188">
        <v>20</v>
      </c>
      <c r="B33" s="195">
        <v>22</v>
      </c>
      <c r="C33" s="332">
        <v>41810</v>
      </c>
      <c r="D33" s="333">
        <v>0</v>
      </c>
      <c r="E33" s="189" t="s">
        <v>118</v>
      </c>
      <c r="F33" s="189" t="s">
        <v>29</v>
      </c>
      <c r="G33" s="189" t="s">
        <v>105</v>
      </c>
      <c r="H33" s="366">
        <v>1</v>
      </c>
      <c r="I33" s="366" t="s">
        <v>29</v>
      </c>
      <c r="J33" s="366">
        <v>1</v>
      </c>
      <c r="K33" s="212">
        <f t="shared" si="5"/>
        <v>3</v>
      </c>
      <c r="L33" s="210">
        <f>VLOOKUP($B33,Invulblad!$A$11:$S$103,13,0)</f>
        <v>3</v>
      </c>
      <c r="M33" s="211">
        <f>IF(L33&lt;&gt;"",VLOOKUP($B33,Invulblad!$A$11:$S$103,7,0),"")</f>
        <v>0</v>
      </c>
      <c r="N33" s="209" t="s">
        <v>29</v>
      </c>
      <c r="O33" s="211">
        <f>IF(L33&lt;&gt;"",VLOOKUP($B33,Invulblad!$A$11:$S$103,9,0),"")</f>
        <v>0</v>
      </c>
      <c r="P33" s="212">
        <f t="shared" si="8"/>
        <v>5</v>
      </c>
    </row>
    <row r="34" spans="1:16">
      <c r="A34" s="188">
        <v>21</v>
      </c>
      <c r="B34" s="195">
        <v>37</v>
      </c>
      <c r="C34" s="332">
        <v>41814</v>
      </c>
      <c r="D34" s="333">
        <v>0.91666666666666663</v>
      </c>
      <c r="E34" s="189" t="s">
        <v>118</v>
      </c>
      <c r="F34" s="189" t="s">
        <v>29</v>
      </c>
      <c r="G34" s="189" t="s">
        <v>429</v>
      </c>
      <c r="H34" s="366">
        <v>1</v>
      </c>
      <c r="I34" s="366" t="s">
        <v>29</v>
      </c>
      <c r="J34" s="366">
        <v>2</v>
      </c>
      <c r="K34" s="212">
        <f t="shared" si="5"/>
        <v>2</v>
      </c>
      <c r="L34" s="210">
        <f>VLOOKUP($B34,Invulblad!$A$11:$S$103,13,0)</f>
        <v>2</v>
      </c>
      <c r="M34" s="211">
        <f>IF(L34&lt;&gt;"",VLOOKUP($B34,Invulblad!$A$11:$S$103,7,0),"")</f>
        <v>1</v>
      </c>
      <c r="N34" s="209" t="s">
        <v>29</v>
      </c>
      <c r="O34" s="211">
        <f>IF(L34&lt;&gt;"",VLOOKUP($B34,Invulblad!$A$11:$S$103,9,0),"")</f>
        <v>4</v>
      </c>
      <c r="P34" s="212">
        <f t="shared" si="8"/>
        <v>5</v>
      </c>
    </row>
    <row r="35" spans="1:16">
      <c r="A35" s="188">
        <v>22</v>
      </c>
      <c r="B35" s="195">
        <v>38</v>
      </c>
      <c r="C35" s="332">
        <v>41814</v>
      </c>
      <c r="D35" s="333">
        <v>0.91666666666666663</v>
      </c>
      <c r="E35" s="189" t="s">
        <v>233</v>
      </c>
      <c r="F35" s="189" t="s">
        <v>29</v>
      </c>
      <c r="G35" s="189" t="s">
        <v>125</v>
      </c>
      <c r="H35" s="366">
        <v>1</v>
      </c>
      <c r="I35" s="366" t="s">
        <v>29</v>
      </c>
      <c r="J35" s="366">
        <v>0</v>
      </c>
      <c r="K35" s="212" t="str">
        <f t="shared" si="5"/>
        <v>1</v>
      </c>
      <c r="L35" s="210" t="str">
        <f>VLOOKUP($B35,Invulblad!$A$11:$S$103,13,0)</f>
        <v>1</v>
      </c>
      <c r="M35" s="211">
        <f>IF(L35&lt;&gt;"",VLOOKUP($B35,Invulblad!$A$11:$S$103,7,0),"")</f>
        <v>2</v>
      </c>
      <c r="N35" s="209" t="s">
        <v>29</v>
      </c>
      <c r="O35" s="211">
        <f>IF(L35&lt;&gt;"",VLOOKUP($B35,Invulblad!$A$11:$S$103,9,0),"")</f>
        <v>1</v>
      </c>
      <c r="P35" s="212">
        <f t="shared" si="8"/>
        <v>5</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2</v>
      </c>
      <c r="I38" s="366" t="s">
        <v>29</v>
      </c>
      <c r="J38" s="366">
        <v>0</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1</v>
      </c>
      <c r="K39" s="212">
        <f t="shared" si="5"/>
        <v>3</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1</v>
      </c>
      <c r="I40" s="366" t="s">
        <v>29</v>
      </c>
      <c r="J40" s="366">
        <v>1</v>
      </c>
      <c r="K40" s="212">
        <f t="shared" si="5"/>
        <v>3</v>
      </c>
      <c r="L40" s="210" t="str">
        <f>VLOOKUP($B40,Invulblad!$A$11:$S$103,13,0)</f>
        <v>1</v>
      </c>
      <c r="M40" s="211">
        <f>IF(L40&lt;&gt;"",VLOOKUP($B40,Invulblad!$A$11:$S$103,7,0),"")</f>
        <v>2</v>
      </c>
      <c r="N40" s="209" t="s">
        <v>29</v>
      </c>
      <c r="O40" s="211">
        <f>IF(L40&lt;&gt;"",VLOOKUP($B40,Invulblad!$A$11:$S$103,9,0),"")</f>
        <v>1</v>
      </c>
      <c r="P40" s="212">
        <f t="shared" si="9"/>
        <v>0</v>
      </c>
    </row>
    <row r="41" spans="1:16">
      <c r="A41" s="188">
        <v>28</v>
      </c>
      <c r="B41" s="195">
        <v>24</v>
      </c>
      <c r="C41" s="332">
        <v>41810</v>
      </c>
      <c r="D41" s="333">
        <v>0.75</v>
      </c>
      <c r="E41" s="189" t="s">
        <v>564</v>
      </c>
      <c r="F41" s="189" t="s">
        <v>29</v>
      </c>
      <c r="G41" s="189" t="s">
        <v>430</v>
      </c>
      <c r="H41" s="366">
        <v>2</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1</v>
      </c>
      <c r="I42" s="366" t="s">
        <v>29</v>
      </c>
      <c r="J42" s="366">
        <v>1</v>
      </c>
      <c r="K42" s="212">
        <f t="shared" si="5"/>
        <v>3</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1</v>
      </c>
      <c r="I43" s="366" t="s">
        <v>29</v>
      </c>
      <c r="J43" s="366">
        <v>1</v>
      </c>
      <c r="K43" s="212">
        <f t="shared" si="5"/>
        <v>3</v>
      </c>
      <c r="L43" s="210">
        <f>VLOOKUP($B43,Invulblad!$A$11:$S$103,13,0)</f>
        <v>3</v>
      </c>
      <c r="M43" s="211">
        <f>IF(L43&lt;&gt;"",VLOOKUP($B43,Invulblad!$A$11:$S$103,7,0),"")</f>
        <v>0</v>
      </c>
      <c r="N43" s="209" t="s">
        <v>29</v>
      </c>
      <c r="O43" s="211">
        <f>IF(L43&lt;&gt;"",VLOOKUP($B43,Invulblad!$A$11:$S$103,9,0),"")</f>
        <v>0</v>
      </c>
      <c r="P43" s="212">
        <f t="shared" si="9"/>
        <v>5</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0</v>
      </c>
      <c r="I46" s="366" t="s">
        <v>29</v>
      </c>
      <c r="J46" s="366">
        <v>1</v>
      </c>
      <c r="K46" s="212">
        <f t="shared" si="5"/>
        <v>2</v>
      </c>
      <c r="L46" s="210" t="str">
        <f>VLOOKUP($B46,Invulblad!$A$11:$S$103,13,0)</f>
        <v>1</v>
      </c>
      <c r="M46" s="211">
        <f>IF(L46&lt;&gt;"",VLOOKUP($B46,Invulblad!$A$11:$S$103,7,0),"")</f>
        <v>2</v>
      </c>
      <c r="N46" s="209" t="s">
        <v>29</v>
      </c>
      <c r="O46" s="211">
        <f>IF(L46&lt;&gt;"",VLOOKUP($B46,Invulblad!$A$11:$S$103,9,0),"")</f>
        <v>1</v>
      </c>
      <c r="P46" s="212">
        <f t="shared" ref="P46:P51" si="10">IF(L46&lt;&gt;"",IF(AND(M46=H46,O46=J46),10,IF(K46=L46,5,0)),"")</f>
        <v>0</v>
      </c>
    </row>
    <row r="47" spans="1:16">
      <c r="A47" s="188">
        <v>34</v>
      </c>
      <c r="B47" s="195">
        <v>10</v>
      </c>
      <c r="C47" s="332">
        <v>41805</v>
      </c>
      <c r="D47" s="333">
        <v>0.875</v>
      </c>
      <c r="E47" s="189" t="s">
        <v>100</v>
      </c>
      <c r="F47" s="189" t="s">
        <v>29</v>
      </c>
      <c r="G47" s="189" t="s">
        <v>132</v>
      </c>
      <c r="H47" s="366">
        <v>1</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1</v>
      </c>
      <c r="I48" s="366" t="s">
        <v>29</v>
      </c>
      <c r="J48" s="366">
        <v>1</v>
      </c>
      <c r="K48" s="212">
        <f t="shared" si="5"/>
        <v>3</v>
      </c>
      <c r="L48" s="210">
        <f>VLOOKUP($B48,Invulblad!$A$11:$S$103,13,0)</f>
        <v>2</v>
      </c>
      <c r="M48" s="211">
        <f>IF(L48&lt;&gt;"",VLOOKUP($B48,Invulblad!$A$11:$S$103,7,0),"")</f>
        <v>2</v>
      </c>
      <c r="N48" s="209" t="s">
        <v>29</v>
      </c>
      <c r="O48" s="211">
        <f>IF(L48&lt;&gt;"",VLOOKUP($B48,Invulblad!$A$11:$S$103,9,0),"")</f>
        <v>5</v>
      </c>
      <c r="P48" s="212">
        <f t="shared" si="10"/>
        <v>0</v>
      </c>
    </row>
    <row r="49" spans="1:16">
      <c r="A49" s="188">
        <v>36</v>
      </c>
      <c r="B49" s="195">
        <v>26</v>
      </c>
      <c r="C49" s="332">
        <v>41811</v>
      </c>
      <c r="D49" s="333">
        <v>0</v>
      </c>
      <c r="E49" s="189" t="s">
        <v>127</v>
      </c>
      <c r="F49" s="189" t="s">
        <v>29</v>
      </c>
      <c r="G49" s="189" t="s">
        <v>434</v>
      </c>
      <c r="H49" s="366">
        <v>1</v>
      </c>
      <c r="I49" s="366" t="s">
        <v>29</v>
      </c>
      <c r="J49" s="366">
        <v>2</v>
      </c>
      <c r="K49" s="212">
        <f t="shared" si="5"/>
        <v>2</v>
      </c>
      <c r="L49" s="210">
        <f>VLOOKUP($B49,Invulblad!$A$11:$S$103,13,0)</f>
        <v>2</v>
      </c>
      <c r="M49" s="211">
        <f>IF(L49&lt;&gt;"",VLOOKUP($B49,Invulblad!$A$11:$S$103,7,0),"")</f>
        <v>1</v>
      </c>
      <c r="N49" s="209" t="s">
        <v>29</v>
      </c>
      <c r="O49" s="211">
        <f>IF(L49&lt;&gt;"",VLOOKUP($B49,Invulblad!$A$11:$S$103,9,0),"")</f>
        <v>2</v>
      </c>
      <c r="P49" s="212">
        <f t="shared" si="10"/>
        <v>10</v>
      </c>
    </row>
    <row r="50" spans="1:16">
      <c r="A50" s="188">
        <v>37</v>
      </c>
      <c r="B50" s="195">
        <v>41</v>
      </c>
      <c r="C50" s="332">
        <v>41815</v>
      </c>
      <c r="D50" s="333">
        <v>0.91666666666666663</v>
      </c>
      <c r="E50" s="189" t="s">
        <v>127</v>
      </c>
      <c r="F50" s="189" t="s">
        <v>29</v>
      </c>
      <c r="G50" s="189" t="s">
        <v>130</v>
      </c>
      <c r="H50" s="366">
        <v>1</v>
      </c>
      <c r="I50" s="366" t="s">
        <v>29</v>
      </c>
      <c r="J50" s="366">
        <v>2</v>
      </c>
      <c r="K50" s="212">
        <f t="shared" ref="K50:K85" si="11">IF(AND(H50="",J50=""),"",IF(OR(H50="",J50=""),"FOUT",IF(H50&gt;J50,"1",IF(H50=J50,3,2))))</f>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1</v>
      </c>
      <c r="I51" s="366" t="s">
        <v>29</v>
      </c>
      <c r="J51" s="366">
        <v>2</v>
      </c>
      <c r="K51" s="212">
        <f t="shared" si="11"/>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367"/>
      <c r="I52" s="367"/>
      <c r="J52" s="367"/>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2</v>
      </c>
      <c r="I54" s="366" t="s">
        <v>29</v>
      </c>
      <c r="J54" s="366">
        <v>0</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2">
        <v>41806</v>
      </c>
      <c r="D55" s="333">
        <v>0.875</v>
      </c>
      <c r="E55" s="189" t="s">
        <v>438</v>
      </c>
      <c r="F55" s="189" t="s">
        <v>29</v>
      </c>
      <c r="G55" s="189" t="s">
        <v>103</v>
      </c>
      <c r="H55" s="366">
        <v>1</v>
      </c>
      <c r="I55" s="366" t="s">
        <v>29</v>
      </c>
      <c r="J55" s="366">
        <v>1</v>
      </c>
      <c r="K55" s="212">
        <f t="shared" si="11"/>
        <v>3</v>
      </c>
      <c r="L55" s="210">
        <f>VLOOKUP($B55,Invulblad!$A$11:$S$103,13,0)</f>
        <v>3</v>
      </c>
      <c r="M55" s="211">
        <f>IF(L55&lt;&gt;"",VLOOKUP($B55,Invulblad!$A$11:$S$103,7,0),"")</f>
        <v>0</v>
      </c>
      <c r="N55" s="209" t="s">
        <v>29</v>
      </c>
      <c r="O55" s="211">
        <f>IF(L55&lt;&gt;"",VLOOKUP($B55,Invulblad!$A$11:$S$103,9,0),"")</f>
        <v>0</v>
      </c>
      <c r="P55" s="212">
        <f t="shared" si="12"/>
        <v>5</v>
      </c>
    </row>
    <row r="56" spans="1:16">
      <c r="A56" s="188">
        <v>43</v>
      </c>
      <c r="B56" s="195">
        <v>27</v>
      </c>
      <c r="C56" s="332">
        <v>41811</v>
      </c>
      <c r="D56" s="333">
        <v>0.75</v>
      </c>
      <c r="E56" s="189" t="s">
        <v>565</v>
      </c>
      <c r="F56" s="189" t="s">
        <v>29</v>
      </c>
      <c r="G56" s="189" t="s">
        <v>439</v>
      </c>
      <c r="H56" s="366">
        <v>3</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1</v>
      </c>
      <c r="I57" s="366" t="s">
        <v>29</v>
      </c>
      <c r="J57" s="366">
        <v>1</v>
      </c>
      <c r="K57" s="212">
        <f t="shared" si="11"/>
        <v>3</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0</v>
      </c>
      <c r="I58" s="366" t="s">
        <v>29</v>
      </c>
      <c r="J58" s="366">
        <v>0</v>
      </c>
      <c r="K58" s="212">
        <f t="shared" si="11"/>
        <v>3</v>
      </c>
      <c r="L58" s="210">
        <f>VLOOKUP($B58,Invulblad!$A$11:$S$103,13,0)</f>
        <v>2</v>
      </c>
      <c r="M58" s="211">
        <f>IF(L58&lt;&gt;"",VLOOKUP($B58,Invulblad!$A$11:$S$103,7,0),"")</f>
        <v>2</v>
      </c>
      <c r="N58" s="209" t="s">
        <v>29</v>
      </c>
      <c r="O58" s="211">
        <f>IF(L58&lt;&gt;"",VLOOKUP($B58,Invulblad!$A$11:$S$103,9,0),"")</f>
        <v>3</v>
      </c>
      <c r="P58" s="212">
        <f t="shared" si="12"/>
        <v>0</v>
      </c>
    </row>
    <row r="59" spans="1:16">
      <c r="A59" s="188">
        <v>46</v>
      </c>
      <c r="B59" s="195">
        <v>44</v>
      </c>
      <c r="C59" s="332">
        <v>41815</v>
      </c>
      <c r="D59" s="333">
        <v>0.75</v>
      </c>
      <c r="E59" s="189" t="s">
        <v>568</v>
      </c>
      <c r="F59" s="189" t="s">
        <v>29</v>
      </c>
      <c r="G59" s="189" t="s">
        <v>439</v>
      </c>
      <c r="H59" s="366">
        <v>1</v>
      </c>
      <c r="I59" s="366" t="s">
        <v>29</v>
      </c>
      <c r="J59" s="366">
        <v>0</v>
      </c>
      <c r="K59" s="212" t="str">
        <f t="shared" si="11"/>
        <v>1</v>
      </c>
      <c r="L59" s="210" t="str">
        <f>VLOOKUP($B59,Invulblad!$A$11:$S$103,13,0)</f>
        <v>1</v>
      </c>
      <c r="M59" s="211">
        <f>IF(L59&lt;&gt;"",VLOOKUP($B59,Invulblad!$A$11:$S$103,7,0),"")</f>
        <v>3</v>
      </c>
      <c r="N59" s="209" t="s">
        <v>29</v>
      </c>
      <c r="O59" s="211">
        <f>IF(L59&lt;&gt;"",VLOOKUP($B59,Invulblad!$A$11:$S$103,9,0),"")</f>
        <v>1</v>
      </c>
      <c r="P59" s="212">
        <f t="shared" si="12"/>
        <v>5</v>
      </c>
    </row>
    <row r="60" spans="1:16">
      <c r="A60" s="188">
        <v>47</v>
      </c>
      <c r="B60" s="201" t="s">
        <v>36</v>
      </c>
      <c r="H60" s="367"/>
      <c r="I60" s="367"/>
      <c r="J60" s="367"/>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1</v>
      </c>
      <c r="I62" s="366" t="s">
        <v>29</v>
      </c>
      <c r="J62" s="366">
        <v>2</v>
      </c>
      <c r="K62" s="212">
        <f t="shared" si="11"/>
        <v>2</v>
      </c>
      <c r="L62" s="210" t="str">
        <f>VLOOKUP($B62,Invulblad!$A$11:$S$103,13,0)</f>
        <v>1</v>
      </c>
      <c r="M62" s="211">
        <f>IF(L62&lt;&gt;"",VLOOKUP($B62,Invulblad!$A$11:$S$103,7,0),"")</f>
        <v>4</v>
      </c>
      <c r="N62" s="209" t="s">
        <v>29</v>
      </c>
      <c r="O62" s="211">
        <f>IF(L62&lt;&gt;"",VLOOKUP($B62,Invulblad!$A$11:$S$103,9,0),"")</f>
        <v>0</v>
      </c>
      <c r="P62" s="212">
        <f t="shared" ref="P62:P67" si="13">IF(L62&lt;&gt;"",IF(AND(M62=H62,O62=J62),10,IF(K62=L62,5,0)),"")</f>
        <v>0</v>
      </c>
    </row>
    <row r="63" spans="1:16">
      <c r="A63" s="188">
        <v>50</v>
      </c>
      <c r="B63" s="195">
        <v>14</v>
      </c>
      <c r="C63" s="332">
        <v>41807</v>
      </c>
      <c r="D63" s="333">
        <v>0</v>
      </c>
      <c r="E63" s="189" t="s">
        <v>115</v>
      </c>
      <c r="F63" s="189" t="s">
        <v>29</v>
      </c>
      <c r="G63" s="189" t="s">
        <v>577</v>
      </c>
      <c r="H63" s="366">
        <v>1</v>
      </c>
      <c r="I63" s="366" t="s">
        <v>29</v>
      </c>
      <c r="J63" s="366">
        <v>1</v>
      </c>
      <c r="K63" s="212">
        <f t="shared" si="11"/>
        <v>3</v>
      </c>
      <c r="L63" s="210">
        <f>VLOOKUP($B63,Invulblad!$A$11:$S$103,13,0)</f>
        <v>2</v>
      </c>
      <c r="M63" s="211">
        <f>IF(L63&lt;&gt;"",VLOOKUP($B63,Invulblad!$A$11:$S$103,7,0),"")</f>
        <v>1</v>
      </c>
      <c r="N63" s="209" t="s">
        <v>29</v>
      </c>
      <c r="O63" s="211">
        <f>IF(L63&lt;&gt;"",VLOOKUP($B63,Invulblad!$A$11:$S$103,9,0),"")</f>
        <v>2</v>
      </c>
      <c r="P63" s="212">
        <f t="shared" si="13"/>
        <v>0</v>
      </c>
    </row>
    <row r="64" spans="1:16">
      <c r="A64" s="188">
        <v>51</v>
      </c>
      <c r="B64" s="195">
        <v>29</v>
      </c>
      <c r="C64" s="332">
        <v>41811</v>
      </c>
      <c r="D64" s="333">
        <v>0.875</v>
      </c>
      <c r="E64" s="189" t="s">
        <v>113</v>
      </c>
      <c r="F64" s="189" t="s">
        <v>29</v>
      </c>
      <c r="G64" s="189" t="s">
        <v>114</v>
      </c>
      <c r="H64" s="366">
        <v>2</v>
      </c>
      <c r="I64" s="366" t="s">
        <v>29</v>
      </c>
      <c r="J64" s="366">
        <v>0</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0</v>
      </c>
      <c r="I65" s="366" t="s">
        <v>29</v>
      </c>
      <c r="J65" s="366">
        <v>3</v>
      </c>
      <c r="K65" s="212">
        <f t="shared" si="11"/>
        <v>2</v>
      </c>
      <c r="L65" s="210">
        <f>VLOOKUP($B65,Invulblad!$A$11:$S$103,13,0)</f>
        <v>3</v>
      </c>
      <c r="M65" s="211">
        <f>IF(L65&lt;&gt;"",VLOOKUP($B65,Invulblad!$A$11:$S$103,7,0),"")</f>
        <v>2</v>
      </c>
      <c r="N65" s="209" t="s">
        <v>29</v>
      </c>
      <c r="O65" s="211">
        <f>IF(L65&lt;&gt;"",VLOOKUP($B65,Invulblad!$A$11:$S$103,9,0),"")</f>
        <v>2</v>
      </c>
      <c r="P65" s="212">
        <f t="shared" si="13"/>
        <v>0</v>
      </c>
    </row>
    <row r="66" spans="1:16">
      <c r="A66" s="188">
        <v>53</v>
      </c>
      <c r="B66" s="195">
        <v>45</v>
      </c>
      <c r="C66" s="332">
        <v>41816</v>
      </c>
      <c r="D66" s="333">
        <v>0.75</v>
      </c>
      <c r="E66" s="189" t="s">
        <v>578</v>
      </c>
      <c r="F66" s="189" t="s">
        <v>29</v>
      </c>
      <c r="G66" s="189" t="s">
        <v>116</v>
      </c>
      <c r="H66" s="366">
        <v>1</v>
      </c>
      <c r="I66" s="366" t="s">
        <v>29</v>
      </c>
      <c r="J66" s="366">
        <v>2</v>
      </c>
      <c r="K66" s="212">
        <f t="shared" si="11"/>
        <v>2</v>
      </c>
      <c r="L66" s="210">
        <f>VLOOKUP($B66,Invulblad!$A$11:$S$103,13,0)</f>
        <v>2</v>
      </c>
      <c r="M66" s="211">
        <f>IF(L66&lt;&gt;"",VLOOKUP($B66,Invulblad!$A$11:$S$103,7,0),"")</f>
        <v>0</v>
      </c>
      <c r="N66" s="209" t="s">
        <v>29</v>
      </c>
      <c r="O66" s="211">
        <f>IF(L66&lt;&gt;"",VLOOKUP($B66,Invulblad!$A$11:$S$103,9,0),"")</f>
        <v>1</v>
      </c>
      <c r="P66" s="212">
        <f t="shared" si="13"/>
        <v>5</v>
      </c>
    </row>
    <row r="67" spans="1:16">
      <c r="A67" s="188">
        <v>54</v>
      </c>
      <c r="B67" s="195">
        <v>46</v>
      </c>
      <c r="C67" s="332">
        <v>41816</v>
      </c>
      <c r="D67" s="333">
        <v>0.75</v>
      </c>
      <c r="E67" s="189" t="s">
        <v>126</v>
      </c>
      <c r="F67" s="189" t="s">
        <v>29</v>
      </c>
      <c r="G67" s="189" t="s">
        <v>114</v>
      </c>
      <c r="H67" s="366">
        <v>2</v>
      </c>
      <c r="I67" s="366" t="s">
        <v>29</v>
      </c>
      <c r="J67" s="366">
        <v>0</v>
      </c>
      <c r="K67" s="212" t="str">
        <f t="shared" si="11"/>
        <v>1</v>
      </c>
      <c r="L67" s="210" t="str">
        <f>VLOOKUP($B67,Invulblad!$A$11:$S$103,13,0)</f>
        <v>1</v>
      </c>
      <c r="M67" s="211">
        <f>IF(L67&lt;&gt;"",VLOOKUP($B67,Invulblad!$A$11:$S$103,7,0),"")</f>
        <v>2</v>
      </c>
      <c r="N67" s="209" t="s">
        <v>29</v>
      </c>
      <c r="O67" s="211">
        <f>IF(L67&lt;&gt;"",VLOOKUP($B67,Invulblad!$A$11:$S$103,9,0),"")</f>
        <v>1</v>
      </c>
      <c r="P67" s="212">
        <f t="shared" si="13"/>
        <v>5</v>
      </c>
    </row>
    <row r="68" spans="1:16">
      <c r="A68" s="188">
        <v>55</v>
      </c>
      <c r="B68" s="201" t="s">
        <v>37</v>
      </c>
      <c r="H68" s="367"/>
      <c r="I68" s="367"/>
      <c r="J68" s="367"/>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1</v>
      </c>
      <c r="I70" s="366" t="s">
        <v>29</v>
      </c>
      <c r="J70" s="366">
        <v>0</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c r="A71" s="188">
        <v>58</v>
      </c>
      <c r="B71" s="195">
        <v>16</v>
      </c>
      <c r="C71" s="332">
        <v>41808</v>
      </c>
      <c r="D71" s="333">
        <v>0</v>
      </c>
      <c r="E71" s="189" t="s">
        <v>445</v>
      </c>
      <c r="F71" s="189" t="s">
        <v>29</v>
      </c>
      <c r="G71" s="189" t="s">
        <v>107</v>
      </c>
      <c r="H71" s="366">
        <v>0</v>
      </c>
      <c r="I71" s="366" t="s">
        <v>29</v>
      </c>
      <c r="J71" s="366">
        <v>0</v>
      </c>
      <c r="K71" s="212">
        <f t="shared" si="11"/>
        <v>3</v>
      </c>
      <c r="L71" s="210">
        <f>VLOOKUP($B71,Invulblad!$A$11:$S$103,13,0)</f>
        <v>3</v>
      </c>
      <c r="M71" s="211">
        <f>IF(L71&lt;&gt;"",VLOOKUP($B71,Invulblad!$A$11:$S$103,7,0),"")</f>
        <v>1</v>
      </c>
      <c r="N71" s="209" t="s">
        <v>29</v>
      </c>
      <c r="O71" s="211">
        <f>IF(L71&lt;&gt;"",VLOOKUP($B71,Invulblad!$A$11:$S$103,9,0),"")</f>
        <v>1</v>
      </c>
      <c r="P71" s="212">
        <f t="shared" si="14"/>
        <v>5</v>
      </c>
    </row>
    <row r="72" spans="1:16">
      <c r="A72" s="188">
        <v>59</v>
      </c>
      <c r="B72" s="195">
        <v>31</v>
      </c>
      <c r="C72" s="332">
        <v>41812</v>
      </c>
      <c r="D72" s="333">
        <v>0.75</v>
      </c>
      <c r="E72" s="189" t="s">
        <v>569</v>
      </c>
      <c r="F72" s="189" t="s">
        <v>29</v>
      </c>
      <c r="G72" s="189" t="s">
        <v>446</v>
      </c>
      <c r="H72" s="366">
        <v>1</v>
      </c>
      <c r="I72" s="366" t="s">
        <v>29</v>
      </c>
      <c r="J72" s="366">
        <v>0</v>
      </c>
      <c r="K72" s="212" t="str">
        <f t="shared" si="11"/>
        <v>1</v>
      </c>
      <c r="L72" s="210" t="str">
        <f>VLOOKUP($B72,Invulblad!$A$11:$S$103,13,0)</f>
        <v>1</v>
      </c>
      <c r="M72" s="211">
        <f>IF(L72&lt;&gt;"",VLOOKUP($B72,Invulblad!$A$11:$S$103,7,0),"")</f>
        <v>1</v>
      </c>
      <c r="N72" s="209" t="s">
        <v>29</v>
      </c>
      <c r="O72" s="211">
        <f>IF(L72&lt;&gt;"",VLOOKUP($B72,Invulblad!$A$11:$S$103,9,0),"")</f>
        <v>0</v>
      </c>
      <c r="P72" s="212">
        <f t="shared" si="14"/>
        <v>10</v>
      </c>
    </row>
    <row r="73" spans="1:16">
      <c r="A73" s="188">
        <v>60</v>
      </c>
      <c r="B73" s="195">
        <v>32</v>
      </c>
      <c r="C73" s="332">
        <v>41812</v>
      </c>
      <c r="D73" s="333">
        <v>0.875</v>
      </c>
      <c r="E73" s="189" t="s">
        <v>232</v>
      </c>
      <c r="F73" s="189" t="s">
        <v>29</v>
      </c>
      <c r="G73" s="189" t="s">
        <v>111</v>
      </c>
      <c r="H73" s="366">
        <v>1</v>
      </c>
      <c r="I73" s="366" t="s">
        <v>29</v>
      </c>
      <c r="J73" s="366">
        <v>1</v>
      </c>
      <c r="K73" s="212">
        <f t="shared" si="11"/>
        <v>3</v>
      </c>
      <c r="L73" s="210">
        <f>VLOOKUP($B73,Invulblad!$A$11:$S$103,13,0)</f>
        <v>2</v>
      </c>
      <c r="M73" s="211">
        <f>IF(L73&lt;&gt;"",VLOOKUP($B73,Invulblad!$A$11:$S$103,7,0),"")</f>
        <v>2</v>
      </c>
      <c r="N73" s="209" t="s">
        <v>29</v>
      </c>
      <c r="O73" s="211">
        <f>IF(L73&lt;&gt;"",VLOOKUP($B73,Invulblad!$A$11:$S$103,9,0),"")</f>
        <v>4</v>
      </c>
      <c r="P73" s="212">
        <f t="shared" si="14"/>
        <v>0</v>
      </c>
    </row>
    <row r="74" spans="1:16">
      <c r="A74" s="188">
        <v>61</v>
      </c>
      <c r="B74" s="195">
        <v>47</v>
      </c>
      <c r="C74" s="332">
        <v>41816</v>
      </c>
      <c r="D74" s="333">
        <v>0.91666666666666663</v>
      </c>
      <c r="E74" s="189" t="s">
        <v>232</v>
      </c>
      <c r="F74" s="189" t="s">
        <v>29</v>
      </c>
      <c r="G74" s="189" t="s">
        <v>570</v>
      </c>
      <c r="H74" s="366">
        <v>1</v>
      </c>
      <c r="I74" s="366" t="s">
        <v>29</v>
      </c>
      <c r="J74" s="366">
        <v>2</v>
      </c>
      <c r="K74" s="212">
        <f t="shared" si="11"/>
        <v>2</v>
      </c>
      <c r="L74" s="210">
        <f>VLOOKUP($B74,Invulblad!$A$11:$S$103,13,0)</f>
        <v>2</v>
      </c>
      <c r="M74" s="211">
        <f>IF(L74&lt;&gt;"",VLOOKUP($B74,Invulblad!$A$11:$S$103,7,0),"")</f>
        <v>0</v>
      </c>
      <c r="N74" s="209" t="s">
        <v>29</v>
      </c>
      <c r="O74" s="211">
        <f>IF(L74&lt;&gt;"",VLOOKUP($B74,Invulblad!$A$11:$S$103,9,0),"")</f>
        <v>1</v>
      </c>
      <c r="P74" s="212">
        <f t="shared" si="14"/>
        <v>5</v>
      </c>
    </row>
    <row r="75" spans="1:16">
      <c r="A75" s="188">
        <v>62</v>
      </c>
      <c r="B75" s="195">
        <v>48</v>
      </c>
      <c r="C75" s="332">
        <v>41816</v>
      </c>
      <c r="D75" s="333">
        <v>0.91666666666666663</v>
      </c>
      <c r="E75" s="189" t="s">
        <v>236</v>
      </c>
      <c r="F75" s="189" t="s">
        <v>29</v>
      </c>
      <c r="G75" s="189" t="s">
        <v>446</v>
      </c>
      <c r="H75" s="366">
        <v>0</v>
      </c>
      <c r="I75" s="366" t="s">
        <v>29</v>
      </c>
      <c r="J75" s="366">
        <v>2</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367"/>
      <c r="I76" s="367"/>
      <c r="J76" s="367"/>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135</v>
      </c>
      <c r="H78" s="366">
        <v>2</v>
      </c>
      <c r="I78" s="366" t="s">
        <v>29</v>
      </c>
      <c r="J78" s="366">
        <v>2</v>
      </c>
      <c r="K78" s="212">
        <f t="shared" si="11"/>
        <v>3</v>
      </c>
      <c r="L78" s="210">
        <f>VLOOKUP($B78,Invulblad!$A$11:$S$103,13,0)</f>
        <v>3</v>
      </c>
      <c r="M78" s="211">
        <f>IF(L78&lt;&gt;"",VLOOKUP($B78,Invulblad!$A$11:$S$103,7,0),"")</f>
        <v>1</v>
      </c>
      <c r="N78" s="209" t="s">
        <v>29</v>
      </c>
      <c r="O78" s="211">
        <f>IF(L78&lt;&gt;"",VLOOKUP($B78,Invulblad!$A$11:$S$103,9,0),"")</f>
        <v>1</v>
      </c>
      <c r="P78" s="212">
        <f t="shared" ref="P78:P85" si="15">IF(L78&lt;&gt;"",IF(AND(M78=H78,O78=J78),10,IF(K78=L78,5,0)),"")</f>
        <v>5</v>
      </c>
    </row>
    <row r="79" spans="1:16">
      <c r="A79" s="188">
        <v>66</v>
      </c>
      <c r="B79" s="195">
        <v>50</v>
      </c>
      <c r="C79" s="332">
        <v>41818</v>
      </c>
      <c r="D79" s="333">
        <v>0.91666666666666663</v>
      </c>
      <c r="E79" s="189" t="s">
        <v>390</v>
      </c>
      <c r="F79" s="189" t="s">
        <v>29</v>
      </c>
      <c r="G79" s="189" t="s">
        <v>97</v>
      </c>
      <c r="H79" s="366">
        <v>0</v>
      </c>
      <c r="I79" s="366" t="s">
        <v>29</v>
      </c>
      <c r="J79" s="366">
        <v>1</v>
      </c>
      <c r="K79" s="212">
        <f t="shared" si="11"/>
        <v>2</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138</v>
      </c>
      <c r="F80" s="189" t="s">
        <v>29</v>
      </c>
      <c r="G80" s="189" t="s">
        <v>152</v>
      </c>
      <c r="H80" s="366">
        <v>2</v>
      </c>
      <c r="I80" s="366" t="s">
        <v>29</v>
      </c>
      <c r="J80" s="366">
        <v>0</v>
      </c>
      <c r="K80" s="212" t="str">
        <f t="shared" si="11"/>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193</v>
      </c>
      <c r="F81" s="189" t="s">
        <v>29</v>
      </c>
      <c r="G81" s="189" t="s">
        <v>187</v>
      </c>
      <c r="H81" s="366">
        <v>1</v>
      </c>
      <c r="I81" s="366" t="s">
        <v>29</v>
      </c>
      <c r="J81" s="366">
        <v>0</v>
      </c>
      <c r="K81" s="212" t="str">
        <f t="shared" si="11"/>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143</v>
      </c>
      <c r="F82" s="189" t="s">
        <v>29</v>
      </c>
      <c r="G82" s="189" t="s">
        <v>572</v>
      </c>
      <c r="H82" s="366">
        <v>2</v>
      </c>
      <c r="I82" s="366" t="s">
        <v>29</v>
      </c>
      <c r="J82" s="366">
        <v>0</v>
      </c>
      <c r="K82" s="212" t="str">
        <f t="shared" si="11"/>
        <v>1</v>
      </c>
      <c r="L82" s="210" t="str">
        <f>VLOOKUP($B82,Invulblad!$A$11:$S$103,13,0)</f>
        <v>1</v>
      </c>
      <c r="M82" s="211">
        <f>IF(L82&lt;&gt;"",VLOOKUP($B82,Invulblad!$A$11:$S$103,7,0),"")</f>
        <v>2</v>
      </c>
      <c r="N82" s="209" t="s">
        <v>29</v>
      </c>
      <c r="O82" s="211">
        <f>IF(L82&lt;&gt;"",VLOOKUP($B82,Invulblad!$A$11:$S$103,9,0),"")</f>
        <v>0</v>
      </c>
      <c r="P82" s="212">
        <f t="shared" si="15"/>
        <v>10</v>
      </c>
    </row>
    <row r="83" spans="1:16">
      <c r="A83" s="188">
        <v>70</v>
      </c>
      <c r="B83" s="195">
        <v>54</v>
      </c>
      <c r="C83" s="332">
        <v>41820</v>
      </c>
      <c r="D83" s="333">
        <v>0.91666666666666663</v>
      </c>
      <c r="E83" s="189" t="s">
        <v>202</v>
      </c>
      <c r="F83" s="189" t="s">
        <v>29</v>
      </c>
      <c r="G83" s="189" t="s">
        <v>396</v>
      </c>
      <c r="H83" s="366">
        <v>2</v>
      </c>
      <c r="I83" s="366" t="s">
        <v>29</v>
      </c>
      <c r="J83" s="366">
        <v>0</v>
      </c>
      <c r="K83" s="212" t="str">
        <f t="shared" si="11"/>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392</v>
      </c>
      <c r="H84" s="366">
        <v>2</v>
      </c>
      <c r="I84" s="366" t="s">
        <v>29</v>
      </c>
      <c r="J84" s="366">
        <v>0</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395</v>
      </c>
      <c r="F85" s="189" t="s">
        <v>29</v>
      </c>
      <c r="G85" s="189" t="s">
        <v>177</v>
      </c>
      <c r="H85" s="366">
        <v>1</v>
      </c>
      <c r="I85" s="366" t="s">
        <v>29</v>
      </c>
      <c r="J85" s="366">
        <v>1</v>
      </c>
      <c r="K85" s="212">
        <f t="shared" si="11"/>
        <v>3</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97</v>
      </c>
      <c r="H88" s="366">
        <v>2</v>
      </c>
      <c r="I88" s="366" t="s">
        <v>29</v>
      </c>
      <c r="J88" s="366">
        <v>0</v>
      </c>
      <c r="K88" s="212" t="str">
        <f t="shared" si="16"/>
        <v>1</v>
      </c>
      <c r="L88" s="210" t="str">
        <f>VLOOKUP($B88,Invulblad!$A$11:$S$103,13,0)</f>
        <v>1</v>
      </c>
      <c r="M88" s="211">
        <f>IF(L88&lt;&gt;"",VLOOKUP($B88,Invulblad!$A$11:$S$103,7,0),"")</f>
        <v>2</v>
      </c>
      <c r="N88" s="209" t="s">
        <v>29</v>
      </c>
      <c r="O88" s="211">
        <f>IF(L88&lt;&gt;"",VLOOKUP($B88,Invulblad!$A$11:$S$103,9,0),"")</f>
        <v>1</v>
      </c>
      <c r="P88" s="212">
        <f>IF(L88&lt;&gt;"",IF(AND(M88=H88,O88=J88),10,IF(K88=L88,5,0)),"")</f>
        <v>5</v>
      </c>
    </row>
    <row r="89" spans="1:16">
      <c r="A89" s="188">
        <v>76</v>
      </c>
      <c r="B89" s="195">
        <v>58</v>
      </c>
      <c r="C89" s="332">
        <v>41824</v>
      </c>
      <c r="D89" s="333">
        <v>0.75</v>
      </c>
      <c r="E89" s="189" t="s">
        <v>143</v>
      </c>
      <c r="F89" s="189" t="s">
        <v>29</v>
      </c>
      <c r="G89" s="189" t="s">
        <v>202</v>
      </c>
      <c r="H89" s="366">
        <v>1</v>
      </c>
      <c r="I89" s="366" t="s">
        <v>29</v>
      </c>
      <c r="J89" s="366">
        <v>2</v>
      </c>
      <c r="K89" s="212">
        <f t="shared" si="16"/>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138</v>
      </c>
      <c r="F90" s="189" t="s">
        <v>29</v>
      </c>
      <c r="G90" s="189" t="s">
        <v>193</v>
      </c>
      <c r="H90" s="366">
        <v>2</v>
      </c>
      <c r="I90" s="366" t="s">
        <v>29</v>
      </c>
      <c r="J90" s="366">
        <v>0</v>
      </c>
      <c r="K90" s="212" t="str">
        <f t="shared" si="16"/>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395</v>
      </c>
      <c r="H91" s="366">
        <v>4</v>
      </c>
      <c r="I91" s="366" t="s">
        <v>29</v>
      </c>
      <c r="J91" s="366">
        <v>0</v>
      </c>
      <c r="K91" s="212" t="str">
        <f t="shared" si="16"/>
        <v>1</v>
      </c>
      <c r="L91" s="210"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H92" s="367"/>
      <c r="I92" s="367"/>
      <c r="J92" s="367"/>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202</v>
      </c>
      <c r="H94" s="366">
        <v>2</v>
      </c>
      <c r="I94" s="366" t="s">
        <v>29</v>
      </c>
      <c r="J94" s="366">
        <v>1</v>
      </c>
      <c r="K94" s="212" t="str">
        <f t="shared" si="16"/>
        <v>1</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138</v>
      </c>
      <c r="F95" s="189" t="s">
        <v>29</v>
      </c>
      <c r="G95" s="189" t="s">
        <v>102</v>
      </c>
      <c r="H95" s="366">
        <v>0</v>
      </c>
      <c r="I95" s="366" t="s">
        <v>29</v>
      </c>
      <c r="J95" s="366">
        <v>2</v>
      </c>
      <c r="K95" s="212">
        <f t="shared" si="16"/>
        <v>2</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367"/>
      <c r="I96" s="367"/>
      <c r="J96" s="367"/>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202</v>
      </c>
      <c r="F98" s="189" t="s">
        <v>29</v>
      </c>
      <c r="G98" s="189" t="s">
        <v>138</v>
      </c>
      <c r="H98" s="366">
        <v>1</v>
      </c>
      <c r="I98" s="366" t="s">
        <v>29</v>
      </c>
      <c r="J98" s="366">
        <v>0</v>
      </c>
      <c r="K98" s="212" t="str">
        <f t="shared" si="16"/>
        <v>1</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367"/>
      <c r="I99" s="367"/>
      <c r="J99" s="367"/>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199</v>
      </c>
      <c r="F101" s="189" t="s">
        <v>29</v>
      </c>
      <c r="G101" s="189" t="s">
        <v>102</v>
      </c>
      <c r="H101" s="366">
        <v>1</v>
      </c>
      <c r="I101" s="366" t="s">
        <v>29</v>
      </c>
      <c r="J101" s="366">
        <v>0</v>
      </c>
      <c r="K101" s="212" t="str">
        <f t="shared" si="16"/>
        <v>1</v>
      </c>
      <c r="L101" s="210" t="str">
        <f>VLOOKUP($B101,Invulblad!$A$11:$S$103,13,0)</f>
        <v>1</v>
      </c>
      <c r="M101" s="211">
        <f>IF(L101&lt;&gt;"",VLOOKUP($B101,Invulblad!$A$11:$S$103,7,0),"")</f>
        <v>1</v>
      </c>
      <c r="N101" s="209" t="s">
        <v>29</v>
      </c>
      <c r="O101" s="211">
        <f>IF(L101&lt;&gt;"",VLOOKUP($B101,Invulblad!$A$11:$S$103,9,0),"")</f>
        <v>0</v>
      </c>
      <c r="P101" s="212">
        <f>IF(L101&lt;&gt;"",IF(AND(M101=H101,O101=J101),10,IF(K101=L101,5,0)),"")</f>
        <v>10</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152</v>
      </c>
    </row>
    <row r="112" spans="1:16">
      <c r="B112" s="201" t="s">
        <v>144</v>
      </c>
    </row>
    <row r="114" spans="2:15">
      <c r="B114" s="215" t="s">
        <v>145</v>
      </c>
      <c r="C114" s="215" t="s">
        <v>146</v>
      </c>
      <c r="D114" s="215" t="s">
        <v>147</v>
      </c>
      <c r="E114" s="215" t="s">
        <v>148</v>
      </c>
    </row>
    <row r="115" spans="2:15">
      <c r="B115" s="216" t="s">
        <v>199</v>
      </c>
      <c r="C115" s="216" t="s">
        <v>172</v>
      </c>
      <c r="D115" s="216" t="s">
        <v>151</v>
      </c>
      <c r="E115" s="216" t="s">
        <v>155</v>
      </c>
    </row>
    <row r="116" spans="2:15">
      <c r="B116" s="217" t="s">
        <v>389</v>
      </c>
      <c r="C116" s="217" t="s">
        <v>151</v>
      </c>
      <c r="D116" s="217" t="s">
        <v>165</v>
      </c>
      <c r="E116" s="217" t="s">
        <v>153</v>
      </c>
    </row>
    <row r="117" spans="2:15">
      <c r="B117" s="216" t="s">
        <v>152</v>
      </c>
      <c r="C117" s="216" t="s">
        <v>164</v>
      </c>
      <c r="D117" s="216" t="s">
        <v>156</v>
      </c>
      <c r="E117" s="216" t="s">
        <v>149</v>
      </c>
    </row>
    <row r="118" spans="2:15">
      <c r="B118" s="217" t="s">
        <v>185</v>
      </c>
      <c r="C118" s="217" t="s">
        <v>156</v>
      </c>
      <c r="D118" s="217" t="s">
        <v>165</v>
      </c>
      <c r="E118" s="217" t="s">
        <v>156</v>
      </c>
    </row>
    <row r="121" spans="2:15">
      <c r="B121" s="201" t="s">
        <v>157</v>
      </c>
    </row>
    <row r="122" spans="2:15">
      <c r="B122" s="195"/>
    </row>
    <row r="123" spans="2:15">
      <c r="B123" s="195" t="s">
        <v>158</v>
      </c>
    </row>
    <row r="124" spans="2:15">
      <c r="B124" s="195" t="s">
        <v>251</v>
      </c>
    </row>
    <row r="127" spans="2:15">
      <c r="B127" s="218"/>
      <c r="C127" s="218"/>
      <c r="D127" s="218"/>
      <c r="E127" s="218"/>
      <c r="F127" s="218"/>
      <c r="G127" s="218"/>
      <c r="H127" s="364"/>
      <c r="I127" s="364"/>
      <c r="J127" s="364"/>
    </row>
    <row r="128" spans="2:15">
      <c r="K128" s="218"/>
      <c r="L128" s="219"/>
      <c r="M128" s="218"/>
      <c r="N128" s="218"/>
      <c r="O128" s="218"/>
    </row>
    <row r="130" spans="1:5">
      <c r="A130" s="189"/>
      <c r="B130" s="201" t="s">
        <v>160</v>
      </c>
    </row>
    <row r="132" spans="1:5">
      <c r="A132" s="188" t="s">
        <v>67</v>
      </c>
      <c r="B132" s="189" t="s">
        <v>140</v>
      </c>
      <c r="C132" s="189" t="s">
        <v>141</v>
      </c>
      <c r="D132" s="201" t="s">
        <v>138</v>
      </c>
    </row>
    <row r="133" spans="1:5">
      <c r="A133" s="227" t="s">
        <v>68</v>
      </c>
      <c r="B133" s="189" t="s">
        <v>142</v>
      </c>
      <c r="C133" s="189" t="s">
        <v>141</v>
      </c>
      <c r="D133" s="201" t="s">
        <v>135</v>
      </c>
    </row>
    <row r="136" spans="1:5">
      <c r="B136" s="201" t="s">
        <v>161</v>
      </c>
    </row>
    <row r="138" spans="1:5">
      <c r="B138" s="215" t="s">
        <v>145</v>
      </c>
      <c r="C138" s="215" t="s">
        <v>146</v>
      </c>
      <c r="D138" s="215" t="s">
        <v>147</v>
      </c>
      <c r="E138" s="215" t="s">
        <v>148</v>
      </c>
    </row>
    <row r="139" spans="1:5">
      <c r="B139" s="216" t="s">
        <v>138</v>
      </c>
      <c r="C139" s="216" t="s">
        <v>163</v>
      </c>
      <c r="D139" s="216" t="s">
        <v>149</v>
      </c>
      <c r="E139" s="216" t="s">
        <v>155</v>
      </c>
    </row>
    <row r="140" spans="1:5">
      <c r="B140" s="217" t="s">
        <v>135</v>
      </c>
      <c r="C140" s="217" t="s">
        <v>149</v>
      </c>
      <c r="D140" s="217" t="s">
        <v>150</v>
      </c>
      <c r="E140" s="217" t="s">
        <v>151</v>
      </c>
    </row>
    <row r="141" spans="1:5">
      <c r="B141" s="216" t="s">
        <v>207</v>
      </c>
      <c r="C141" s="216" t="s">
        <v>151</v>
      </c>
      <c r="D141" s="216" t="s">
        <v>165</v>
      </c>
      <c r="E141" s="216" t="s">
        <v>156</v>
      </c>
    </row>
    <row r="142" spans="1:5">
      <c r="B142" s="217" t="s">
        <v>179</v>
      </c>
      <c r="C142" s="217" t="s">
        <v>156</v>
      </c>
      <c r="D142" s="217" t="s">
        <v>165</v>
      </c>
      <c r="E142" s="217" t="s">
        <v>153</v>
      </c>
    </row>
    <row r="145" spans="1:15">
      <c r="B145" s="201" t="s">
        <v>166</v>
      </c>
    </row>
    <row r="146" spans="1:15">
      <c r="B146" s="195"/>
    </row>
    <row r="147" spans="1:15">
      <c r="B147" s="195" t="s">
        <v>167</v>
      </c>
    </row>
    <row r="148" spans="1:15">
      <c r="B148" s="195" t="s">
        <v>168</v>
      </c>
    </row>
    <row r="151" spans="1:15">
      <c r="B151" s="218"/>
      <c r="C151" s="218"/>
      <c r="D151" s="218"/>
      <c r="E151" s="218"/>
      <c r="F151" s="218"/>
      <c r="G151" s="218"/>
      <c r="H151" s="364"/>
      <c r="I151" s="364"/>
      <c r="J151" s="364"/>
    </row>
    <row r="152" spans="1:15">
      <c r="K152" s="218"/>
      <c r="L152" s="219"/>
      <c r="M152" s="218"/>
      <c r="N152" s="218"/>
      <c r="O152" s="218"/>
    </row>
    <row r="154" spans="1:15">
      <c r="B154" s="201" t="s">
        <v>169</v>
      </c>
    </row>
    <row r="156" spans="1:15">
      <c r="A156" s="188" t="s">
        <v>69</v>
      </c>
      <c r="B156" s="189" t="s">
        <v>140</v>
      </c>
      <c r="C156" s="189" t="s">
        <v>141</v>
      </c>
      <c r="D156" s="201" t="s">
        <v>390</v>
      </c>
    </row>
    <row r="157" spans="1:15">
      <c r="A157" s="188" t="s">
        <v>70</v>
      </c>
      <c r="B157" s="189" t="s">
        <v>142</v>
      </c>
      <c r="C157" s="189" t="s">
        <v>141</v>
      </c>
      <c r="D157" s="201" t="s">
        <v>187</v>
      </c>
    </row>
    <row r="160" spans="1:15">
      <c r="B160" s="201" t="s">
        <v>170</v>
      </c>
    </row>
    <row r="162" spans="2:15">
      <c r="B162" s="215" t="s">
        <v>145</v>
      </c>
      <c r="C162" s="215" t="s">
        <v>146</v>
      </c>
      <c r="D162" s="215" t="s">
        <v>147</v>
      </c>
      <c r="E162" s="215" t="s">
        <v>148</v>
      </c>
    </row>
    <row r="163" spans="2:15">
      <c r="B163" s="216" t="s">
        <v>390</v>
      </c>
      <c r="C163" s="216" t="s">
        <v>163</v>
      </c>
      <c r="D163" s="216" t="s">
        <v>164</v>
      </c>
      <c r="E163" s="216" t="s">
        <v>243</v>
      </c>
    </row>
    <row r="164" spans="2:15">
      <c r="B164" s="217" t="s">
        <v>106</v>
      </c>
      <c r="C164" s="217" t="s">
        <v>149</v>
      </c>
      <c r="D164" s="217" t="s">
        <v>154</v>
      </c>
      <c r="E164" s="217" t="s">
        <v>151</v>
      </c>
    </row>
    <row r="165" spans="2:15">
      <c r="B165" s="216" t="s">
        <v>200</v>
      </c>
      <c r="C165" s="216" t="s">
        <v>150</v>
      </c>
      <c r="D165" s="216" t="s">
        <v>162</v>
      </c>
      <c r="E165" s="216" t="s">
        <v>156</v>
      </c>
    </row>
    <row r="166" spans="2:15">
      <c r="B166" s="217" t="s">
        <v>187</v>
      </c>
      <c r="C166" s="217" t="s">
        <v>149</v>
      </c>
      <c r="D166" s="217" t="s">
        <v>150</v>
      </c>
      <c r="E166" s="217" t="s">
        <v>149</v>
      </c>
    </row>
    <row r="169" spans="2:15">
      <c r="B169" s="201" t="s">
        <v>173</v>
      </c>
    </row>
    <row r="170" spans="2:15">
      <c r="B170" s="195"/>
    </row>
    <row r="171" spans="2:15">
      <c r="B171" s="195" t="s">
        <v>174</v>
      </c>
    </row>
    <row r="172" spans="2:15">
      <c r="B172" s="195" t="s">
        <v>276</v>
      </c>
    </row>
    <row r="175" spans="2:15">
      <c r="B175" s="218"/>
      <c r="C175" s="218"/>
      <c r="D175" s="218"/>
      <c r="E175" s="218"/>
      <c r="F175" s="218"/>
      <c r="G175" s="218"/>
      <c r="H175" s="364"/>
      <c r="I175" s="364"/>
      <c r="J175" s="364"/>
    </row>
    <row r="176" spans="2:15">
      <c r="K176" s="218"/>
      <c r="L176" s="219"/>
      <c r="M176" s="218"/>
      <c r="N176" s="218"/>
      <c r="O176" s="218"/>
    </row>
    <row r="178" spans="1:5">
      <c r="B178" s="201" t="s">
        <v>176</v>
      </c>
    </row>
    <row r="180" spans="1:5">
      <c r="A180" s="188" t="s">
        <v>71</v>
      </c>
      <c r="B180" s="189" t="s">
        <v>140</v>
      </c>
      <c r="C180" s="189" t="s">
        <v>141</v>
      </c>
      <c r="D180" s="201" t="s">
        <v>193</v>
      </c>
    </row>
    <row r="181" spans="1:5">
      <c r="A181" s="188" t="s">
        <v>72</v>
      </c>
      <c r="B181" s="189" t="s">
        <v>142</v>
      </c>
      <c r="C181" s="189" t="s">
        <v>141</v>
      </c>
      <c r="D181" s="201" t="s">
        <v>97</v>
      </c>
    </row>
    <row r="184" spans="1:5">
      <c r="B184" s="201" t="s">
        <v>178</v>
      </c>
    </row>
    <row r="186" spans="1:5">
      <c r="B186" s="215" t="s">
        <v>145</v>
      </c>
      <c r="C186" s="215" t="s">
        <v>146</v>
      </c>
      <c r="D186" s="215" t="s">
        <v>147</v>
      </c>
      <c r="E186" s="215" t="s">
        <v>148</v>
      </c>
    </row>
    <row r="187" spans="1:5">
      <c r="B187" s="216" t="s">
        <v>97</v>
      </c>
      <c r="C187" s="216" t="s">
        <v>155</v>
      </c>
      <c r="D187" s="216" t="s">
        <v>153</v>
      </c>
      <c r="E187" s="216" t="s">
        <v>149</v>
      </c>
    </row>
    <row r="188" spans="1:5">
      <c r="B188" s="217" t="s">
        <v>391</v>
      </c>
      <c r="C188" s="217" t="s">
        <v>156</v>
      </c>
      <c r="D188" s="217" t="s">
        <v>180</v>
      </c>
      <c r="E188" s="217" t="s">
        <v>156</v>
      </c>
    </row>
    <row r="189" spans="1:5">
      <c r="B189" s="216" t="s">
        <v>109</v>
      </c>
      <c r="C189" s="216" t="s">
        <v>151</v>
      </c>
      <c r="D189" s="216" t="s">
        <v>150</v>
      </c>
      <c r="E189" s="216" t="s">
        <v>151</v>
      </c>
    </row>
    <row r="190" spans="1:5">
      <c r="B190" s="217" t="s">
        <v>193</v>
      </c>
      <c r="C190" s="217" t="s">
        <v>155</v>
      </c>
      <c r="D190" s="217" t="s">
        <v>153</v>
      </c>
      <c r="E190" s="217" t="s">
        <v>149</v>
      </c>
    </row>
    <row r="193" spans="1:15">
      <c r="B193" s="201" t="s">
        <v>182</v>
      </c>
    </row>
    <row r="194" spans="1:15">
      <c r="B194" s="195"/>
    </row>
    <row r="195" spans="1:15">
      <c r="B195" s="195" t="s">
        <v>527</v>
      </c>
    </row>
    <row r="196" spans="1:15">
      <c r="B196" s="195"/>
    </row>
    <row r="199" spans="1:15">
      <c r="B199" s="218"/>
      <c r="C199" s="218"/>
      <c r="D199" s="218"/>
      <c r="E199" s="218"/>
      <c r="F199" s="218"/>
      <c r="G199" s="218"/>
      <c r="H199" s="364"/>
      <c r="I199" s="364"/>
      <c r="J199" s="364"/>
      <c r="K199" s="218"/>
      <c r="L199" s="219"/>
      <c r="M199" s="218"/>
      <c r="N199" s="218"/>
      <c r="O199" s="218"/>
    </row>
    <row r="202" spans="1:15">
      <c r="B202" s="201" t="s">
        <v>184</v>
      </c>
    </row>
    <row r="204" spans="1:15">
      <c r="A204" s="188" t="s">
        <v>73</v>
      </c>
      <c r="B204" s="189" t="s">
        <v>140</v>
      </c>
      <c r="C204" s="189" t="s">
        <v>141</v>
      </c>
      <c r="D204" s="201" t="s">
        <v>143</v>
      </c>
    </row>
    <row r="205" spans="1:15">
      <c r="A205" s="188" t="s">
        <v>74</v>
      </c>
      <c r="B205" s="189" t="s">
        <v>142</v>
      </c>
      <c r="C205" s="189" t="s">
        <v>141</v>
      </c>
      <c r="D205" s="201" t="s">
        <v>392</v>
      </c>
    </row>
    <row r="208" spans="1:15">
      <c r="B208" s="201" t="s">
        <v>186</v>
      </c>
    </row>
    <row r="210" spans="2:15">
      <c r="B210" s="215" t="s">
        <v>145</v>
      </c>
      <c r="C210" s="215" t="s">
        <v>146</v>
      </c>
      <c r="D210" s="215" t="s">
        <v>147</v>
      </c>
      <c r="E210" s="215" t="s">
        <v>148</v>
      </c>
    </row>
    <row r="211" spans="2:15">
      <c r="B211" s="216" t="s">
        <v>209</v>
      </c>
      <c r="C211" s="216" t="s">
        <v>149</v>
      </c>
      <c r="D211" s="216" t="s">
        <v>150</v>
      </c>
      <c r="E211" s="216" t="s">
        <v>151</v>
      </c>
    </row>
    <row r="212" spans="2:15">
      <c r="B212" s="217" t="s">
        <v>392</v>
      </c>
      <c r="C212" s="217" t="s">
        <v>164</v>
      </c>
      <c r="D212" s="217" t="s">
        <v>156</v>
      </c>
      <c r="E212" s="217" t="s">
        <v>149</v>
      </c>
    </row>
    <row r="213" spans="2:15">
      <c r="B213" s="216" t="s">
        <v>143</v>
      </c>
      <c r="C213" s="216" t="s">
        <v>172</v>
      </c>
      <c r="D213" s="216" t="s">
        <v>153</v>
      </c>
      <c r="E213" s="216" t="s">
        <v>149</v>
      </c>
    </row>
    <row r="214" spans="2:15">
      <c r="B214" s="217" t="s">
        <v>210</v>
      </c>
      <c r="C214" s="217" t="s">
        <v>150</v>
      </c>
      <c r="D214" s="217" t="s">
        <v>171</v>
      </c>
      <c r="E214" s="217" t="s">
        <v>153</v>
      </c>
    </row>
    <row r="217" spans="2:15">
      <c r="B217" s="201" t="s">
        <v>189</v>
      </c>
    </row>
    <row r="218" spans="2:15">
      <c r="B218" s="195"/>
    </row>
    <row r="219" spans="2:15">
      <c r="B219" s="195" t="s">
        <v>190</v>
      </c>
    </row>
    <row r="220" spans="2:15">
      <c r="B220" s="195" t="s">
        <v>191</v>
      </c>
    </row>
    <row r="223" spans="2:15">
      <c r="B223" s="218"/>
      <c r="C223" s="218"/>
      <c r="D223" s="218"/>
      <c r="E223" s="218"/>
      <c r="F223" s="218"/>
      <c r="G223" s="218"/>
      <c r="H223" s="364"/>
      <c r="I223" s="364"/>
      <c r="J223" s="364"/>
      <c r="K223" s="218"/>
      <c r="L223" s="219"/>
      <c r="M223" s="218"/>
      <c r="N223" s="218"/>
      <c r="O223" s="218"/>
    </row>
    <row r="226" spans="1:5">
      <c r="B226" s="201" t="s">
        <v>192</v>
      </c>
    </row>
    <row r="228" spans="1:5">
      <c r="A228" s="188" t="s">
        <v>75</v>
      </c>
      <c r="B228" s="189" t="s">
        <v>140</v>
      </c>
      <c r="C228" s="189" t="s">
        <v>141</v>
      </c>
      <c r="D228" s="201" t="s">
        <v>102</v>
      </c>
    </row>
    <row r="229" spans="1:5">
      <c r="A229" s="188" t="s">
        <v>76</v>
      </c>
      <c r="B229" s="189" t="s">
        <v>142</v>
      </c>
      <c r="C229" s="189" t="s">
        <v>141</v>
      </c>
      <c r="D229" s="201" t="s">
        <v>572</v>
      </c>
    </row>
    <row r="232" spans="1:5">
      <c r="B232" s="201" t="s">
        <v>194</v>
      </c>
    </row>
    <row r="234" spans="1:5">
      <c r="B234" s="215" t="s">
        <v>145</v>
      </c>
      <c r="C234" s="215" t="s">
        <v>146</v>
      </c>
      <c r="D234" s="215" t="s">
        <v>147</v>
      </c>
      <c r="E234" s="215" t="s">
        <v>148</v>
      </c>
    </row>
    <row r="235" spans="1:5">
      <c r="B235" s="216" t="s">
        <v>102</v>
      </c>
      <c r="C235" s="216" t="s">
        <v>172</v>
      </c>
      <c r="D235" s="216" t="s">
        <v>155</v>
      </c>
      <c r="E235" s="216" t="s">
        <v>155</v>
      </c>
    </row>
    <row r="236" spans="1:5">
      <c r="B236" s="217" t="s">
        <v>572</v>
      </c>
      <c r="C236" s="217" t="s">
        <v>149</v>
      </c>
      <c r="D236" s="217" t="s">
        <v>154</v>
      </c>
      <c r="E236" s="217" t="s">
        <v>153</v>
      </c>
    </row>
    <row r="237" spans="1:5">
      <c r="B237" s="216" t="s">
        <v>394</v>
      </c>
      <c r="C237" s="216" t="s">
        <v>156</v>
      </c>
      <c r="D237" s="216" t="s">
        <v>180</v>
      </c>
      <c r="E237" s="216" t="s">
        <v>156</v>
      </c>
    </row>
    <row r="238" spans="1:5">
      <c r="B238" s="217" t="s">
        <v>108</v>
      </c>
      <c r="C238" s="217" t="s">
        <v>151</v>
      </c>
      <c r="D238" s="217" t="s">
        <v>150</v>
      </c>
      <c r="E238" s="217" t="s">
        <v>153</v>
      </c>
    </row>
    <row r="241" spans="1:15">
      <c r="B241" s="201" t="s">
        <v>195</v>
      </c>
    </row>
    <row r="242" spans="1:15">
      <c r="B242" s="195"/>
    </row>
    <row r="243" spans="1:15">
      <c r="B243" s="195" t="s">
        <v>196</v>
      </c>
    </row>
    <row r="244" spans="1:15">
      <c r="B244" s="195" t="s">
        <v>197</v>
      </c>
    </row>
    <row r="247" spans="1:15">
      <c r="B247" s="218"/>
      <c r="C247" s="218"/>
      <c r="D247" s="218"/>
      <c r="E247" s="218"/>
      <c r="F247" s="218"/>
      <c r="G247" s="218"/>
      <c r="H247" s="364"/>
      <c r="I247" s="364"/>
      <c r="J247" s="364"/>
      <c r="K247" s="218"/>
      <c r="L247" s="219"/>
      <c r="M247" s="218"/>
      <c r="N247" s="218"/>
      <c r="O247" s="218"/>
    </row>
    <row r="250" spans="1:15">
      <c r="B250" s="201" t="s">
        <v>198</v>
      </c>
    </row>
    <row r="252" spans="1:15">
      <c r="A252" s="188" t="s">
        <v>77</v>
      </c>
      <c r="B252" s="189" t="s">
        <v>140</v>
      </c>
      <c r="C252" s="189" t="s">
        <v>141</v>
      </c>
      <c r="D252" s="201" t="s">
        <v>202</v>
      </c>
    </row>
    <row r="253" spans="1:15">
      <c r="A253" s="188" t="s">
        <v>78</v>
      </c>
      <c r="B253" s="189" t="s">
        <v>142</v>
      </c>
      <c r="C253" s="189" t="s">
        <v>141</v>
      </c>
      <c r="D253" s="201" t="s">
        <v>177</v>
      </c>
    </row>
    <row r="256" spans="1:15">
      <c r="B256" s="201" t="s">
        <v>201</v>
      </c>
    </row>
    <row r="258" spans="2:15">
      <c r="B258" s="215" t="s">
        <v>145</v>
      </c>
      <c r="C258" s="215" t="s">
        <v>146</v>
      </c>
      <c r="D258" s="215" t="s">
        <v>147</v>
      </c>
      <c r="E258" s="215" t="s">
        <v>148</v>
      </c>
    </row>
    <row r="259" spans="2:15">
      <c r="B259" s="216" t="s">
        <v>177</v>
      </c>
      <c r="C259" s="216" t="s">
        <v>164</v>
      </c>
      <c r="D259" s="216" t="s">
        <v>153</v>
      </c>
      <c r="E259" s="216" t="s">
        <v>155</v>
      </c>
    </row>
    <row r="260" spans="2:15">
      <c r="B260" s="217" t="s">
        <v>202</v>
      </c>
      <c r="C260" s="217" t="s">
        <v>163</v>
      </c>
      <c r="D260" s="217" t="s">
        <v>164</v>
      </c>
      <c r="E260" s="217" t="s">
        <v>172</v>
      </c>
    </row>
    <row r="261" spans="2:15">
      <c r="B261" s="216" t="s">
        <v>181</v>
      </c>
      <c r="C261" s="216" t="s">
        <v>156</v>
      </c>
      <c r="D261" s="216" t="s">
        <v>180</v>
      </c>
      <c r="E261" s="216" t="s">
        <v>156</v>
      </c>
    </row>
    <row r="262" spans="2:15">
      <c r="B262" s="217" t="s">
        <v>32</v>
      </c>
      <c r="C262" s="217" t="s">
        <v>156</v>
      </c>
      <c r="D262" s="217" t="s">
        <v>180</v>
      </c>
      <c r="E262" s="217" t="s">
        <v>153</v>
      </c>
    </row>
    <row r="265" spans="2:15">
      <c r="B265" s="201" t="s">
        <v>203</v>
      </c>
    </row>
    <row r="266" spans="2:15">
      <c r="B266" s="195"/>
    </row>
    <row r="267" spans="2:15">
      <c r="B267" s="195" t="s">
        <v>204</v>
      </c>
    </row>
    <row r="268" spans="2:15">
      <c r="B268" s="195" t="s">
        <v>205</v>
      </c>
    </row>
    <row r="270" spans="2:15">
      <c r="B270" s="218"/>
      <c r="C270" s="218"/>
      <c r="D270" s="218"/>
      <c r="E270" s="218"/>
      <c r="F270" s="218"/>
      <c r="G270" s="218"/>
    </row>
    <row r="271" spans="2:15">
      <c r="H271" s="364"/>
      <c r="I271" s="364"/>
      <c r="J271" s="364"/>
      <c r="K271" s="218"/>
      <c r="L271" s="219"/>
      <c r="M271" s="218"/>
      <c r="N271" s="218"/>
      <c r="O271" s="218"/>
    </row>
    <row r="272" spans="2:15">
      <c r="K272" s="334"/>
      <c r="L272" s="335"/>
      <c r="M272" s="334"/>
      <c r="N272" s="334"/>
      <c r="O272" s="334"/>
    </row>
    <row r="274" spans="1:5">
      <c r="B274" s="201" t="s">
        <v>206</v>
      </c>
    </row>
    <row r="276" spans="1:5">
      <c r="A276" s="188" t="s">
        <v>79</v>
      </c>
      <c r="B276" s="189" t="s">
        <v>140</v>
      </c>
      <c r="C276" s="189" t="s">
        <v>141</v>
      </c>
      <c r="D276" s="201" t="s">
        <v>395</v>
      </c>
    </row>
    <row r="277" spans="1:5">
      <c r="A277" s="188" t="s">
        <v>80</v>
      </c>
      <c r="B277" s="189" t="s">
        <v>142</v>
      </c>
      <c r="C277" s="189" t="s">
        <v>141</v>
      </c>
      <c r="D277" s="201" t="s">
        <v>396</v>
      </c>
    </row>
    <row r="278" spans="1:5">
      <c r="A278" s="188" t="s">
        <v>80</v>
      </c>
    </row>
    <row r="280" spans="1:5">
      <c r="B280" s="201" t="s">
        <v>208</v>
      </c>
    </row>
    <row r="282" spans="1:5">
      <c r="B282" s="215" t="s">
        <v>145</v>
      </c>
      <c r="C282" s="215" t="s">
        <v>146</v>
      </c>
      <c r="D282" s="215" t="s">
        <v>147</v>
      </c>
      <c r="E282" s="215" t="s">
        <v>148</v>
      </c>
    </row>
    <row r="283" spans="1:5">
      <c r="B283" s="216" t="s">
        <v>395</v>
      </c>
      <c r="C283" s="216" t="s">
        <v>163</v>
      </c>
      <c r="D283" s="216" t="s">
        <v>151</v>
      </c>
      <c r="E283" s="216" t="s">
        <v>149</v>
      </c>
    </row>
    <row r="284" spans="1:5">
      <c r="B284" s="217" t="s">
        <v>110</v>
      </c>
      <c r="C284" s="217" t="s">
        <v>156</v>
      </c>
      <c r="D284" s="217" t="s">
        <v>171</v>
      </c>
      <c r="E284" s="217" t="s">
        <v>156</v>
      </c>
    </row>
    <row r="285" spans="1:5">
      <c r="B285" s="216" t="s">
        <v>396</v>
      </c>
      <c r="C285" s="216" t="s">
        <v>149</v>
      </c>
      <c r="D285" s="216" t="s">
        <v>156</v>
      </c>
      <c r="E285" s="216" t="s">
        <v>153</v>
      </c>
    </row>
    <row r="286" spans="1:5">
      <c r="B286" s="217" t="s">
        <v>104</v>
      </c>
      <c r="C286" s="217" t="s">
        <v>153</v>
      </c>
      <c r="D286" s="217" t="s">
        <v>154</v>
      </c>
      <c r="E286" s="217" t="s">
        <v>153</v>
      </c>
    </row>
    <row r="289" spans="2:15">
      <c r="B289" s="201" t="s">
        <v>211</v>
      </c>
    </row>
    <row r="290" spans="2:15">
      <c r="B290" s="195"/>
    </row>
    <row r="291" spans="2:15">
      <c r="B291" s="195" t="s">
        <v>212</v>
      </c>
    </row>
    <row r="292" spans="2:15">
      <c r="B292" s="195" t="s">
        <v>213</v>
      </c>
    </row>
    <row r="295" spans="2:15">
      <c r="B295" s="218"/>
      <c r="C295" s="218"/>
      <c r="D295" s="218"/>
      <c r="E295" s="218"/>
      <c r="F295" s="218"/>
      <c r="G295" s="218"/>
      <c r="H295" s="364"/>
      <c r="I295" s="364"/>
      <c r="J295" s="364"/>
    </row>
    <row r="296" spans="2:15">
      <c r="K296" s="218"/>
      <c r="L296" s="219"/>
      <c r="M296" s="218"/>
      <c r="N296" s="218"/>
      <c r="O296" s="218"/>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2.xml><?xml version="1.0" encoding="utf-8"?>
<worksheet xmlns="http://schemas.openxmlformats.org/spreadsheetml/2006/main" xmlns:r="http://schemas.openxmlformats.org/officeDocument/2006/relationships">
  <sheetPr>
    <tabColor rgb="FFFFC000"/>
  </sheetPr>
  <dimension ref="A1:U295"/>
  <sheetViews>
    <sheetView zoomScale="80" zoomScaleNormal="80" workbookViewId="0">
      <selection activeCell="F12" sqref="F12"/>
    </sheetView>
  </sheetViews>
  <sheetFormatPr defaultRowHeight="15"/>
  <cols>
    <col min="1" max="1" width="6.7109375" style="188" customWidth="1"/>
    <col min="2" max="2" width="9.140625" style="189"/>
    <col min="3" max="3" width="10.140625" style="189" bestFit="1" customWidth="1"/>
    <col min="4"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495</v>
      </c>
      <c r="L1" s="194"/>
      <c r="P1" s="193">
        <f>SUM(P14:P101)+E11+H11+L7+L11+Q11</f>
        <v>400</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Spanje</v>
      </c>
      <c r="E3" s="222">
        <f t="shared" ref="E3:E10" si="3">IF(ISNA(MATCH(D3,teams_achtste,0)),0,10)</f>
        <v>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Ivoorkust</v>
      </c>
      <c r="C4" s="222">
        <f t="shared" si="1"/>
        <v>0</v>
      </c>
      <c r="D4" s="224" t="str">
        <f t="shared" si="2"/>
        <v>Uruguay</v>
      </c>
      <c r="E4" s="222">
        <f t="shared" si="3"/>
        <v>10</v>
      </c>
      <c r="F4" s="339" t="s">
        <v>450</v>
      </c>
      <c r="G4" s="195" t="str">
        <f>G88</f>
        <v>Ivoorkust</v>
      </c>
      <c r="H4" s="222">
        <f t="shared" si="4"/>
        <v>0</v>
      </c>
      <c r="I4" s="339" t="s">
        <v>458</v>
      </c>
      <c r="J4" s="195" t="str">
        <f>G94</f>
        <v>Duitsland</v>
      </c>
      <c r="L4" s="222">
        <f>IF(ISNA(MATCH(J4,teams_halve,0)),0,20)</f>
        <v>20</v>
      </c>
      <c r="Q4" s="224"/>
    </row>
    <row r="5" spans="1:21" s="195" customFormat="1" ht="15" customHeight="1">
      <c r="B5" s="224" t="str">
        <f t="shared" si="0"/>
        <v>Nederland</v>
      </c>
      <c r="C5" s="222">
        <f t="shared" si="1"/>
        <v>10</v>
      </c>
      <c r="D5" s="224" t="str">
        <f t="shared" si="2"/>
        <v>Kroatië</v>
      </c>
      <c r="E5" s="222">
        <f t="shared" si="3"/>
        <v>0</v>
      </c>
      <c r="F5" s="339" t="s">
        <v>451</v>
      </c>
      <c r="G5" s="195" t="str">
        <f>E90</f>
        <v>Nederland</v>
      </c>
      <c r="H5" s="222">
        <f t="shared" si="4"/>
        <v>15</v>
      </c>
      <c r="I5" s="339" t="s">
        <v>459</v>
      </c>
      <c r="J5" s="195" t="str">
        <f>E95</f>
        <v>Nederland</v>
      </c>
      <c r="L5" s="222">
        <f>IF(ISNA(MATCH(J5,teams_halve,0)),0,20)</f>
        <v>20</v>
      </c>
    </row>
    <row r="6" spans="1:21" s="195" customFormat="1" ht="15" customHeight="1">
      <c r="B6" s="224" t="str">
        <f t="shared" si="0"/>
        <v>Italië</v>
      </c>
      <c r="C6" s="222">
        <f t="shared" si="1"/>
        <v>0</v>
      </c>
      <c r="D6" s="224" t="str">
        <f t="shared" si="2"/>
        <v>Colombia</v>
      </c>
      <c r="E6" s="222">
        <f t="shared" si="3"/>
        <v>10</v>
      </c>
      <c r="F6" s="339" t="s">
        <v>452</v>
      </c>
      <c r="G6" s="195" t="str">
        <f>G90</f>
        <v>Italië</v>
      </c>
      <c r="H6" s="222">
        <f t="shared" si="4"/>
        <v>0</v>
      </c>
      <c r="I6" s="339" t="s">
        <v>460</v>
      </c>
      <c r="J6" s="195" t="str">
        <f>G95</f>
        <v>Portugal</v>
      </c>
      <c r="L6" s="222">
        <f>IF(ISNA(MATCH(J6,teams_halve,0)),0,20)</f>
        <v>0</v>
      </c>
    </row>
    <row r="7" spans="1:21" s="195" customFormat="1" ht="15" customHeight="1">
      <c r="B7" s="224" t="str">
        <f t="shared" si="0"/>
        <v>Frankrijk</v>
      </c>
      <c r="C7" s="222">
        <f t="shared" si="1"/>
        <v>10</v>
      </c>
      <c r="D7" s="224" t="str">
        <f t="shared" si="2"/>
        <v>Bosnië en Herzegovina</v>
      </c>
      <c r="E7" s="222">
        <f t="shared" si="3"/>
        <v>0</v>
      </c>
      <c r="F7" s="339" t="s">
        <v>453</v>
      </c>
      <c r="G7" s="195" t="str">
        <f>E89</f>
        <v>Frankrijk</v>
      </c>
      <c r="H7" s="222">
        <f t="shared" si="4"/>
        <v>15</v>
      </c>
      <c r="I7" s="339"/>
      <c r="J7" s="198" t="s">
        <v>83</v>
      </c>
      <c r="K7" s="199"/>
      <c r="L7" s="225">
        <f>SUM(L3:L6)</f>
        <v>60</v>
      </c>
    </row>
    <row r="8" spans="1:21" s="195" customFormat="1" ht="15" customHeight="1">
      <c r="B8" s="224" t="str">
        <f t="shared" si="0"/>
        <v>Duitsland</v>
      </c>
      <c r="C8" s="222">
        <f t="shared" si="1"/>
        <v>10</v>
      </c>
      <c r="D8" s="224" t="str">
        <f t="shared" si="2"/>
        <v>Rusland</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Zwitserland</v>
      </c>
      <c r="E9" s="222">
        <f t="shared" si="3"/>
        <v>10</v>
      </c>
      <c r="F9" s="339" t="s">
        <v>455</v>
      </c>
      <c r="G9" s="195" t="str">
        <f>E91</f>
        <v>Zwitserland</v>
      </c>
      <c r="H9" s="222">
        <f t="shared" si="4"/>
        <v>0</v>
      </c>
      <c r="I9" s="339" t="s">
        <v>461</v>
      </c>
      <c r="J9" s="195" t="str">
        <f>E101</f>
        <v>Brazilië</v>
      </c>
      <c r="L9" s="222">
        <f>IF(ISNA(MATCH(J9,teams_fin,0)),0,30)</f>
        <v>0</v>
      </c>
      <c r="P9" s="444" t="str">
        <f>E98</f>
        <v>Duitsland</v>
      </c>
      <c r="Q9" s="222">
        <f>IF(ISNA(MATCH(P9,teams_troost,0)),0,25)</f>
        <v>0</v>
      </c>
    </row>
    <row r="10" spans="1:21" s="195" customFormat="1" ht="15" customHeight="1">
      <c r="B10" s="224" t="str">
        <f t="shared" si="0"/>
        <v>België</v>
      </c>
      <c r="C10" s="222">
        <f t="shared" si="1"/>
        <v>10</v>
      </c>
      <c r="D10" s="224" t="str">
        <f t="shared" si="2"/>
        <v>Portugal</v>
      </c>
      <c r="E10" s="222">
        <f t="shared" si="3"/>
        <v>0</v>
      </c>
      <c r="F10" s="339" t="s">
        <v>456</v>
      </c>
      <c r="G10" s="195" t="str">
        <f>G91</f>
        <v>Portugal</v>
      </c>
      <c r="H10" s="222">
        <f t="shared" si="4"/>
        <v>0</v>
      </c>
      <c r="I10" s="339" t="s">
        <v>462</v>
      </c>
      <c r="J10" s="195" t="str">
        <f>G101</f>
        <v>Nederland</v>
      </c>
      <c r="L10" s="222">
        <f>IF(ISNA(MATCH(J10,teams_fin,0)),0,30)</f>
        <v>0</v>
      </c>
      <c r="P10" s="444" t="str">
        <f>G98</f>
        <v>Portugal</v>
      </c>
      <c r="Q10" s="222">
        <f>IF(ISNA(MATCH(P10,teams_troost,0)),0,25)</f>
        <v>0</v>
      </c>
    </row>
    <row r="11" spans="1:21" s="195" customFormat="1" ht="15" customHeight="1">
      <c r="D11" s="198" t="s">
        <v>89</v>
      </c>
      <c r="E11" s="225">
        <f>SUM(C3:E10)</f>
        <v>90</v>
      </c>
      <c r="G11" s="198" t="s">
        <v>82</v>
      </c>
      <c r="H11" s="225">
        <f>SUM(H3:H10)</f>
        <v>60</v>
      </c>
      <c r="J11" s="198" t="s">
        <v>90</v>
      </c>
      <c r="K11" s="199"/>
      <c r="L11" s="225">
        <f>SUM(L9:L10)</f>
        <v>0</v>
      </c>
      <c r="P11" s="199"/>
      <c r="Q11" s="225">
        <f>SUM(Q9:Q10)</f>
        <v>0</v>
      </c>
    </row>
    <row r="12" spans="1:21">
      <c r="B12" s="201" t="s">
        <v>19</v>
      </c>
      <c r="C12" s="201"/>
      <c r="D12" s="339" t="s">
        <v>463</v>
      </c>
      <c r="E12" s="202" t="s">
        <v>135</v>
      </c>
      <c r="F12" s="226">
        <f>IF(ISNA(MATCH(E12,Invulblad!F104,0)),0,50)</f>
        <v>0</v>
      </c>
      <c r="G12" s="201"/>
      <c r="H12" s="201"/>
      <c r="I12" s="201"/>
      <c r="J12" s="201"/>
      <c r="K12" s="201"/>
      <c r="L12" s="203"/>
      <c r="M12" s="201"/>
      <c r="N12" s="201"/>
      <c r="O12" s="201"/>
    </row>
    <row r="13" spans="1:21">
      <c r="A13" s="188" t="s">
        <v>91</v>
      </c>
      <c r="B13" s="204" t="s">
        <v>272</v>
      </c>
      <c r="C13" s="204" t="s">
        <v>420</v>
      </c>
      <c r="D13" s="204" t="s">
        <v>421</v>
      </c>
      <c r="E13" s="205" t="s">
        <v>145</v>
      </c>
      <c r="F13" s="206" t="s">
        <v>29</v>
      </c>
      <c r="G13" s="204" t="s">
        <v>145</v>
      </c>
      <c r="H13" s="365" t="s">
        <v>93</v>
      </c>
      <c r="I13" s="365"/>
      <c r="J13" s="365"/>
      <c r="K13" s="206" t="s">
        <v>20</v>
      </c>
      <c r="L13" s="207"/>
      <c r="M13" s="206" t="s">
        <v>94</v>
      </c>
      <c r="N13" s="206"/>
      <c r="O13" s="206"/>
      <c r="P13" s="201" t="s">
        <v>95</v>
      </c>
    </row>
    <row r="14" spans="1:21">
      <c r="A14" s="188">
        <v>1</v>
      </c>
      <c r="B14" s="195">
        <v>1</v>
      </c>
      <c r="C14" s="336">
        <v>41802</v>
      </c>
      <c r="D14" s="338">
        <v>0.91666666666666663</v>
      </c>
      <c r="E14" s="189" t="s">
        <v>557</v>
      </c>
      <c r="F14" s="189" t="s">
        <v>29</v>
      </c>
      <c r="G14" s="189" t="s">
        <v>558</v>
      </c>
      <c r="H14" s="366">
        <v>3</v>
      </c>
      <c r="I14" s="366" t="s">
        <v>29</v>
      </c>
      <c r="J14" s="366">
        <v>1</v>
      </c>
      <c r="K14" s="212" t="str">
        <f t="shared" ref="K14:K76"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10</v>
      </c>
    </row>
    <row r="15" spans="1:21">
      <c r="A15" s="188">
        <v>2</v>
      </c>
      <c r="B15" s="195">
        <v>2</v>
      </c>
      <c r="C15" s="336">
        <v>41803</v>
      </c>
      <c r="D15" s="338">
        <v>0.75</v>
      </c>
      <c r="E15" s="189" t="s">
        <v>101</v>
      </c>
      <c r="F15" s="189" t="s">
        <v>29</v>
      </c>
      <c r="G15" s="189" t="s">
        <v>119</v>
      </c>
      <c r="H15" s="366">
        <v>2</v>
      </c>
      <c r="I15" s="366" t="s">
        <v>29</v>
      </c>
      <c r="J15" s="366">
        <v>1</v>
      </c>
      <c r="K15" s="212" t="str">
        <f t="shared" si="5"/>
        <v>1</v>
      </c>
      <c r="L15" s="210" t="str">
        <f>VLOOKUP($B15,Invulblad!$A$11:$S$103,13,0)</f>
        <v>1</v>
      </c>
      <c r="M15" s="211">
        <f>IF(L15&lt;&gt;"",VLOOKUP($B15,Invulblad!$A$11:$S$103,7,0),"")</f>
        <v>1</v>
      </c>
      <c r="N15" s="209" t="s">
        <v>29</v>
      </c>
      <c r="O15" s="211">
        <f>IF(L15&lt;&gt;"",VLOOKUP($B15,Invulblad!$A$11:$S$103,9,0),"")</f>
        <v>0</v>
      </c>
      <c r="P15" s="212">
        <f t="shared" si="6"/>
        <v>5</v>
      </c>
    </row>
    <row r="16" spans="1:21">
      <c r="A16" s="188">
        <v>3</v>
      </c>
      <c r="B16" s="195">
        <v>17</v>
      </c>
      <c r="C16" s="336">
        <v>41807</v>
      </c>
      <c r="D16" s="338">
        <v>0.875</v>
      </c>
      <c r="E16" s="189" t="s">
        <v>557</v>
      </c>
      <c r="F16" s="189" t="s">
        <v>29</v>
      </c>
      <c r="G16" s="189" t="s">
        <v>96</v>
      </c>
      <c r="H16" s="366">
        <v>2</v>
      </c>
      <c r="I16" s="366" t="s">
        <v>29</v>
      </c>
      <c r="J16" s="366">
        <v>0</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6">
        <v>41809</v>
      </c>
      <c r="D17" s="338">
        <v>0</v>
      </c>
      <c r="E17" s="189" t="s">
        <v>121</v>
      </c>
      <c r="F17" s="189" t="s">
        <v>29</v>
      </c>
      <c r="G17" s="189" t="s">
        <v>558</v>
      </c>
      <c r="H17" s="366">
        <v>1</v>
      </c>
      <c r="I17" s="366" t="s">
        <v>29</v>
      </c>
      <c r="J17" s="366">
        <v>2</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6">
        <v>41813</v>
      </c>
      <c r="D18" s="338">
        <v>0.91666666666666663</v>
      </c>
      <c r="E18" s="189" t="s">
        <v>121</v>
      </c>
      <c r="F18" s="189" t="s">
        <v>29</v>
      </c>
      <c r="G18" s="189" t="s">
        <v>559</v>
      </c>
      <c r="H18" s="366">
        <v>0</v>
      </c>
      <c r="I18" s="366" t="s">
        <v>29</v>
      </c>
      <c r="J18" s="366">
        <v>3</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6">
        <v>41813</v>
      </c>
      <c r="D19" s="338">
        <v>0.91666666666666663</v>
      </c>
      <c r="E19" s="189" t="s">
        <v>560</v>
      </c>
      <c r="F19" s="189" t="s">
        <v>29</v>
      </c>
      <c r="G19" s="189" t="s">
        <v>96</v>
      </c>
      <c r="H19" s="366">
        <v>2</v>
      </c>
      <c r="I19" s="366" t="s">
        <v>29</v>
      </c>
      <c r="J19" s="366">
        <v>1</v>
      </c>
      <c r="K19" s="212" t="str">
        <f t="shared" si="5"/>
        <v>1</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C20" s="337"/>
      <c r="D20" s="337"/>
      <c r="H20" s="367"/>
      <c r="I20" s="367"/>
      <c r="J20" s="367"/>
      <c r="K20" s="213" t="str">
        <f t="shared" si="5"/>
        <v/>
      </c>
      <c r="L20" s="210"/>
      <c r="M20" s="211" t="str">
        <f>IF(L20&lt;&gt;"",VLOOKUP($B20,Invulblad!$A$11:$S$103,7,0),"")</f>
        <v/>
      </c>
      <c r="N20" s="201"/>
      <c r="O20" s="211" t="str">
        <f>IF(L20&lt;&gt;"",VLOOKUP($B20,Invulblad!$A$11:$S$103,9,0),"")</f>
        <v/>
      </c>
    </row>
    <row r="21" spans="1:16">
      <c r="B21" s="201" t="s">
        <v>272</v>
      </c>
      <c r="C21" s="337" t="s">
        <v>420</v>
      </c>
      <c r="D21" s="337" t="s">
        <v>421</v>
      </c>
      <c r="E21" s="189" t="s">
        <v>145</v>
      </c>
      <c r="F21" s="189" t="s">
        <v>29</v>
      </c>
      <c r="G21" s="189" t="s">
        <v>145</v>
      </c>
      <c r="H21" s="365" t="s">
        <v>93</v>
      </c>
      <c r="I21" s="365"/>
      <c r="J21" s="365"/>
      <c r="K21" s="213"/>
      <c r="L21" s="210"/>
      <c r="M21" s="211"/>
      <c r="N21" s="201"/>
      <c r="O21" s="211"/>
    </row>
    <row r="22" spans="1:16">
      <c r="A22" s="188">
        <v>9</v>
      </c>
      <c r="B22" s="195">
        <v>3</v>
      </c>
      <c r="C22" s="336">
        <v>41803</v>
      </c>
      <c r="D22" s="338">
        <v>0.875</v>
      </c>
      <c r="E22" s="189" t="s">
        <v>129</v>
      </c>
      <c r="F22" s="189" t="s">
        <v>29</v>
      </c>
      <c r="G22" s="189" t="s">
        <v>122</v>
      </c>
      <c r="H22" s="366">
        <v>1</v>
      </c>
      <c r="I22" s="366" t="s">
        <v>29</v>
      </c>
      <c r="J22" s="366">
        <v>2</v>
      </c>
      <c r="K22" s="212">
        <f t="shared" si="5"/>
        <v>2</v>
      </c>
      <c r="L22" s="210">
        <f>VLOOKUP($B22,Invulblad!$A$11:$S$103,13,0)</f>
        <v>2</v>
      </c>
      <c r="M22" s="211">
        <f>IF(L22&lt;&gt;"",VLOOKUP($B22,Invulblad!$A$11:$S$103,7,0),"")</f>
        <v>1</v>
      </c>
      <c r="N22" s="209" t="s">
        <v>29</v>
      </c>
      <c r="O22" s="211">
        <f>IF(L22&lt;&gt;"",VLOOKUP($B22,Invulblad!$A$11:$S$103,9,0),"")</f>
        <v>5</v>
      </c>
      <c r="P22" s="212">
        <f t="shared" ref="P22:P27" si="7">IF(L22&lt;&gt;"",IF(AND(M22=H22,O22=J22),10,IF(K22=L22,5,0)),"")</f>
        <v>5</v>
      </c>
    </row>
    <row r="23" spans="1:16">
      <c r="A23" s="188">
        <v>10</v>
      </c>
      <c r="B23" s="195">
        <v>4</v>
      </c>
      <c r="C23" s="336">
        <v>41804</v>
      </c>
      <c r="D23" s="338">
        <v>0</v>
      </c>
      <c r="E23" s="189" t="s">
        <v>131</v>
      </c>
      <c r="F23" s="189" t="s">
        <v>29</v>
      </c>
      <c r="G23" s="189" t="s">
        <v>561</v>
      </c>
      <c r="H23" s="366">
        <v>2</v>
      </c>
      <c r="I23" s="366" t="s">
        <v>29</v>
      </c>
      <c r="J23" s="366">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6">
        <v>41808</v>
      </c>
      <c r="D24" s="338">
        <v>0.875</v>
      </c>
      <c r="E24" s="189" t="s">
        <v>129</v>
      </c>
      <c r="F24" s="189" t="s">
        <v>29</v>
      </c>
      <c r="G24" s="189" t="s">
        <v>128</v>
      </c>
      <c r="H24" s="366">
        <v>3</v>
      </c>
      <c r="I24" s="366" t="s">
        <v>29</v>
      </c>
      <c r="J24" s="366">
        <v>1</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6">
        <v>41808</v>
      </c>
      <c r="D25" s="338">
        <v>0.75</v>
      </c>
      <c r="E25" s="189" t="s">
        <v>562</v>
      </c>
      <c r="F25" s="189" t="s">
        <v>29</v>
      </c>
      <c r="G25" s="189" t="s">
        <v>122</v>
      </c>
      <c r="H25" s="366">
        <v>0</v>
      </c>
      <c r="I25" s="366" t="s">
        <v>29</v>
      </c>
      <c r="J25" s="366">
        <v>3</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6">
        <v>41813</v>
      </c>
      <c r="D26" s="338">
        <v>0.75</v>
      </c>
      <c r="E26" s="189" t="s">
        <v>562</v>
      </c>
      <c r="F26" s="189" t="s">
        <v>29</v>
      </c>
      <c r="G26" s="189" t="s">
        <v>133</v>
      </c>
      <c r="H26" s="366">
        <v>0</v>
      </c>
      <c r="I26" s="366" t="s">
        <v>29</v>
      </c>
      <c r="J26" s="366">
        <v>2</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6">
        <v>41813</v>
      </c>
      <c r="D27" s="338">
        <v>0.75</v>
      </c>
      <c r="E27" s="189" t="s">
        <v>117</v>
      </c>
      <c r="F27" s="189" t="s">
        <v>29</v>
      </c>
      <c r="G27" s="189" t="s">
        <v>128</v>
      </c>
      <c r="H27" s="366">
        <v>3</v>
      </c>
      <c r="I27" s="366" t="s">
        <v>29</v>
      </c>
      <c r="J27" s="366">
        <v>0</v>
      </c>
      <c r="K27" s="212" t="str">
        <f t="shared" si="5"/>
        <v>1</v>
      </c>
      <c r="L27" s="210" t="str">
        <f>VLOOKUP($B27,Invulblad!$A$11:$S$103,13,0)</f>
        <v>1</v>
      </c>
      <c r="M27" s="211">
        <f>IF(L27&lt;&gt;"",VLOOKUP($B27,Invulblad!$A$11:$S$103,7,0),"")</f>
        <v>2</v>
      </c>
      <c r="N27" s="209" t="s">
        <v>29</v>
      </c>
      <c r="O27" s="211">
        <f>IF(L27&lt;&gt;"",VLOOKUP($B27,Invulblad!$A$11:$S$103,9,0),"")</f>
        <v>0</v>
      </c>
      <c r="P27" s="212">
        <f t="shared" si="7"/>
        <v>5</v>
      </c>
    </row>
    <row r="28" spans="1:16">
      <c r="A28" s="188">
        <v>15</v>
      </c>
      <c r="B28" s="201" t="s">
        <v>31</v>
      </c>
      <c r="C28" s="337"/>
      <c r="D28" s="337"/>
      <c r="H28" s="367"/>
      <c r="I28" s="367"/>
      <c r="J28" s="367"/>
      <c r="K28" s="213" t="str">
        <f t="shared" si="5"/>
        <v/>
      </c>
      <c r="L28" s="210"/>
      <c r="M28" s="211" t="str">
        <f>IF(L28&lt;&gt;"",VLOOKUP($B28,Invulblad!$A$11:$S$103,7,0),"")</f>
        <v/>
      </c>
      <c r="N28" s="209"/>
      <c r="O28" s="211" t="str">
        <f>IF(L28&lt;&gt;"",VLOOKUP($B28,Invulblad!$A$11:$S$103,9,0),"")</f>
        <v/>
      </c>
    </row>
    <row r="29" spans="1:16">
      <c r="B29" s="201" t="s">
        <v>272</v>
      </c>
      <c r="C29" s="337" t="s">
        <v>420</v>
      </c>
      <c r="D29" s="337" t="s">
        <v>421</v>
      </c>
      <c r="E29" s="189" t="s">
        <v>145</v>
      </c>
      <c r="F29" s="189" t="s">
        <v>29</v>
      </c>
      <c r="G29" s="189" t="s">
        <v>145</v>
      </c>
      <c r="H29" s="365" t="s">
        <v>93</v>
      </c>
      <c r="I29" s="365"/>
      <c r="J29" s="365"/>
      <c r="K29" s="213"/>
      <c r="L29" s="210"/>
      <c r="M29" s="211"/>
      <c r="N29" s="209"/>
      <c r="O29" s="211"/>
    </row>
    <row r="30" spans="1:16">
      <c r="A30" s="188">
        <v>17</v>
      </c>
      <c r="B30" s="195">
        <v>5</v>
      </c>
      <c r="C30" s="336">
        <v>41804</v>
      </c>
      <c r="D30" s="338">
        <v>0.75</v>
      </c>
      <c r="E30" s="189" t="s">
        <v>428</v>
      </c>
      <c r="F30" s="189" t="s">
        <v>29</v>
      </c>
      <c r="G30" s="189" t="s">
        <v>105</v>
      </c>
      <c r="H30" s="366">
        <v>2</v>
      </c>
      <c r="I30" s="366" t="s">
        <v>29</v>
      </c>
      <c r="J30" s="366">
        <v>0</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6">
        <v>41805</v>
      </c>
      <c r="D31" s="338">
        <v>0.125</v>
      </c>
      <c r="E31" s="189" t="s">
        <v>123</v>
      </c>
      <c r="F31" s="189" t="s">
        <v>29</v>
      </c>
      <c r="G31" s="189" t="s">
        <v>120</v>
      </c>
      <c r="H31" s="366">
        <v>3</v>
      </c>
      <c r="I31" s="366" t="s">
        <v>29</v>
      </c>
      <c r="J31" s="366">
        <v>1</v>
      </c>
      <c r="K31" s="212" t="str">
        <f t="shared" si="5"/>
        <v>1</v>
      </c>
      <c r="L31" s="210" t="str">
        <f>VLOOKUP($B31,Invulblad!$A$11:$S$103,13,0)</f>
        <v>1</v>
      </c>
      <c r="M31" s="211">
        <f>IF(L31&lt;&gt;"",VLOOKUP($B31,Invulblad!$A$11:$S$103,7,0),"")</f>
        <v>2</v>
      </c>
      <c r="N31" s="209" t="s">
        <v>29</v>
      </c>
      <c r="O31" s="211">
        <f>IF(L31&lt;&gt;"",VLOOKUP($B31,Invulblad!$A$11:$S$103,9,0),"")</f>
        <v>1</v>
      </c>
      <c r="P31" s="212">
        <f t="shared" si="8"/>
        <v>5</v>
      </c>
    </row>
    <row r="32" spans="1:16">
      <c r="A32" s="188">
        <v>19</v>
      </c>
      <c r="B32" s="195">
        <v>21</v>
      </c>
      <c r="C32" s="336">
        <v>41809</v>
      </c>
      <c r="D32" s="338">
        <v>0.75</v>
      </c>
      <c r="E32" s="189" t="s">
        <v>428</v>
      </c>
      <c r="F32" s="189" t="s">
        <v>29</v>
      </c>
      <c r="G32" s="189" t="s">
        <v>125</v>
      </c>
      <c r="H32" s="366">
        <v>1</v>
      </c>
      <c r="I32" s="366" t="s">
        <v>29</v>
      </c>
      <c r="J32" s="366">
        <v>2</v>
      </c>
      <c r="K32" s="212">
        <f t="shared" si="5"/>
        <v>2</v>
      </c>
      <c r="L32" s="210" t="str">
        <f>VLOOKUP($B32,Invulblad!$A$11:$S$103,13,0)</f>
        <v>1</v>
      </c>
      <c r="M32" s="211">
        <f>IF(L32&lt;&gt;"",VLOOKUP($B32,Invulblad!$A$11:$S$103,7,0),"")</f>
        <v>2</v>
      </c>
      <c r="N32" s="209" t="s">
        <v>29</v>
      </c>
      <c r="O32" s="211">
        <f>IF(L32&lt;&gt;"",VLOOKUP($B32,Invulblad!$A$11:$S$103,9,0),"")</f>
        <v>1</v>
      </c>
      <c r="P32" s="212">
        <f t="shared" si="8"/>
        <v>0</v>
      </c>
    </row>
    <row r="33" spans="1:16">
      <c r="A33" s="188">
        <v>20</v>
      </c>
      <c r="B33" s="195">
        <v>22</v>
      </c>
      <c r="C33" s="336">
        <v>41810</v>
      </c>
      <c r="D33" s="338">
        <v>0</v>
      </c>
      <c r="E33" s="189" t="s">
        <v>118</v>
      </c>
      <c r="F33" s="189" t="s">
        <v>29</v>
      </c>
      <c r="G33" s="189" t="s">
        <v>105</v>
      </c>
      <c r="H33" s="366">
        <v>1</v>
      </c>
      <c r="I33" s="366" t="s">
        <v>29</v>
      </c>
      <c r="J33" s="366">
        <v>0</v>
      </c>
      <c r="K33" s="212" t="str">
        <f t="shared" si="5"/>
        <v>1</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6">
        <v>41814</v>
      </c>
      <c r="D34" s="338">
        <v>0.91666666666666663</v>
      </c>
      <c r="E34" s="189" t="s">
        <v>118</v>
      </c>
      <c r="F34" s="189" t="s">
        <v>29</v>
      </c>
      <c r="G34" s="189" t="s">
        <v>429</v>
      </c>
      <c r="H34" s="366">
        <v>0</v>
      </c>
      <c r="I34" s="366" t="s">
        <v>29</v>
      </c>
      <c r="J34" s="366">
        <v>1</v>
      </c>
      <c r="K34" s="212">
        <f t="shared" si="5"/>
        <v>2</v>
      </c>
      <c r="L34" s="210">
        <f>VLOOKUP($B34,Invulblad!$A$11:$S$103,13,0)</f>
        <v>2</v>
      </c>
      <c r="M34" s="211">
        <f>IF(L34&lt;&gt;"",VLOOKUP($B34,Invulblad!$A$11:$S$103,7,0),"")</f>
        <v>1</v>
      </c>
      <c r="N34" s="209" t="s">
        <v>29</v>
      </c>
      <c r="O34" s="211">
        <f>IF(L34&lt;&gt;"",VLOOKUP($B34,Invulblad!$A$11:$S$103,9,0),"")</f>
        <v>4</v>
      </c>
      <c r="P34" s="212">
        <f t="shared" si="8"/>
        <v>5</v>
      </c>
    </row>
    <row r="35" spans="1:16">
      <c r="A35" s="188">
        <v>22</v>
      </c>
      <c r="B35" s="195">
        <v>38</v>
      </c>
      <c r="C35" s="336">
        <v>41814</v>
      </c>
      <c r="D35" s="338">
        <v>0.91666666666666663</v>
      </c>
      <c r="E35" s="189" t="s">
        <v>233</v>
      </c>
      <c r="F35" s="189" t="s">
        <v>29</v>
      </c>
      <c r="G35" s="189" t="s">
        <v>125</v>
      </c>
      <c r="H35" s="366">
        <v>0</v>
      </c>
      <c r="I35" s="366" t="s">
        <v>29</v>
      </c>
      <c r="J35" s="366">
        <v>2</v>
      </c>
      <c r="K35" s="212">
        <f t="shared" si="5"/>
        <v>2</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C36" s="337"/>
      <c r="D36" s="337"/>
      <c r="H36" s="367"/>
      <c r="I36" s="367"/>
      <c r="J36" s="367"/>
      <c r="K36" s="213" t="str">
        <f t="shared" si="5"/>
        <v/>
      </c>
      <c r="L36" s="210"/>
      <c r="M36" s="211" t="str">
        <f>IF(L36&lt;&gt;"",VLOOKUP($B36,Invulblad!$A$11:$S$103,7,0),"")</f>
        <v/>
      </c>
      <c r="N36" s="209"/>
      <c r="O36" s="211" t="str">
        <f>IF(L36&lt;&gt;"",VLOOKUP($B36,Invulblad!$A$11:$S$103,9,0),"")</f>
        <v/>
      </c>
    </row>
    <row r="37" spans="1:16">
      <c r="B37" s="201" t="s">
        <v>272</v>
      </c>
      <c r="C37" s="337" t="s">
        <v>420</v>
      </c>
      <c r="D37" s="337" t="s">
        <v>421</v>
      </c>
      <c r="E37" s="189" t="s">
        <v>145</v>
      </c>
      <c r="F37" s="189" t="s">
        <v>29</v>
      </c>
      <c r="G37" s="189" t="s">
        <v>145</v>
      </c>
      <c r="H37" s="365" t="s">
        <v>93</v>
      </c>
      <c r="I37" s="365"/>
      <c r="J37" s="365"/>
      <c r="K37" s="213"/>
      <c r="L37" s="210"/>
      <c r="M37" s="211"/>
      <c r="N37" s="209"/>
      <c r="O37" s="211"/>
    </row>
    <row r="38" spans="1:16">
      <c r="A38" s="188">
        <v>25</v>
      </c>
      <c r="B38" s="195">
        <v>7</v>
      </c>
      <c r="C38" s="336">
        <v>41804</v>
      </c>
      <c r="D38" s="338">
        <v>0.875</v>
      </c>
      <c r="E38" s="189" t="s">
        <v>231</v>
      </c>
      <c r="F38" s="189" t="s">
        <v>29</v>
      </c>
      <c r="G38" s="189" t="s">
        <v>430</v>
      </c>
      <c r="H38" s="366">
        <v>2</v>
      </c>
      <c r="I38" s="366" t="s">
        <v>29</v>
      </c>
      <c r="J38" s="366">
        <v>0</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6">
        <v>41805</v>
      </c>
      <c r="D39" s="338">
        <v>0</v>
      </c>
      <c r="E39" s="189" t="s">
        <v>235</v>
      </c>
      <c r="F39" s="189" t="s">
        <v>29</v>
      </c>
      <c r="G39" s="189" t="s">
        <v>563</v>
      </c>
      <c r="H39" s="366">
        <v>1</v>
      </c>
      <c r="I39" s="366" t="s">
        <v>29</v>
      </c>
      <c r="J39" s="366">
        <v>2</v>
      </c>
      <c r="K39" s="212">
        <f t="shared" si="5"/>
        <v>2</v>
      </c>
      <c r="L39" s="210">
        <f>VLOOKUP($B39,Invulblad!$A$11:$S$103,13,0)</f>
        <v>2</v>
      </c>
      <c r="M39" s="211">
        <f>IF(L39&lt;&gt;"",VLOOKUP($B39,Invulblad!$A$11:$S$103,7,0),"")</f>
        <v>1</v>
      </c>
      <c r="N39" s="209" t="s">
        <v>29</v>
      </c>
      <c r="O39" s="211">
        <f>IF(L39&lt;&gt;"",VLOOKUP($B39,Invulblad!$A$11:$S$103,9,0),"")</f>
        <v>2</v>
      </c>
      <c r="P39" s="212">
        <f t="shared" si="9"/>
        <v>10</v>
      </c>
    </row>
    <row r="40" spans="1:16">
      <c r="A40" s="188">
        <v>27</v>
      </c>
      <c r="B40" s="195">
        <v>23</v>
      </c>
      <c r="C40" s="336">
        <v>41809</v>
      </c>
      <c r="D40" s="338">
        <v>0.875</v>
      </c>
      <c r="E40" s="189" t="s">
        <v>231</v>
      </c>
      <c r="F40" s="189" t="s">
        <v>29</v>
      </c>
      <c r="G40" s="189" t="s">
        <v>112</v>
      </c>
      <c r="H40" s="366">
        <v>1</v>
      </c>
      <c r="I40" s="366" t="s">
        <v>29</v>
      </c>
      <c r="J40" s="366">
        <v>0</v>
      </c>
      <c r="K40" s="212" t="str">
        <f t="shared" si="5"/>
        <v>1</v>
      </c>
      <c r="L40" s="210" t="str">
        <f>VLOOKUP($B40,Invulblad!$A$11:$S$103,13,0)</f>
        <v>1</v>
      </c>
      <c r="M40" s="211">
        <f>IF(L40&lt;&gt;"",VLOOKUP($B40,Invulblad!$A$11:$S$103,7,0),"")</f>
        <v>2</v>
      </c>
      <c r="N40" s="209" t="s">
        <v>29</v>
      </c>
      <c r="O40" s="211">
        <f>IF(L40&lt;&gt;"",VLOOKUP($B40,Invulblad!$A$11:$S$103,9,0),"")</f>
        <v>1</v>
      </c>
      <c r="P40" s="212">
        <f t="shared" si="9"/>
        <v>5</v>
      </c>
    </row>
    <row r="41" spans="1:16">
      <c r="A41" s="188">
        <v>28</v>
      </c>
      <c r="B41" s="195">
        <v>24</v>
      </c>
      <c r="C41" s="336">
        <v>41810</v>
      </c>
      <c r="D41" s="338">
        <v>0.75</v>
      </c>
      <c r="E41" s="189" t="s">
        <v>564</v>
      </c>
      <c r="F41" s="189" t="s">
        <v>29</v>
      </c>
      <c r="G41" s="189" t="s">
        <v>430</v>
      </c>
      <c r="H41" s="366">
        <v>2</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6">
        <v>41814</v>
      </c>
      <c r="D42" s="338">
        <v>0.75</v>
      </c>
      <c r="E42" s="189" t="s">
        <v>564</v>
      </c>
      <c r="F42" s="189" t="s">
        <v>29</v>
      </c>
      <c r="G42" s="189" t="s">
        <v>99</v>
      </c>
      <c r="H42" s="366">
        <v>2</v>
      </c>
      <c r="I42" s="366" t="s">
        <v>29</v>
      </c>
      <c r="J42" s="366">
        <v>1</v>
      </c>
      <c r="K42" s="212" t="str">
        <f t="shared" si="5"/>
        <v>1</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6">
        <v>41814</v>
      </c>
      <c r="D43" s="338">
        <v>0.75</v>
      </c>
      <c r="E43" s="189" t="s">
        <v>433</v>
      </c>
      <c r="F43" s="189" t="s">
        <v>29</v>
      </c>
      <c r="G43" s="189" t="s">
        <v>112</v>
      </c>
      <c r="H43" s="366">
        <v>1</v>
      </c>
      <c r="I43" s="366" t="s">
        <v>29</v>
      </c>
      <c r="J43" s="366">
        <v>2</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C44" s="337"/>
      <c r="D44" s="337"/>
      <c r="H44" s="367"/>
      <c r="I44" s="367"/>
      <c r="J44" s="367"/>
      <c r="K44" s="213" t="str">
        <f t="shared" si="5"/>
        <v/>
      </c>
      <c r="L44" s="210"/>
      <c r="M44" s="211" t="str">
        <f>IF(L44&lt;&gt;"",VLOOKUP($B44,Invulblad!$A$11:$S$103,7,0),"")</f>
        <v/>
      </c>
      <c r="N44" s="209"/>
      <c r="O44" s="211" t="str">
        <f>IF(L44&lt;&gt;"",VLOOKUP($B44,Invulblad!$A$11:$S$103,9,0),"")</f>
        <v/>
      </c>
    </row>
    <row r="45" spans="1:16">
      <c r="B45" s="201" t="s">
        <v>272</v>
      </c>
      <c r="C45" s="337" t="s">
        <v>420</v>
      </c>
      <c r="D45" s="337" t="s">
        <v>421</v>
      </c>
      <c r="E45" s="189" t="s">
        <v>145</v>
      </c>
      <c r="F45" s="189" t="s">
        <v>29</v>
      </c>
      <c r="G45" s="189" t="s">
        <v>145</v>
      </c>
      <c r="H45" s="365" t="s">
        <v>93</v>
      </c>
      <c r="I45" s="365"/>
      <c r="J45" s="365"/>
      <c r="K45" s="213"/>
      <c r="L45" s="210"/>
      <c r="M45" s="211"/>
      <c r="N45" s="209"/>
      <c r="O45" s="211"/>
    </row>
    <row r="46" spans="1:16">
      <c r="A46" s="188">
        <v>33</v>
      </c>
      <c r="B46" s="195">
        <v>9</v>
      </c>
      <c r="C46" s="336">
        <v>41805</v>
      </c>
      <c r="D46" s="338">
        <v>0.75</v>
      </c>
      <c r="E46" s="189" t="s">
        <v>134</v>
      </c>
      <c r="F46" s="189" t="s">
        <v>29</v>
      </c>
      <c r="G46" s="189" t="s">
        <v>434</v>
      </c>
      <c r="H46" s="366">
        <v>4</v>
      </c>
      <c r="I46" s="366" t="s">
        <v>29</v>
      </c>
      <c r="J46" s="366">
        <v>0</v>
      </c>
      <c r="K46" s="212" t="str">
        <f t="shared" si="5"/>
        <v>1</v>
      </c>
      <c r="L46" s="210" t="str">
        <f>VLOOKUP($B46,Invulblad!$A$11:$S$103,13,0)</f>
        <v>1</v>
      </c>
      <c r="M46" s="211">
        <f>IF(L46&lt;&gt;"",VLOOKUP($B46,Invulblad!$A$11:$S$103,7,0),"")</f>
        <v>2</v>
      </c>
      <c r="N46" s="209" t="s">
        <v>29</v>
      </c>
      <c r="O46" s="211">
        <f>IF(L46&lt;&gt;"",VLOOKUP($B46,Invulblad!$A$11:$S$103,9,0),"")</f>
        <v>1</v>
      </c>
      <c r="P46" s="212">
        <f t="shared" ref="P46:P51" si="10">IF(L46&lt;&gt;"",IF(AND(M46=H46,O46=J46),10,IF(K46=L46,5,0)),"")</f>
        <v>5</v>
      </c>
    </row>
    <row r="47" spans="1:16">
      <c r="A47" s="188">
        <v>34</v>
      </c>
      <c r="B47" s="195">
        <v>10</v>
      </c>
      <c r="C47" s="336">
        <v>41805</v>
      </c>
      <c r="D47" s="338">
        <v>0.875</v>
      </c>
      <c r="E47" s="189" t="s">
        <v>100</v>
      </c>
      <c r="F47" s="189" t="s">
        <v>29</v>
      </c>
      <c r="G47" s="189" t="s">
        <v>132</v>
      </c>
      <c r="H47" s="366">
        <v>3</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10</v>
      </c>
    </row>
    <row r="48" spans="1:16">
      <c r="A48" s="188">
        <v>35</v>
      </c>
      <c r="B48" s="195">
        <v>25</v>
      </c>
      <c r="C48" s="336">
        <v>41810</v>
      </c>
      <c r="D48" s="338">
        <v>0.875</v>
      </c>
      <c r="E48" s="189" t="s">
        <v>134</v>
      </c>
      <c r="F48" s="189" t="s">
        <v>29</v>
      </c>
      <c r="G48" s="189" t="s">
        <v>98</v>
      </c>
      <c r="H48" s="366">
        <v>1</v>
      </c>
      <c r="I48" s="366" t="s">
        <v>29</v>
      </c>
      <c r="J48" s="366">
        <v>2</v>
      </c>
      <c r="K48" s="212">
        <f t="shared" si="5"/>
        <v>2</v>
      </c>
      <c r="L48" s="210">
        <f>VLOOKUP($B48,Invulblad!$A$11:$S$103,13,0)</f>
        <v>2</v>
      </c>
      <c r="M48" s="211">
        <f>IF(L48&lt;&gt;"",VLOOKUP($B48,Invulblad!$A$11:$S$103,7,0),"")</f>
        <v>2</v>
      </c>
      <c r="N48" s="209" t="s">
        <v>29</v>
      </c>
      <c r="O48" s="211">
        <f>IF(L48&lt;&gt;"",VLOOKUP($B48,Invulblad!$A$11:$S$103,9,0),"")</f>
        <v>5</v>
      </c>
      <c r="P48" s="212">
        <f t="shared" si="10"/>
        <v>5</v>
      </c>
    </row>
    <row r="49" spans="1:16">
      <c r="A49" s="188">
        <v>36</v>
      </c>
      <c r="B49" s="195">
        <v>26</v>
      </c>
      <c r="C49" s="336">
        <v>41811</v>
      </c>
      <c r="D49" s="338">
        <v>0</v>
      </c>
      <c r="E49" s="189" t="s">
        <v>127</v>
      </c>
      <c r="F49" s="189" t="s">
        <v>29</v>
      </c>
      <c r="G49" s="189" t="s">
        <v>434</v>
      </c>
      <c r="H49" s="366">
        <v>1</v>
      </c>
      <c r="I49" s="366" t="s">
        <v>29</v>
      </c>
      <c r="J49" s="366">
        <v>0</v>
      </c>
      <c r="K49" s="212" t="str">
        <f t="shared" si="5"/>
        <v>1</v>
      </c>
      <c r="L49" s="210">
        <f>VLOOKUP($B49,Invulblad!$A$11:$S$103,13,0)</f>
        <v>2</v>
      </c>
      <c r="M49" s="211">
        <f>IF(L49&lt;&gt;"",VLOOKUP($B49,Invulblad!$A$11:$S$103,7,0),"")</f>
        <v>1</v>
      </c>
      <c r="N49" s="209" t="s">
        <v>29</v>
      </c>
      <c r="O49" s="211">
        <f>IF(L49&lt;&gt;"",VLOOKUP($B49,Invulblad!$A$11:$S$103,9,0),"")</f>
        <v>2</v>
      </c>
      <c r="P49" s="212">
        <f t="shared" si="10"/>
        <v>0</v>
      </c>
    </row>
    <row r="50" spans="1:16">
      <c r="A50" s="188">
        <v>37</v>
      </c>
      <c r="B50" s="195">
        <v>41</v>
      </c>
      <c r="C50" s="336">
        <v>41815</v>
      </c>
      <c r="D50" s="338">
        <v>0.91666666666666663</v>
      </c>
      <c r="E50" s="189" t="s">
        <v>127</v>
      </c>
      <c r="F50" s="189" t="s">
        <v>29</v>
      </c>
      <c r="G50" s="189" t="s">
        <v>130</v>
      </c>
      <c r="H50" s="366">
        <v>0</v>
      </c>
      <c r="I50" s="366" t="s">
        <v>29</v>
      </c>
      <c r="J50" s="366">
        <v>2</v>
      </c>
      <c r="K50" s="212">
        <f t="shared" si="5"/>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6">
        <v>41815</v>
      </c>
      <c r="D51" s="338">
        <v>0.91666666666666663</v>
      </c>
      <c r="E51" s="189" t="s">
        <v>435</v>
      </c>
      <c r="F51" s="189" t="s">
        <v>29</v>
      </c>
      <c r="G51" s="189" t="s">
        <v>98</v>
      </c>
      <c r="H51" s="366">
        <v>0</v>
      </c>
      <c r="I51" s="366" t="s">
        <v>29</v>
      </c>
      <c r="J51" s="366">
        <v>5</v>
      </c>
      <c r="K51" s="212">
        <f t="shared" si="5"/>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C52" s="337"/>
      <c r="D52" s="337"/>
      <c r="H52" s="367"/>
      <c r="I52" s="367"/>
      <c r="J52" s="367"/>
      <c r="K52" s="213" t="str">
        <f t="shared" si="5"/>
        <v/>
      </c>
      <c r="L52" s="210"/>
      <c r="M52" s="211" t="str">
        <f>IF(L52&lt;&gt;"",VLOOKUP($B52,Invulblad!$A$11:$S$103,7,0),"")</f>
        <v/>
      </c>
      <c r="N52" s="209"/>
      <c r="O52" s="211" t="str">
        <f>IF(L52&lt;&gt;"",VLOOKUP($B52,Invulblad!$A$11:$S$103,9,0),"")</f>
        <v/>
      </c>
    </row>
    <row r="53" spans="1:16">
      <c r="B53" s="201" t="s">
        <v>272</v>
      </c>
      <c r="C53" s="337" t="s">
        <v>420</v>
      </c>
      <c r="D53" s="337" t="s">
        <v>421</v>
      </c>
      <c r="E53" s="189" t="s">
        <v>145</v>
      </c>
      <c r="F53" s="189" t="s">
        <v>29</v>
      </c>
      <c r="G53" s="189" t="s">
        <v>145</v>
      </c>
      <c r="H53" s="365" t="s">
        <v>93</v>
      </c>
      <c r="I53" s="365"/>
      <c r="J53" s="365"/>
      <c r="K53" s="213"/>
      <c r="L53" s="210"/>
      <c r="M53" s="211"/>
      <c r="N53" s="209"/>
      <c r="O53" s="211"/>
    </row>
    <row r="54" spans="1:16">
      <c r="A54" s="188">
        <v>41</v>
      </c>
      <c r="B54" s="195">
        <v>11</v>
      </c>
      <c r="C54" s="336">
        <v>41806</v>
      </c>
      <c r="D54" s="338">
        <v>0</v>
      </c>
      <c r="E54" s="189" t="s">
        <v>565</v>
      </c>
      <c r="F54" s="189" t="s">
        <v>29</v>
      </c>
      <c r="G54" s="189" t="s">
        <v>566</v>
      </c>
      <c r="H54" s="366">
        <v>2</v>
      </c>
      <c r="I54" s="366" t="s">
        <v>29</v>
      </c>
      <c r="J54" s="366">
        <v>0</v>
      </c>
      <c r="K54" s="212" t="str">
        <f t="shared" si="5"/>
        <v>1</v>
      </c>
      <c r="L54" s="210" t="str">
        <f>VLOOKUP($B54,Invulblad!$A$11:$S$103,13,0)</f>
        <v>1</v>
      </c>
      <c r="M54" s="211">
        <f>IF(L54&lt;&gt;"",VLOOKUP($B54,Invulblad!$A$11:$S$103,7,0),"")</f>
        <v>2</v>
      </c>
      <c r="N54" s="209" t="s">
        <v>29</v>
      </c>
      <c r="O54" s="211">
        <f>IF(L54&lt;&gt;"",VLOOKUP($B54,Invulblad!$A$11:$S$103,9,0),"")</f>
        <v>1</v>
      </c>
      <c r="P54" s="212">
        <f t="shared" ref="P54:P59" si="11">IF(L54&lt;&gt;"",IF(AND(M54=H54,O54=J54),10,IF(K54=L54,5,0)),"")</f>
        <v>5</v>
      </c>
    </row>
    <row r="55" spans="1:16">
      <c r="A55" s="188">
        <v>42</v>
      </c>
      <c r="B55" s="195">
        <v>12</v>
      </c>
      <c r="C55" s="336">
        <v>41806</v>
      </c>
      <c r="D55" s="338">
        <v>0.875</v>
      </c>
      <c r="E55" s="189" t="s">
        <v>438</v>
      </c>
      <c r="F55" s="189" t="s">
        <v>29</v>
      </c>
      <c r="G55" s="189" t="s">
        <v>103</v>
      </c>
      <c r="H55" s="366">
        <v>1</v>
      </c>
      <c r="I55" s="366" t="s">
        <v>29</v>
      </c>
      <c r="J55" s="366">
        <v>3</v>
      </c>
      <c r="K55" s="212">
        <f t="shared" si="5"/>
        <v>2</v>
      </c>
      <c r="L55" s="210">
        <f>VLOOKUP($B55,Invulblad!$A$11:$S$103,13,0)</f>
        <v>3</v>
      </c>
      <c r="M55" s="211">
        <f>IF(L55&lt;&gt;"",VLOOKUP($B55,Invulblad!$A$11:$S$103,7,0),"")</f>
        <v>0</v>
      </c>
      <c r="N55" s="209" t="s">
        <v>29</v>
      </c>
      <c r="O55" s="211">
        <f>IF(L55&lt;&gt;"",VLOOKUP($B55,Invulblad!$A$11:$S$103,9,0),"")</f>
        <v>0</v>
      </c>
      <c r="P55" s="212">
        <f t="shared" si="11"/>
        <v>0</v>
      </c>
    </row>
    <row r="56" spans="1:16">
      <c r="A56" s="188">
        <v>43</v>
      </c>
      <c r="B56" s="195">
        <v>27</v>
      </c>
      <c r="C56" s="336">
        <v>41811</v>
      </c>
      <c r="D56" s="338">
        <v>0.75</v>
      </c>
      <c r="E56" s="189" t="s">
        <v>565</v>
      </c>
      <c r="F56" s="189" t="s">
        <v>29</v>
      </c>
      <c r="G56" s="189" t="s">
        <v>439</v>
      </c>
      <c r="H56" s="366">
        <v>2</v>
      </c>
      <c r="I56" s="366" t="s">
        <v>29</v>
      </c>
      <c r="J56" s="366">
        <v>0</v>
      </c>
      <c r="K56" s="212" t="str">
        <f t="shared" si="5"/>
        <v>1</v>
      </c>
      <c r="L56" s="210" t="str">
        <f>VLOOKUP($B56,Invulblad!$A$11:$S$103,13,0)</f>
        <v>1</v>
      </c>
      <c r="M56" s="211">
        <f>IF(L56&lt;&gt;"",VLOOKUP($B56,Invulblad!$A$11:$S$103,7,0),"")</f>
        <v>1</v>
      </c>
      <c r="N56" s="209" t="s">
        <v>29</v>
      </c>
      <c r="O56" s="211">
        <f>IF(L56&lt;&gt;"",VLOOKUP($B56,Invulblad!$A$11:$S$103,9,0),"")</f>
        <v>0</v>
      </c>
      <c r="P56" s="212">
        <f t="shared" si="11"/>
        <v>5</v>
      </c>
    </row>
    <row r="57" spans="1:16">
      <c r="A57" s="188">
        <v>44</v>
      </c>
      <c r="B57" s="195">
        <v>28</v>
      </c>
      <c r="C57" s="336">
        <v>41812</v>
      </c>
      <c r="D57" s="338">
        <v>0</v>
      </c>
      <c r="E57" s="189" t="s">
        <v>234</v>
      </c>
      <c r="F57" s="189" t="s">
        <v>29</v>
      </c>
      <c r="G57" s="189" t="s">
        <v>566</v>
      </c>
      <c r="H57" s="366">
        <v>1</v>
      </c>
      <c r="I57" s="366" t="s">
        <v>29</v>
      </c>
      <c r="J57" s="366">
        <v>2</v>
      </c>
      <c r="K57" s="212">
        <f t="shared" si="5"/>
        <v>2</v>
      </c>
      <c r="L57" s="210" t="str">
        <f>VLOOKUP($B57,Invulblad!$A$11:$S$103,13,0)</f>
        <v>1</v>
      </c>
      <c r="M57" s="211">
        <f>IF(L57&lt;&gt;"",VLOOKUP($B57,Invulblad!$A$11:$S$103,7,0),"")</f>
        <v>1</v>
      </c>
      <c r="N57" s="209" t="s">
        <v>29</v>
      </c>
      <c r="O57" s="211">
        <f>IF(L57&lt;&gt;"",VLOOKUP($B57,Invulblad!$A$11:$S$103,9,0),"")</f>
        <v>0</v>
      </c>
      <c r="P57" s="212">
        <f t="shared" si="11"/>
        <v>0</v>
      </c>
    </row>
    <row r="58" spans="1:16">
      <c r="A58" s="188">
        <v>45</v>
      </c>
      <c r="B58" s="195">
        <v>43</v>
      </c>
      <c r="C58" s="336">
        <v>41815</v>
      </c>
      <c r="D58" s="338">
        <v>0.75</v>
      </c>
      <c r="E58" s="189" t="s">
        <v>234</v>
      </c>
      <c r="F58" s="189" t="s">
        <v>29</v>
      </c>
      <c r="G58" s="189" t="s">
        <v>567</v>
      </c>
      <c r="H58" s="366">
        <v>0</v>
      </c>
      <c r="I58" s="366" t="s">
        <v>29</v>
      </c>
      <c r="J58" s="366">
        <v>2</v>
      </c>
      <c r="K58" s="212">
        <f t="shared" si="5"/>
        <v>2</v>
      </c>
      <c r="L58" s="210">
        <f>VLOOKUP($B58,Invulblad!$A$11:$S$103,13,0)</f>
        <v>2</v>
      </c>
      <c r="M58" s="211">
        <f>IF(L58&lt;&gt;"",VLOOKUP($B58,Invulblad!$A$11:$S$103,7,0),"")</f>
        <v>2</v>
      </c>
      <c r="N58" s="209" t="s">
        <v>29</v>
      </c>
      <c r="O58" s="211">
        <f>IF(L58&lt;&gt;"",VLOOKUP($B58,Invulblad!$A$11:$S$103,9,0),"")</f>
        <v>3</v>
      </c>
      <c r="P58" s="212">
        <f t="shared" si="11"/>
        <v>5</v>
      </c>
    </row>
    <row r="59" spans="1:16">
      <c r="A59" s="188">
        <v>46</v>
      </c>
      <c r="B59" s="195">
        <v>44</v>
      </c>
      <c r="C59" s="336">
        <v>41815</v>
      </c>
      <c r="D59" s="338">
        <v>0.75</v>
      </c>
      <c r="E59" s="189" t="s">
        <v>568</v>
      </c>
      <c r="F59" s="189" t="s">
        <v>29</v>
      </c>
      <c r="G59" s="189" t="s">
        <v>439</v>
      </c>
      <c r="H59" s="366">
        <v>2</v>
      </c>
      <c r="I59" s="366" t="s">
        <v>29</v>
      </c>
      <c r="J59" s="366">
        <v>1</v>
      </c>
      <c r="K59" s="212" t="str">
        <f t="shared" si="5"/>
        <v>1</v>
      </c>
      <c r="L59" s="210" t="str">
        <f>VLOOKUP($B59,Invulblad!$A$11:$S$103,13,0)</f>
        <v>1</v>
      </c>
      <c r="M59" s="211">
        <f>IF(L59&lt;&gt;"",VLOOKUP($B59,Invulblad!$A$11:$S$103,7,0),"")</f>
        <v>3</v>
      </c>
      <c r="N59" s="209" t="s">
        <v>29</v>
      </c>
      <c r="O59" s="211">
        <f>IF(L59&lt;&gt;"",VLOOKUP($B59,Invulblad!$A$11:$S$103,9,0),"")</f>
        <v>1</v>
      </c>
      <c r="P59" s="212">
        <f t="shared" si="11"/>
        <v>5</v>
      </c>
    </row>
    <row r="60" spans="1:16">
      <c r="A60" s="188">
        <v>47</v>
      </c>
      <c r="B60" s="201" t="s">
        <v>36</v>
      </c>
      <c r="C60" s="337"/>
      <c r="D60" s="337"/>
      <c r="H60" s="367"/>
      <c r="I60" s="367"/>
      <c r="J60" s="367"/>
      <c r="K60" s="213" t="str">
        <f t="shared" si="5"/>
        <v/>
      </c>
      <c r="L60" s="210"/>
      <c r="M60" s="211" t="str">
        <f>IF(L60&lt;&gt;"",VLOOKUP($B60,Invulblad!$A$11:$S$103,7,0),"")</f>
        <v/>
      </c>
      <c r="N60" s="209"/>
      <c r="O60" s="211" t="str">
        <f>IF(L60&lt;&gt;"",VLOOKUP($B60,Invulblad!$A$11:$S$103,9,0),"")</f>
        <v/>
      </c>
    </row>
    <row r="61" spans="1:16">
      <c r="B61" s="201" t="s">
        <v>272</v>
      </c>
      <c r="C61" s="337" t="s">
        <v>420</v>
      </c>
      <c r="D61" s="337" t="s">
        <v>421</v>
      </c>
      <c r="E61" s="189" t="s">
        <v>145</v>
      </c>
      <c r="F61" s="189" t="s">
        <v>29</v>
      </c>
      <c r="G61" s="189" t="s">
        <v>145</v>
      </c>
      <c r="H61" s="365" t="s">
        <v>93</v>
      </c>
      <c r="I61" s="365"/>
      <c r="J61" s="365"/>
      <c r="K61" s="213"/>
      <c r="L61" s="210"/>
      <c r="M61" s="211"/>
      <c r="N61" s="209"/>
      <c r="O61" s="211"/>
    </row>
    <row r="62" spans="1:16">
      <c r="A62" s="188">
        <v>49</v>
      </c>
      <c r="B62" s="195">
        <v>13</v>
      </c>
      <c r="C62" s="336">
        <v>41806</v>
      </c>
      <c r="D62" s="338">
        <v>0.75</v>
      </c>
      <c r="E62" s="189" t="s">
        <v>113</v>
      </c>
      <c r="F62" s="189" t="s">
        <v>29</v>
      </c>
      <c r="G62" s="189" t="s">
        <v>124</v>
      </c>
      <c r="H62" s="366">
        <v>1</v>
      </c>
      <c r="I62" s="366" t="s">
        <v>29</v>
      </c>
      <c r="J62" s="366">
        <v>0</v>
      </c>
      <c r="K62" s="212" t="str">
        <f t="shared" si="5"/>
        <v>1</v>
      </c>
      <c r="L62" s="210" t="str">
        <f>VLOOKUP($B62,Invulblad!$A$11:$S$103,13,0)</f>
        <v>1</v>
      </c>
      <c r="M62" s="211">
        <f>IF(L62&lt;&gt;"",VLOOKUP($B62,Invulblad!$A$11:$S$103,7,0),"")</f>
        <v>4</v>
      </c>
      <c r="N62" s="209" t="s">
        <v>29</v>
      </c>
      <c r="O62" s="211">
        <f>IF(L62&lt;&gt;"",VLOOKUP($B62,Invulblad!$A$11:$S$103,9,0),"")</f>
        <v>0</v>
      </c>
      <c r="P62" s="212">
        <f t="shared" ref="P62:P67" si="12">IF(L62&lt;&gt;"",IF(AND(M62=H62,O62=J62),10,IF(K62=L62,5,0)),"")</f>
        <v>5</v>
      </c>
    </row>
    <row r="63" spans="1:16">
      <c r="A63" s="188">
        <v>50</v>
      </c>
      <c r="B63" s="195">
        <v>14</v>
      </c>
      <c r="C63" s="336">
        <v>41807</v>
      </c>
      <c r="D63" s="338">
        <v>0</v>
      </c>
      <c r="E63" s="189" t="s">
        <v>115</v>
      </c>
      <c r="F63" s="189" t="s">
        <v>29</v>
      </c>
      <c r="G63" s="189" t="s">
        <v>577</v>
      </c>
      <c r="H63" s="366">
        <v>2</v>
      </c>
      <c r="I63" s="366" t="s">
        <v>29</v>
      </c>
      <c r="J63" s="366">
        <v>0</v>
      </c>
      <c r="K63" s="212" t="str">
        <f t="shared" si="5"/>
        <v>1</v>
      </c>
      <c r="L63" s="210">
        <f>VLOOKUP($B63,Invulblad!$A$11:$S$103,13,0)</f>
        <v>2</v>
      </c>
      <c r="M63" s="211">
        <f>IF(L63&lt;&gt;"",VLOOKUP($B63,Invulblad!$A$11:$S$103,7,0),"")</f>
        <v>1</v>
      </c>
      <c r="N63" s="209" t="s">
        <v>29</v>
      </c>
      <c r="O63" s="211">
        <f>IF(L63&lt;&gt;"",VLOOKUP($B63,Invulblad!$A$11:$S$103,9,0),"")</f>
        <v>2</v>
      </c>
      <c r="P63" s="212">
        <f t="shared" si="12"/>
        <v>0</v>
      </c>
    </row>
    <row r="64" spans="1:16">
      <c r="A64" s="188">
        <v>51</v>
      </c>
      <c r="B64" s="195">
        <v>29</v>
      </c>
      <c r="C64" s="336">
        <v>41811</v>
      </c>
      <c r="D64" s="338">
        <v>0.875</v>
      </c>
      <c r="E64" s="189" t="s">
        <v>113</v>
      </c>
      <c r="F64" s="189" t="s">
        <v>29</v>
      </c>
      <c r="G64" s="189" t="s">
        <v>114</v>
      </c>
      <c r="H64" s="366">
        <v>2</v>
      </c>
      <c r="I64" s="366" t="s">
        <v>29</v>
      </c>
      <c r="J64" s="366">
        <v>0</v>
      </c>
      <c r="K64" s="212" t="str">
        <f t="shared" si="5"/>
        <v>1</v>
      </c>
      <c r="L64" s="210">
        <f>VLOOKUP($B64,Invulblad!$A$11:$S$103,13,0)</f>
        <v>3</v>
      </c>
      <c r="M64" s="211">
        <f>IF(L64&lt;&gt;"",VLOOKUP($B64,Invulblad!$A$11:$S$103,7,0),"")</f>
        <v>2</v>
      </c>
      <c r="N64" s="209" t="s">
        <v>29</v>
      </c>
      <c r="O64" s="211">
        <f>IF(L64&lt;&gt;"",VLOOKUP($B64,Invulblad!$A$11:$S$103,9,0),"")</f>
        <v>2</v>
      </c>
      <c r="P64" s="212">
        <f t="shared" si="12"/>
        <v>0</v>
      </c>
    </row>
    <row r="65" spans="1:16">
      <c r="A65" s="188">
        <v>52</v>
      </c>
      <c r="B65" s="195">
        <v>30</v>
      </c>
      <c r="C65" s="336">
        <v>41813</v>
      </c>
      <c r="D65" s="338">
        <v>0</v>
      </c>
      <c r="E65" s="189" t="s">
        <v>578</v>
      </c>
      <c r="F65" s="189" t="s">
        <v>29</v>
      </c>
      <c r="G65" s="189" t="s">
        <v>124</v>
      </c>
      <c r="H65" s="366">
        <v>0</v>
      </c>
      <c r="I65" s="366" t="s">
        <v>29</v>
      </c>
      <c r="J65" s="366">
        <v>3</v>
      </c>
      <c r="K65" s="212">
        <f t="shared" si="5"/>
        <v>2</v>
      </c>
      <c r="L65" s="210">
        <f>VLOOKUP($B65,Invulblad!$A$11:$S$103,13,0)</f>
        <v>3</v>
      </c>
      <c r="M65" s="211">
        <f>IF(L65&lt;&gt;"",VLOOKUP($B65,Invulblad!$A$11:$S$103,7,0),"")</f>
        <v>2</v>
      </c>
      <c r="N65" s="209" t="s">
        <v>29</v>
      </c>
      <c r="O65" s="211">
        <f>IF(L65&lt;&gt;"",VLOOKUP($B65,Invulblad!$A$11:$S$103,9,0),"")</f>
        <v>2</v>
      </c>
      <c r="P65" s="212">
        <f t="shared" si="12"/>
        <v>0</v>
      </c>
    </row>
    <row r="66" spans="1:16">
      <c r="A66" s="188">
        <v>53</v>
      </c>
      <c r="B66" s="195">
        <v>45</v>
      </c>
      <c r="C66" s="336">
        <v>41816</v>
      </c>
      <c r="D66" s="338">
        <v>0.75</v>
      </c>
      <c r="E66" s="189" t="s">
        <v>578</v>
      </c>
      <c r="F66" s="189" t="s">
        <v>29</v>
      </c>
      <c r="G66" s="189" t="s">
        <v>116</v>
      </c>
      <c r="H66" s="366">
        <v>0</v>
      </c>
      <c r="I66" s="366" t="s">
        <v>29</v>
      </c>
      <c r="J66" s="366">
        <v>4</v>
      </c>
      <c r="K66" s="212">
        <f t="shared" si="5"/>
        <v>2</v>
      </c>
      <c r="L66" s="210">
        <f>VLOOKUP($B66,Invulblad!$A$11:$S$103,13,0)</f>
        <v>2</v>
      </c>
      <c r="M66" s="211">
        <f>IF(L66&lt;&gt;"",VLOOKUP($B66,Invulblad!$A$11:$S$103,7,0),"")</f>
        <v>0</v>
      </c>
      <c r="N66" s="209" t="s">
        <v>29</v>
      </c>
      <c r="O66" s="211">
        <f>IF(L66&lt;&gt;"",VLOOKUP($B66,Invulblad!$A$11:$S$103,9,0),"")</f>
        <v>1</v>
      </c>
      <c r="P66" s="212">
        <f t="shared" si="12"/>
        <v>5</v>
      </c>
    </row>
    <row r="67" spans="1:16">
      <c r="A67" s="188">
        <v>54</v>
      </c>
      <c r="B67" s="195">
        <v>46</v>
      </c>
      <c r="C67" s="336">
        <v>41816</v>
      </c>
      <c r="D67" s="338">
        <v>0.75</v>
      </c>
      <c r="E67" s="189" t="s">
        <v>126</v>
      </c>
      <c r="F67" s="189" t="s">
        <v>29</v>
      </c>
      <c r="G67" s="189" t="s">
        <v>114</v>
      </c>
      <c r="H67" s="366">
        <v>1</v>
      </c>
      <c r="I67" s="366" t="s">
        <v>29</v>
      </c>
      <c r="J67" s="366">
        <v>0</v>
      </c>
      <c r="K67" s="212" t="str">
        <f t="shared" si="5"/>
        <v>1</v>
      </c>
      <c r="L67" s="210" t="str">
        <f>VLOOKUP($B67,Invulblad!$A$11:$S$103,13,0)</f>
        <v>1</v>
      </c>
      <c r="M67" s="211">
        <f>IF(L67&lt;&gt;"",VLOOKUP($B67,Invulblad!$A$11:$S$103,7,0),"")</f>
        <v>2</v>
      </c>
      <c r="N67" s="209" t="s">
        <v>29</v>
      </c>
      <c r="O67" s="211">
        <f>IF(L67&lt;&gt;"",VLOOKUP($B67,Invulblad!$A$11:$S$103,9,0),"")</f>
        <v>1</v>
      </c>
      <c r="P67" s="212">
        <f t="shared" si="12"/>
        <v>5</v>
      </c>
    </row>
    <row r="68" spans="1:16">
      <c r="A68" s="188">
        <v>55</v>
      </c>
      <c r="B68" s="201" t="s">
        <v>37</v>
      </c>
      <c r="C68" s="337"/>
      <c r="D68" s="337"/>
      <c r="H68" s="367"/>
      <c r="I68" s="367"/>
      <c r="J68" s="367"/>
      <c r="K68" s="213" t="str">
        <f t="shared" si="5"/>
        <v/>
      </c>
      <c r="L68" s="210"/>
      <c r="M68" s="211" t="str">
        <f>IF(L68&lt;&gt;"",VLOOKUP($B68,Invulblad!$A$11:$S$103,7,0),"")</f>
        <v/>
      </c>
      <c r="N68" s="209"/>
      <c r="O68" s="211" t="str">
        <f>IF(L68&lt;&gt;"",VLOOKUP($B68,Invulblad!$A$11:$S$103,9,0),"")</f>
        <v/>
      </c>
    </row>
    <row r="69" spans="1:16">
      <c r="B69" s="201" t="s">
        <v>272</v>
      </c>
      <c r="C69" s="337" t="s">
        <v>420</v>
      </c>
      <c r="D69" s="337" t="s">
        <v>421</v>
      </c>
      <c r="E69" s="189" t="s">
        <v>145</v>
      </c>
      <c r="F69" s="189" t="s">
        <v>29</v>
      </c>
      <c r="G69" s="189" t="s">
        <v>145</v>
      </c>
      <c r="H69" s="365" t="s">
        <v>93</v>
      </c>
      <c r="I69" s="365"/>
      <c r="J69" s="365"/>
      <c r="K69" s="213"/>
      <c r="L69" s="210"/>
      <c r="M69" s="211"/>
      <c r="N69" s="209"/>
      <c r="O69" s="211"/>
    </row>
    <row r="70" spans="1:16">
      <c r="A70" s="188">
        <v>57</v>
      </c>
      <c r="B70" s="195">
        <v>15</v>
      </c>
      <c r="C70" s="336">
        <v>41807</v>
      </c>
      <c r="D70" s="338">
        <v>0.75</v>
      </c>
      <c r="E70" s="189" t="s">
        <v>569</v>
      </c>
      <c r="F70" s="189" t="s">
        <v>29</v>
      </c>
      <c r="G70" s="189" t="s">
        <v>111</v>
      </c>
      <c r="H70" s="366">
        <v>2</v>
      </c>
      <c r="I70" s="366" t="s">
        <v>29</v>
      </c>
      <c r="J70" s="366">
        <v>0</v>
      </c>
      <c r="K70" s="212" t="str">
        <f t="shared" si="5"/>
        <v>1</v>
      </c>
      <c r="L70" s="210" t="str">
        <f>VLOOKUP($B70,Invulblad!$A$11:$S$103,13,0)</f>
        <v>1</v>
      </c>
      <c r="M70" s="211">
        <f>IF(L70&lt;&gt;"",VLOOKUP($B70,Invulblad!$A$11:$S$103,7,0),"")</f>
        <v>2</v>
      </c>
      <c r="N70" s="209" t="s">
        <v>29</v>
      </c>
      <c r="O70" s="211">
        <f>IF(L70&lt;&gt;"",VLOOKUP($B70,Invulblad!$A$11:$S$103,9,0),"")</f>
        <v>1</v>
      </c>
      <c r="P70" s="212">
        <f t="shared" ref="P70:P75" si="13">IF(L70&lt;&gt;"",IF(AND(M70=H70,O70=J70),10,IF(K70=L70,5,0)),"")</f>
        <v>5</v>
      </c>
    </row>
    <row r="71" spans="1:16">
      <c r="A71" s="188">
        <v>58</v>
      </c>
      <c r="B71" s="195">
        <v>16</v>
      </c>
      <c r="C71" s="336">
        <v>41808</v>
      </c>
      <c r="D71" s="338">
        <v>0</v>
      </c>
      <c r="E71" s="189" t="s">
        <v>445</v>
      </c>
      <c r="F71" s="189" t="s">
        <v>29</v>
      </c>
      <c r="G71" s="189" t="s">
        <v>107</v>
      </c>
      <c r="H71" s="366">
        <v>2</v>
      </c>
      <c r="I71" s="366" t="s">
        <v>29</v>
      </c>
      <c r="J71" s="366">
        <v>0</v>
      </c>
      <c r="K71" s="212" t="str">
        <f t="shared" si="5"/>
        <v>1</v>
      </c>
      <c r="L71" s="210">
        <f>VLOOKUP($B71,Invulblad!$A$11:$S$103,13,0)</f>
        <v>3</v>
      </c>
      <c r="M71" s="211">
        <f>IF(L71&lt;&gt;"",VLOOKUP($B71,Invulblad!$A$11:$S$103,7,0),"")</f>
        <v>1</v>
      </c>
      <c r="N71" s="209" t="s">
        <v>29</v>
      </c>
      <c r="O71" s="211">
        <f>IF(L71&lt;&gt;"",VLOOKUP($B71,Invulblad!$A$11:$S$103,9,0),"")</f>
        <v>1</v>
      </c>
      <c r="P71" s="212">
        <f t="shared" si="13"/>
        <v>0</v>
      </c>
    </row>
    <row r="72" spans="1:16">
      <c r="A72" s="188">
        <v>59</v>
      </c>
      <c r="B72" s="195">
        <v>31</v>
      </c>
      <c r="C72" s="336">
        <v>41812</v>
      </c>
      <c r="D72" s="338">
        <v>0.75</v>
      </c>
      <c r="E72" s="189" t="s">
        <v>569</v>
      </c>
      <c r="F72" s="189" t="s">
        <v>29</v>
      </c>
      <c r="G72" s="189" t="s">
        <v>446</v>
      </c>
      <c r="H72" s="366">
        <v>2</v>
      </c>
      <c r="I72" s="366" t="s">
        <v>29</v>
      </c>
      <c r="J72" s="366">
        <v>0</v>
      </c>
      <c r="K72" s="212" t="str">
        <f t="shared" si="5"/>
        <v>1</v>
      </c>
      <c r="L72" s="210" t="str">
        <f>VLOOKUP($B72,Invulblad!$A$11:$S$103,13,0)</f>
        <v>1</v>
      </c>
      <c r="M72" s="211">
        <f>IF(L72&lt;&gt;"",VLOOKUP($B72,Invulblad!$A$11:$S$103,7,0),"")</f>
        <v>1</v>
      </c>
      <c r="N72" s="209" t="s">
        <v>29</v>
      </c>
      <c r="O72" s="211">
        <f>IF(L72&lt;&gt;"",VLOOKUP($B72,Invulblad!$A$11:$S$103,9,0),"")</f>
        <v>0</v>
      </c>
      <c r="P72" s="212">
        <f t="shared" si="13"/>
        <v>5</v>
      </c>
    </row>
    <row r="73" spans="1:16">
      <c r="A73" s="188">
        <v>60</v>
      </c>
      <c r="B73" s="195">
        <v>32</v>
      </c>
      <c r="C73" s="336">
        <v>41812</v>
      </c>
      <c r="D73" s="338">
        <v>0.875</v>
      </c>
      <c r="E73" s="189" t="s">
        <v>232</v>
      </c>
      <c r="F73" s="189" t="s">
        <v>29</v>
      </c>
      <c r="G73" s="189" t="s">
        <v>111</v>
      </c>
      <c r="H73" s="366">
        <v>0</v>
      </c>
      <c r="I73" s="366" t="s">
        <v>29</v>
      </c>
      <c r="J73" s="366">
        <v>1</v>
      </c>
      <c r="K73" s="212">
        <f t="shared" si="5"/>
        <v>2</v>
      </c>
      <c r="L73" s="210">
        <f>VLOOKUP($B73,Invulblad!$A$11:$S$103,13,0)</f>
        <v>2</v>
      </c>
      <c r="M73" s="211">
        <f>IF(L73&lt;&gt;"",VLOOKUP($B73,Invulblad!$A$11:$S$103,7,0),"")</f>
        <v>2</v>
      </c>
      <c r="N73" s="209" t="s">
        <v>29</v>
      </c>
      <c r="O73" s="211">
        <f>IF(L73&lt;&gt;"",VLOOKUP($B73,Invulblad!$A$11:$S$103,9,0),"")</f>
        <v>4</v>
      </c>
      <c r="P73" s="212">
        <f t="shared" si="13"/>
        <v>5</v>
      </c>
    </row>
    <row r="74" spans="1:16">
      <c r="A74" s="188">
        <v>61</v>
      </c>
      <c r="B74" s="195">
        <v>47</v>
      </c>
      <c r="C74" s="336">
        <v>41816</v>
      </c>
      <c r="D74" s="338">
        <v>0.91666666666666663</v>
      </c>
      <c r="E74" s="189" t="s">
        <v>232</v>
      </c>
      <c r="F74" s="189" t="s">
        <v>29</v>
      </c>
      <c r="G74" s="189" t="s">
        <v>570</v>
      </c>
      <c r="H74" s="366">
        <v>0</v>
      </c>
      <c r="I74" s="366" t="s">
        <v>29</v>
      </c>
      <c r="J74" s="366">
        <v>2</v>
      </c>
      <c r="K74" s="212">
        <f t="shared" si="5"/>
        <v>2</v>
      </c>
      <c r="L74" s="210">
        <f>VLOOKUP($B74,Invulblad!$A$11:$S$103,13,0)</f>
        <v>2</v>
      </c>
      <c r="M74" s="211">
        <f>IF(L74&lt;&gt;"",VLOOKUP($B74,Invulblad!$A$11:$S$103,7,0),"")</f>
        <v>0</v>
      </c>
      <c r="N74" s="209" t="s">
        <v>29</v>
      </c>
      <c r="O74" s="211">
        <f>IF(L74&lt;&gt;"",VLOOKUP($B74,Invulblad!$A$11:$S$103,9,0),"")</f>
        <v>1</v>
      </c>
      <c r="P74" s="212">
        <f t="shared" si="13"/>
        <v>5</v>
      </c>
    </row>
    <row r="75" spans="1:16">
      <c r="A75" s="188">
        <v>62</v>
      </c>
      <c r="B75" s="195">
        <v>48</v>
      </c>
      <c r="C75" s="336">
        <v>41816</v>
      </c>
      <c r="D75" s="338">
        <v>0.91666666666666663</v>
      </c>
      <c r="E75" s="189" t="s">
        <v>236</v>
      </c>
      <c r="F75" s="189" t="s">
        <v>29</v>
      </c>
      <c r="G75" s="189" t="s">
        <v>446</v>
      </c>
      <c r="H75" s="366">
        <v>0</v>
      </c>
      <c r="I75" s="366" t="s">
        <v>29</v>
      </c>
      <c r="J75" s="366">
        <v>1</v>
      </c>
      <c r="K75" s="212">
        <f t="shared" si="5"/>
        <v>2</v>
      </c>
      <c r="L75" s="210">
        <f>VLOOKUP($B75,Invulblad!$A$11:$S$103,13,0)</f>
        <v>3</v>
      </c>
      <c r="M75" s="211">
        <f>IF(L75&lt;&gt;"",VLOOKUP($B75,Invulblad!$A$11:$S$103,7,0),"")</f>
        <v>1</v>
      </c>
      <c r="N75" s="209" t="s">
        <v>29</v>
      </c>
      <c r="O75" s="211">
        <f>IF(L75&lt;&gt;"",VLOOKUP($B75,Invulblad!$A$11:$S$103,9,0),"")</f>
        <v>1</v>
      </c>
      <c r="P75" s="212">
        <f t="shared" si="13"/>
        <v>0</v>
      </c>
    </row>
    <row r="76" spans="1:16">
      <c r="A76" s="188">
        <v>63</v>
      </c>
      <c r="B76" s="201" t="s">
        <v>86</v>
      </c>
      <c r="C76" s="337"/>
      <c r="D76" s="337"/>
      <c r="H76" s="367"/>
      <c r="I76" s="367"/>
      <c r="J76" s="367"/>
      <c r="K76" s="213" t="str">
        <f t="shared" si="5"/>
        <v/>
      </c>
      <c r="L76" s="210"/>
      <c r="M76" s="211" t="str">
        <f>IF(L76&lt;&gt;"",VLOOKUP($B76,Invulblad!$A$11:$S$103,7,0),"")</f>
        <v/>
      </c>
      <c r="N76" s="209"/>
      <c r="O76" s="211" t="str">
        <f>IF(L76&lt;&gt;"",VLOOKUP($B76,Invulblad!$A$11:$S$103,9,0),"")</f>
        <v/>
      </c>
    </row>
    <row r="77" spans="1:16">
      <c r="B77" s="201" t="s">
        <v>272</v>
      </c>
      <c r="C77" s="337" t="s">
        <v>420</v>
      </c>
      <c r="D77" s="337" t="s">
        <v>421</v>
      </c>
      <c r="E77" s="189" t="s">
        <v>145</v>
      </c>
      <c r="F77" s="189" t="s">
        <v>29</v>
      </c>
      <c r="G77" s="189" t="s">
        <v>145</v>
      </c>
      <c r="H77" s="365" t="s">
        <v>93</v>
      </c>
      <c r="I77" s="365"/>
      <c r="J77" s="365"/>
      <c r="K77" s="213"/>
      <c r="L77" s="210"/>
      <c r="M77" s="211"/>
      <c r="N77" s="209"/>
      <c r="O77" s="211"/>
    </row>
    <row r="78" spans="1:16">
      <c r="A78" s="188">
        <v>65</v>
      </c>
      <c r="B78" s="195">
        <v>49</v>
      </c>
      <c r="C78" s="336">
        <v>41818</v>
      </c>
      <c r="D78" s="338">
        <v>0.75</v>
      </c>
      <c r="E78" s="189" t="s">
        <v>199</v>
      </c>
      <c r="F78" s="189" t="s">
        <v>29</v>
      </c>
      <c r="G78" s="189" t="s">
        <v>138</v>
      </c>
      <c r="H78" s="366">
        <v>2</v>
      </c>
      <c r="I78" s="366" t="s">
        <v>29</v>
      </c>
      <c r="J78" s="366">
        <v>1</v>
      </c>
      <c r="K78" s="212" t="str">
        <f t="shared" ref="K78:K101" si="14">IF(AND(H78="",J78=""),"",IF(OR(H78="",J78=""),"FOUT",IF(H78&gt;J78,"1",IF(H78=J78,3,2))))</f>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6">
        <v>41818</v>
      </c>
      <c r="D79" s="338">
        <v>0.91666666666666663</v>
      </c>
      <c r="E79" s="189" t="s">
        <v>200</v>
      </c>
      <c r="F79" s="189" t="s">
        <v>29</v>
      </c>
      <c r="G79" s="189" t="s">
        <v>97</v>
      </c>
      <c r="H79" s="366">
        <v>1</v>
      </c>
      <c r="I79" s="366" t="s">
        <v>29</v>
      </c>
      <c r="J79" s="366">
        <v>0</v>
      </c>
      <c r="K79" s="212" t="str">
        <f t="shared" si="14"/>
        <v>1</v>
      </c>
      <c r="L79" s="210" t="str">
        <f>VLOOKUP($B79,Invulblad!$A$11:$S$103,13,0)</f>
        <v>1</v>
      </c>
      <c r="M79" s="211">
        <f>IF(L79&lt;&gt;"",VLOOKUP($B79,Invulblad!$A$11:$S$103,7,0),"")</f>
        <v>2</v>
      </c>
      <c r="N79" s="209" t="s">
        <v>29</v>
      </c>
      <c r="O79" s="211">
        <f>IF(L79&lt;&gt;"",VLOOKUP($B79,Invulblad!$A$11:$S$103,9,0),"")</f>
        <v>0</v>
      </c>
      <c r="P79" s="212">
        <f t="shared" si="15"/>
        <v>5</v>
      </c>
    </row>
    <row r="80" spans="1:16">
      <c r="A80" s="188">
        <v>67</v>
      </c>
      <c r="B80" s="195">
        <v>51</v>
      </c>
      <c r="C80" s="336">
        <v>41819</v>
      </c>
      <c r="D80" s="338">
        <v>0.75</v>
      </c>
      <c r="E80" s="189" t="s">
        <v>135</v>
      </c>
      <c r="F80" s="189" t="s">
        <v>29</v>
      </c>
      <c r="G80" s="189" t="s">
        <v>389</v>
      </c>
      <c r="H80" s="366">
        <v>1</v>
      </c>
      <c r="I80" s="366" t="s">
        <v>29</v>
      </c>
      <c r="J80" s="366">
        <v>0</v>
      </c>
      <c r="K80" s="212" t="str">
        <f t="shared" si="14"/>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6">
        <v>41819</v>
      </c>
      <c r="D81" s="338">
        <v>0.91666666666666663</v>
      </c>
      <c r="E81" s="189" t="s">
        <v>193</v>
      </c>
      <c r="F81" s="189" t="s">
        <v>29</v>
      </c>
      <c r="G81" s="189" t="s">
        <v>390</v>
      </c>
      <c r="H81" s="366">
        <v>2</v>
      </c>
      <c r="I81" s="366" t="s">
        <v>29</v>
      </c>
      <c r="J81" s="366">
        <v>1</v>
      </c>
      <c r="K81" s="212" t="str">
        <f t="shared" si="14"/>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6">
        <v>41820</v>
      </c>
      <c r="D82" s="338">
        <v>0.75</v>
      </c>
      <c r="E82" s="189" t="s">
        <v>143</v>
      </c>
      <c r="F82" s="189" t="s">
        <v>29</v>
      </c>
      <c r="G82" s="189" t="s">
        <v>572</v>
      </c>
      <c r="H82" s="366">
        <v>3</v>
      </c>
      <c r="I82" s="366" t="s">
        <v>29</v>
      </c>
      <c r="J82" s="366">
        <v>0</v>
      </c>
      <c r="K82" s="212" t="str">
        <f t="shared" si="14"/>
        <v>1</v>
      </c>
      <c r="L82" s="210" t="str">
        <f>VLOOKUP($B82,Invulblad!$A$11:$S$103,13,0)</f>
        <v>1</v>
      </c>
      <c r="M82" s="211">
        <f>IF(L82&lt;&gt;"",VLOOKUP($B82,Invulblad!$A$11:$S$103,7,0),"")</f>
        <v>2</v>
      </c>
      <c r="N82" s="209" t="s">
        <v>29</v>
      </c>
      <c r="O82" s="211">
        <f>IF(L82&lt;&gt;"",VLOOKUP($B82,Invulblad!$A$11:$S$103,9,0),"")</f>
        <v>0</v>
      </c>
      <c r="P82" s="212">
        <f t="shared" si="15"/>
        <v>5</v>
      </c>
    </row>
    <row r="83" spans="1:16">
      <c r="A83" s="188">
        <v>70</v>
      </c>
      <c r="B83" s="195">
        <v>54</v>
      </c>
      <c r="C83" s="336">
        <v>41820</v>
      </c>
      <c r="D83" s="338">
        <v>0.91666666666666663</v>
      </c>
      <c r="E83" s="189" t="s">
        <v>177</v>
      </c>
      <c r="F83" s="189" t="s">
        <v>29</v>
      </c>
      <c r="G83" s="189" t="s">
        <v>396</v>
      </c>
      <c r="H83" s="366">
        <v>4</v>
      </c>
      <c r="I83" s="366" t="s">
        <v>29</v>
      </c>
      <c r="J83" s="366">
        <v>0</v>
      </c>
      <c r="K83" s="212" t="str">
        <f t="shared" si="14"/>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6">
        <v>41821</v>
      </c>
      <c r="D84" s="338">
        <v>0.75</v>
      </c>
      <c r="E84" s="189" t="s">
        <v>102</v>
      </c>
      <c r="F84" s="189" t="s">
        <v>29</v>
      </c>
      <c r="G84" s="189" t="s">
        <v>209</v>
      </c>
      <c r="H84" s="366">
        <v>0</v>
      </c>
      <c r="I84" s="366" t="s">
        <v>29</v>
      </c>
      <c r="J84" s="366">
        <v>1</v>
      </c>
      <c r="K84" s="212">
        <f t="shared" si="14"/>
        <v>2</v>
      </c>
      <c r="L84" s="210" t="str">
        <f>VLOOKUP($B84,Invulblad!$A$11:$S$103,13,0)</f>
        <v>1</v>
      </c>
      <c r="M84" s="211">
        <f>IF(L84&lt;&gt;"",VLOOKUP($B84,Invulblad!$A$11:$S$103,7,0),"")</f>
        <v>1</v>
      </c>
      <c r="N84" s="209" t="s">
        <v>29</v>
      </c>
      <c r="O84" s="211">
        <f>IF(L84&lt;&gt;"",VLOOKUP($B84,Invulblad!$A$11:$S$103,9,0),"")</f>
        <v>0</v>
      </c>
      <c r="P84" s="212">
        <f t="shared" si="15"/>
        <v>0</v>
      </c>
    </row>
    <row r="85" spans="1:16">
      <c r="A85" s="188">
        <v>72</v>
      </c>
      <c r="B85" s="195">
        <v>56</v>
      </c>
      <c r="C85" s="336">
        <v>41821</v>
      </c>
      <c r="D85" s="338">
        <v>0.91666666666666663</v>
      </c>
      <c r="E85" s="189" t="s">
        <v>395</v>
      </c>
      <c r="F85" s="189" t="s">
        <v>29</v>
      </c>
      <c r="G85" s="189" t="s">
        <v>202</v>
      </c>
      <c r="H85" s="366">
        <v>0</v>
      </c>
      <c r="I85" s="366" t="s">
        <v>29</v>
      </c>
      <c r="J85" s="366">
        <v>1</v>
      </c>
      <c r="K85" s="212">
        <f t="shared" si="14"/>
        <v>2</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C86" s="337"/>
      <c r="D86" s="337"/>
      <c r="H86" s="367"/>
      <c r="I86" s="367"/>
      <c r="J86" s="367"/>
      <c r="K86" s="213" t="str">
        <f t="shared" si="14"/>
        <v/>
      </c>
      <c r="L86" s="210"/>
      <c r="M86" s="211" t="str">
        <f>IF(L86&lt;&gt;"",VLOOKUP($B86,Invulblad!$A$11:$S$103,7,0),"")</f>
        <v/>
      </c>
      <c r="N86" s="209"/>
      <c r="O86" s="211" t="str">
        <f>IF(L86&lt;&gt;"",VLOOKUP($B86,Invulblad!$A$11:$S$103,9,0),"")</f>
        <v/>
      </c>
    </row>
    <row r="87" spans="1:16">
      <c r="B87" s="201" t="s">
        <v>272</v>
      </c>
      <c r="C87" s="337" t="s">
        <v>420</v>
      </c>
      <c r="D87" s="337" t="s">
        <v>421</v>
      </c>
      <c r="E87" s="189" t="s">
        <v>145</v>
      </c>
      <c r="F87" s="189" t="s">
        <v>29</v>
      </c>
      <c r="G87" s="189" t="s">
        <v>145</v>
      </c>
      <c r="H87" s="365" t="s">
        <v>93</v>
      </c>
      <c r="I87" s="365"/>
      <c r="J87" s="365"/>
      <c r="K87" s="213"/>
      <c r="L87" s="210"/>
      <c r="M87" s="211"/>
      <c r="N87" s="209"/>
      <c r="O87" s="211"/>
    </row>
    <row r="88" spans="1:16">
      <c r="A88" s="188">
        <v>75</v>
      </c>
      <c r="B88" s="195">
        <v>57</v>
      </c>
      <c r="C88" s="336">
        <v>41824</v>
      </c>
      <c r="D88" s="338">
        <v>0.91666666666666663</v>
      </c>
      <c r="E88" s="189" t="s">
        <v>199</v>
      </c>
      <c r="F88" s="189" t="s">
        <v>29</v>
      </c>
      <c r="G88" s="189" t="s">
        <v>200</v>
      </c>
      <c r="H88" s="366">
        <v>2</v>
      </c>
      <c r="I88" s="366" t="s">
        <v>29</v>
      </c>
      <c r="J88" s="366">
        <v>0</v>
      </c>
      <c r="K88" s="212" t="str">
        <f t="shared" si="14"/>
        <v>1</v>
      </c>
      <c r="L88" s="210" t="str">
        <f>VLOOKUP($B88,Invulblad!$A$11:$S$103,13,0)</f>
        <v>1</v>
      </c>
      <c r="M88" s="211">
        <f>IF(L88&lt;&gt;"",VLOOKUP($B88,Invulblad!$A$11:$S$103,7,0),"")</f>
        <v>2</v>
      </c>
      <c r="N88" s="209" t="s">
        <v>29</v>
      </c>
      <c r="O88" s="211">
        <f>IF(L88&lt;&gt;"",VLOOKUP($B88,Invulblad!$A$11:$S$103,9,0),"")</f>
        <v>1</v>
      </c>
      <c r="P88" s="212">
        <f>IF(L88&lt;&gt;"",IF(AND(M88=H88,O88=J88),10,IF(K88=L88,5,0)),"")</f>
        <v>5</v>
      </c>
    </row>
    <row r="89" spans="1:16">
      <c r="A89" s="188">
        <v>76</v>
      </c>
      <c r="B89" s="195">
        <v>58</v>
      </c>
      <c r="C89" s="336">
        <v>41824</v>
      </c>
      <c r="D89" s="338">
        <v>0.75</v>
      </c>
      <c r="E89" s="189" t="s">
        <v>143</v>
      </c>
      <c r="F89" s="189" t="s">
        <v>29</v>
      </c>
      <c r="G89" s="189" t="s">
        <v>177</v>
      </c>
      <c r="H89" s="366">
        <v>0</v>
      </c>
      <c r="I89" s="366" t="s">
        <v>29</v>
      </c>
      <c r="J89" s="366">
        <v>2</v>
      </c>
      <c r="K89" s="212">
        <f t="shared" si="14"/>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6">
        <v>41825</v>
      </c>
      <c r="D90" s="338">
        <v>0.91666666666666663</v>
      </c>
      <c r="E90" s="189" t="s">
        <v>135</v>
      </c>
      <c r="F90" s="189" t="s">
        <v>29</v>
      </c>
      <c r="G90" s="189" t="s">
        <v>193</v>
      </c>
      <c r="H90" s="366">
        <v>1</v>
      </c>
      <c r="I90" s="366" t="s">
        <v>29</v>
      </c>
      <c r="J90" s="366">
        <v>0</v>
      </c>
      <c r="K90" s="212" t="str">
        <f t="shared" si="14"/>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6">
        <v>41825</v>
      </c>
      <c r="D91" s="338">
        <v>0.75</v>
      </c>
      <c r="E91" s="189" t="s">
        <v>209</v>
      </c>
      <c r="F91" s="189" t="s">
        <v>29</v>
      </c>
      <c r="G91" s="189" t="s">
        <v>202</v>
      </c>
      <c r="H91" s="366">
        <v>0</v>
      </c>
      <c r="I91" s="366" t="s">
        <v>29</v>
      </c>
      <c r="J91" s="366">
        <v>1</v>
      </c>
      <c r="K91" s="212">
        <f t="shared" si="14"/>
        <v>2</v>
      </c>
      <c r="L91" s="210" t="str">
        <f>VLOOKUP($B91,Invulblad!$A$11:$S$103,13,0)</f>
        <v>1</v>
      </c>
      <c r="M91" s="211">
        <f>IF(L91&lt;&gt;"",VLOOKUP($B91,Invulblad!$A$11:$S$103,7,0),"")</f>
        <v>1</v>
      </c>
      <c r="N91" s="209" t="s">
        <v>29</v>
      </c>
      <c r="O91" s="211">
        <f>IF(L91&lt;&gt;"",VLOOKUP($B91,Invulblad!$A$11:$S$103,9,0),"")</f>
        <v>0</v>
      </c>
      <c r="P91" s="212">
        <f>IF(L91&lt;&gt;"",IF(AND(M91=H91,O91=J91),10,IF(K91=L91,5,0)),"")</f>
        <v>0</v>
      </c>
    </row>
    <row r="92" spans="1:16">
      <c r="A92" s="188">
        <v>79</v>
      </c>
      <c r="B92" s="201" t="s">
        <v>88</v>
      </c>
      <c r="C92" s="337"/>
      <c r="D92" s="337"/>
      <c r="H92" s="367"/>
      <c r="I92" s="367"/>
      <c r="J92" s="367"/>
      <c r="K92" s="213" t="str">
        <f t="shared" si="14"/>
        <v/>
      </c>
      <c r="L92" s="210"/>
      <c r="M92" s="211" t="str">
        <f>IF(L92&lt;&gt;"",VLOOKUP($B92,Invulblad!$A$11:$S$103,7,0),"")</f>
        <v/>
      </c>
      <c r="O92" s="211" t="str">
        <f>IF(L92&lt;&gt;"",VLOOKUP($B92,Invulblad!$A$11:$S$103,9,0),"")</f>
        <v/>
      </c>
    </row>
    <row r="93" spans="1:16">
      <c r="B93" s="201" t="s">
        <v>272</v>
      </c>
      <c r="C93" s="337" t="s">
        <v>420</v>
      </c>
      <c r="D93" s="337" t="s">
        <v>421</v>
      </c>
      <c r="E93" s="189" t="s">
        <v>145</v>
      </c>
      <c r="F93" s="189" t="s">
        <v>29</v>
      </c>
      <c r="G93" s="189" t="s">
        <v>145</v>
      </c>
      <c r="H93" s="365" t="s">
        <v>93</v>
      </c>
      <c r="I93" s="365"/>
      <c r="J93" s="365"/>
      <c r="K93" s="213"/>
      <c r="L93" s="210"/>
      <c r="M93" s="211"/>
      <c r="O93" s="211"/>
    </row>
    <row r="94" spans="1:16">
      <c r="A94" s="188">
        <v>81</v>
      </c>
      <c r="B94" s="195">
        <v>61</v>
      </c>
      <c r="C94" s="336">
        <v>41828</v>
      </c>
      <c r="D94" s="338">
        <v>0.91666666666666663</v>
      </c>
      <c r="E94" s="189" t="s">
        <v>199</v>
      </c>
      <c r="F94" s="189" t="s">
        <v>29</v>
      </c>
      <c r="G94" s="189" t="s">
        <v>177</v>
      </c>
      <c r="H94" s="366">
        <v>1</v>
      </c>
      <c r="I94" s="366" t="s">
        <v>29</v>
      </c>
      <c r="J94" s="366">
        <v>0</v>
      </c>
      <c r="K94" s="212" t="str">
        <f t="shared" si="14"/>
        <v>1</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6">
        <v>41829</v>
      </c>
      <c r="D95" s="338">
        <v>0.91666666666666663</v>
      </c>
      <c r="E95" s="189" t="s">
        <v>135</v>
      </c>
      <c r="F95" s="189" t="s">
        <v>29</v>
      </c>
      <c r="G95" s="189" t="s">
        <v>202</v>
      </c>
      <c r="H95" s="366">
        <v>1</v>
      </c>
      <c r="I95" s="366" t="s">
        <v>29</v>
      </c>
      <c r="J95" s="366">
        <v>0</v>
      </c>
      <c r="K95" s="212" t="str">
        <f t="shared" si="14"/>
        <v>1</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C96" s="337"/>
      <c r="D96" s="337"/>
      <c r="H96" s="367"/>
      <c r="I96" s="367"/>
      <c r="J96" s="367"/>
      <c r="K96" s="213" t="str">
        <f t="shared" si="14"/>
        <v/>
      </c>
      <c r="L96" s="210"/>
      <c r="M96" s="211" t="str">
        <f>IF(L96&lt;&gt;"",VLOOKUP($B96,Invulblad!$A$11:$S$103,7,0),"")</f>
        <v/>
      </c>
      <c r="N96" s="209"/>
      <c r="O96" s="211" t="str">
        <f>IF(L96&lt;&gt;"",VLOOKUP($B96,Invulblad!$A$11:$S$103,9,0),"")</f>
        <v/>
      </c>
    </row>
    <row r="97" spans="1:16">
      <c r="B97" s="201" t="s">
        <v>272</v>
      </c>
      <c r="C97" s="337" t="s">
        <v>420</v>
      </c>
      <c r="D97" s="337" t="s">
        <v>421</v>
      </c>
      <c r="E97" s="189" t="s">
        <v>145</v>
      </c>
      <c r="F97" s="189" t="s">
        <v>29</v>
      </c>
      <c r="G97" s="189" t="s">
        <v>145</v>
      </c>
      <c r="H97" s="365" t="s">
        <v>93</v>
      </c>
      <c r="I97" s="365"/>
      <c r="J97" s="365"/>
      <c r="K97" s="213"/>
      <c r="L97" s="210"/>
      <c r="M97" s="211"/>
      <c r="N97" s="209"/>
      <c r="O97" s="211"/>
    </row>
    <row r="98" spans="1:16">
      <c r="A98" s="188">
        <v>85</v>
      </c>
      <c r="B98" s="195">
        <v>63</v>
      </c>
      <c r="C98" s="336">
        <v>41832</v>
      </c>
      <c r="D98" s="338">
        <v>0.91666666666666663</v>
      </c>
      <c r="E98" s="189" t="s">
        <v>177</v>
      </c>
      <c r="F98" s="189" t="s">
        <v>29</v>
      </c>
      <c r="G98" s="189" t="s">
        <v>202</v>
      </c>
      <c r="H98" s="366">
        <v>2</v>
      </c>
      <c r="I98" s="366" t="s">
        <v>29</v>
      </c>
      <c r="J98" s="366">
        <v>1</v>
      </c>
      <c r="K98" s="212" t="str">
        <f t="shared" si="14"/>
        <v>1</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C99" s="337"/>
      <c r="D99" s="337"/>
      <c r="H99" s="367"/>
      <c r="I99" s="367"/>
      <c r="J99" s="367"/>
      <c r="K99" s="213" t="str">
        <f t="shared" si="14"/>
        <v/>
      </c>
      <c r="L99" s="210"/>
      <c r="M99" s="211" t="str">
        <f>IF(L99&lt;&gt;"",VLOOKUP($B99,Invulblad!$A$11:$S$103,7,0),"")</f>
        <v/>
      </c>
      <c r="N99" s="209"/>
      <c r="O99" s="211" t="str">
        <f>IF(L99&lt;&gt;"",VLOOKUP($B99,Invulblad!$A$11:$S$103,9,0),"")</f>
        <v/>
      </c>
    </row>
    <row r="100" spans="1:16">
      <c r="B100" s="201" t="s">
        <v>272</v>
      </c>
      <c r="C100" s="337" t="s">
        <v>420</v>
      </c>
      <c r="D100" s="337" t="s">
        <v>421</v>
      </c>
      <c r="E100" s="189" t="s">
        <v>145</v>
      </c>
      <c r="F100" s="189" t="s">
        <v>29</v>
      </c>
      <c r="G100" s="189" t="s">
        <v>145</v>
      </c>
      <c r="H100" s="365" t="s">
        <v>93</v>
      </c>
      <c r="I100" s="365"/>
      <c r="J100" s="365"/>
      <c r="K100" s="213"/>
      <c r="L100" s="210"/>
      <c r="M100" s="211"/>
      <c r="N100" s="209"/>
      <c r="O100" s="211"/>
    </row>
    <row r="101" spans="1:16">
      <c r="A101" s="188">
        <v>88</v>
      </c>
      <c r="B101" s="195">
        <v>64</v>
      </c>
      <c r="C101" s="336">
        <v>41833</v>
      </c>
      <c r="D101" s="338">
        <v>0.875</v>
      </c>
      <c r="E101" s="189" t="s">
        <v>199</v>
      </c>
      <c r="F101" s="189" t="s">
        <v>29</v>
      </c>
      <c r="G101" s="189" t="s">
        <v>135</v>
      </c>
      <c r="H101" s="366">
        <v>1</v>
      </c>
      <c r="I101" s="366" t="s">
        <v>29</v>
      </c>
      <c r="J101" s="366">
        <v>2</v>
      </c>
      <c r="K101" s="212">
        <f t="shared" si="14"/>
        <v>2</v>
      </c>
      <c r="L101" s="210" t="str">
        <f>VLOOKUP($B101,Invulblad!$A$11:$S$103,13,0)</f>
        <v>1</v>
      </c>
      <c r="M101" s="211">
        <f>IF(L101&lt;&gt;"",VLOOKUP($B101,Invulblad!$A$11:$S$103,7,0),"")</f>
        <v>1</v>
      </c>
      <c r="N101" s="209" t="s">
        <v>29</v>
      </c>
      <c r="O101" s="211">
        <f>IF(L101&lt;&gt;"",VLOOKUP($B101,Invulblad!$A$11:$S$103,9,0),"")</f>
        <v>0</v>
      </c>
      <c r="P101" s="212">
        <f>IF(L101&lt;&gt;"",IF(AND(M101=H101,O101=J101),10,IF(K101=L101,5,0)),"")</f>
        <v>0</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389</v>
      </c>
    </row>
    <row r="112" spans="1:16">
      <c r="B112" s="201" t="s">
        <v>144</v>
      </c>
    </row>
    <row r="113" spans="2:15" ht="15.75" thickBot="1"/>
    <row r="114" spans="2:15" ht="15.75" thickBot="1">
      <c r="B114" s="215" t="s">
        <v>145</v>
      </c>
      <c r="C114" s="215" t="s">
        <v>146</v>
      </c>
      <c r="D114" s="215" t="s">
        <v>147</v>
      </c>
      <c r="E114" s="215" t="s">
        <v>148</v>
      </c>
    </row>
    <row r="115" spans="2:15" ht="15.75" thickBot="1">
      <c r="B115" s="216" t="s">
        <v>199</v>
      </c>
      <c r="C115" s="216" t="s">
        <v>163</v>
      </c>
      <c r="D115" s="216" t="s">
        <v>172</v>
      </c>
      <c r="E115" s="216" t="s">
        <v>243</v>
      </c>
    </row>
    <row r="116" spans="2:15" ht="15.75" thickBot="1">
      <c r="B116" s="217" t="s">
        <v>389</v>
      </c>
      <c r="C116" s="217" t="s">
        <v>164</v>
      </c>
      <c r="D116" s="217" t="s">
        <v>150</v>
      </c>
      <c r="E116" s="217" t="s">
        <v>155</v>
      </c>
    </row>
    <row r="117" spans="2:15" ht="15.75" thickBot="1">
      <c r="B117" s="216" t="s">
        <v>152</v>
      </c>
      <c r="C117" s="216" t="s">
        <v>151</v>
      </c>
      <c r="D117" s="216" t="s">
        <v>165</v>
      </c>
      <c r="E117" s="216" t="s">
        <v>151</v>
      </c>
    </row>
    <row r="118" spans="2:15" ht="15.75" thickBot="1">
      <c r="B118" s="217" t="s">
        <v>185</v>
      </c>
      <c r="C118" s="217" t="s">
        <v>150</v>
      </c>
      <c r="D118" s="217" t="s">
        <v>162</v>
      </c>
      <c r="E118" s="217" t="s">
        <v>153</v>
      </c>
    </row>
    <row r="121" spans="2:15">
      <c r="B121" s="201" t="s">
        <v>157</v>
      </c>
    </row>
    <row r="122" spans="2:15">
      <c r="B122" s="195"/>
    </row>
    <row r="123" spans="2:15">
      <c r="B123" s="195" t="s">
        <v>158</v>
      </c>
    </row>
    <row r="124" spans="2:15">
      <c r="B124" s="195" t="s">
        <v>251</v>
      </c>
    </row>
    <row r="127" spans="2:15">
      <c r="B127" s="218"/>
      <c r="C127" s="218"/>
      <c r="D127" s="218"/>
      <c r="E127" s="218"/>
      <c r="F127" s="218"/>
      <c r="G127" s="218"/>
      <c r="H127" s="364"/>
      <c r="I127" s="364"/>
      <c r="J127" s="364"/>
    </row>
    <row r="128" spans="2:15">
      <c r="K128" s="218"/>
      <c r="L128" s="219"/>
      <c r="M128" s="218"/>
      <c r="N128" s="218"/>
      <c r="O128" s="218"/>
    </row>
    <row r="130" spans="1:5">
      <c r="A130" s="189"/>
      <c r="B130" s="201" t="s">
        <v>160</v>
      </c>
    </row>
    <row r="132" spans="1:5">
      <c r="A132" s="188" t="s">
        <v>67</v>
      </c>
      <c r="B132" s="189" t="s">
        <v>140</v>
      </c>
      <c r="C132" s="189" t="s">
        <v>141</v>
      </c>
      <c r="D132" s="201" t="s">
        <v>135</v>
      </c>
    </row>
    <row r="133" spans="1:5">
      <c r="A133" s="227" t="s">
        <v>68</v>
      </c>
      <c r="B133" s="189" t="s">
        <v>142</v>
      </c>
      <c r="C133" s="189" t="s">
        <v>141</v>
      </c>
      <c r="D133" s="201" t="s">
        <v>138</v>
      </c>
    </row>
    <row r="136" spans="1:5">
      <c r="B136" s="201" t="s">
        <v>161</v>
      </c>
    </row>
    <row r="137" spans="1:5" ht="15.75" thickBot="1"/>
    <row r="138" spans="1:5" ht="15.75" thickBot="1">
      <c r="B138" s="215" t="s">
        <v>145</v>
      </c>
      <c r="C138" s="215" t="s">
        <v>146</v>
      </c>
      <c r="D138" s="215" t="s">
        <v>147</v>
      </c>
      <c r="E138" s="215" t="s">
        <v>148</v>
      </c>
    </row>
    <row r="139" spans="1:5" ht="15.75" thickBot="1">
      <c r="B139" s="216" t="s">
        <v>138</v>
      </c>
      <c r="C139" s="216" t="s">
        <v>164</v>
      </c>
      <c r="D139" s="216" t="s">
        <v>151</v>
      </c>
      <c r="E139" s="216" t="s">
        <v>164</v>
      </c>
    </row>
    <row r="140" spans="1:5" ht="15.75" thickBot="1">
      <c r="B140" s="217" t="s">
        <v>135</v>
      </c>
      <c r="C140" s="217" t="s">
        <v>163</v>
      </c>
      <c r="D140" s="217" t="s">
        <v>172</v>
      </c>
      <c r="E140" s="217" t="s">
        <v>243</v>
      </c>
    </row>
    <row r="141" spans="1:5" ht="15.75" thickBot="1">
      <c r="B141" s="216" t="s">
        <v>207</v>
      </c>
      <c r="C141" s="216" t="s">
        <v>151</v>
      </c>
      <c r="D141" s="216" t="s">
        <v>171</v>
      </c>
      <c r="E141" s="216" t="s">
        <v>151</v>
      </c>
    </row>
    <row r="142" spans="1:5" ht="15.75" thickBot="1">
      <c r="B142" s="217" t="s">
        <v>179</v>
      </c>
      <c r="C142" s="217" t="s">
        <v>150</v>
      </c>
      <c r="D142" s="217" t="s">
        <v>188</v>
      </c>
      <c r="E142" s="217" t="s">
        <v>150</v>
      </c>
    </row>
    <row r="145" spans="1:15">
      <c r="B145" s="201" t="s">
        <v>166</v>
      </c>
    </row>
    <row r="146" spans="1:15">
      <c r="B146" s="195"/>
    </row>
    <row r="147" spans="1:15">
      <c r="B147" s="195" t="s">
        <v>167</v>
      </c>
    </row>
    <row r="148" spans="1:15">
      <c r="B148" s="195" t="s">
        <v>168</v>
      </c>
    </row>
    <row r="151" spans="1:15">
      <c r="B151" s="218"/>
      <c r="C151" s="218"/>
      <c r="D151" s="218"/>
      <c r="E151" s="218"/>
      <c r="F151" s="218"/>
      <c r="G151" s="218"/>
      <c r="H151" s="364"/>
      <c r="I151" s="364"/>
      <c r="J151" s="364"/>
    </row>
    <row r="152" spans="1:15">
      <c r="K152" s="218"/>
      <c r="L152" s="219"/>
      <c r="M152" s="218"/>
      <c r="N152" s="218"/>
      <c r="O152" s="218"/>
    </row>
    <row r="154" spans="1:15">
      <c r="B154" s="201" t="s">
        <v>169</v>
      </c>
    </row>
    <row r="156" spans="1:15">
      <c r="A156" s="188" t="s">
        <v>69</v>
      </c>
      <c r="B156" s="189" t="s">
        <v>140</v>
      </c>
      <c r="C156" s="189" t="s">
        <v>141</v>
      </c>
      <c r="D156" s="201" t="s">
        <v>200</v>
      </c>
    </row>
    <row r="157" spans="1:15">
      <c r="A157" s="188" t="s">
        <v>70</v>
      </c>
      <c r="B157" s="189" t="s">
        <v>142</v>
      </c>
      <c r="C157" s="189" t="s">
        <v>141</v>
      </c>
      <c r="D157" s="201" t="s">
        <v>390</v>
      </c>
    </row>
    <row r="160" spans="1:15">
      <c r="B160" s="201" t="s">
        <v>170</v>
      </c>
    </row>
    <row r="161" spans="2:10" ht="15.75" thickBot="1"/>
    <row r="162" spans="2:10" ht="15.75" thickBot="1">
      <c r="B162" s="215" t="s">
        <v>145</v>
      </c>
      <c r="C162" s="215" t="s">
        <v>146</v>
      </c>
      <c r="D162" s="215" t="s">
        <v>147</v>
      </c>
      <c r="E162" s="215" t="s">
        <v>148</v>
      </c>
    </row>
    <row r="163" spans="2:10" ht="15.75" thickBot="1">
      <c r="B163" s="216" t="s">
        <v>390</v>
      </c>
      <c r="C163" s="216" t="s">
        <v>164</v>
      </c>
      <c r="D163" s="216" t="s">
        <v>153</v>
      </c>
      <c r="E163" s="216" t="s">
        <v>149</v>
      </c>
    </row>
    <row r="164" spans="2:10" ht="15.75" thickBot="1">
      <c r="B164" s="217" t="s">
        <v>106</v>
      </c>
      <c r="C164" s="217" t="s">
        <v>150</v>
      </c>
      <c r="D164" s="217" t="s">
        <v>162</v>
      </c>
      <c r="E164" s="217" t="s">
        <v>150</v>
      </c>
    </row>
    <row r="165" spans="2:10" ht="15.75" thickBot="1">
      <c r="B165" s="216" t="s">
        <v>200</v>
      </c>
      <c r="C165" s="216" t="s">
        <v>163</v>
      </c>
      <c r="D165" s="216" t="s">
        <v>155</v>
      </c>
      <c r="E165" s="216" t="s">
        <v>172</v>
      </c>
    </row>
    <row r="166" spans="2:10" ht="15.75" thickBot="1">
      <c r="B166" s="217" t="s">
        <v>187</v>
      </c>
      <c r="C166" s="217" t="s">
        <v>151</v>
      </c>
      <c r="D166" s="217" t="s">
        <v>165</v>
      </c>
      <c r="E166" s="217" t="s">
        <v>153</v>
      </c>
    </row>
    <row r="169" spans="2:10">
      <c r="B169" s="201" t="s">
        <v>173</v>
      </c>
    </row>
    <row r="170" spans="2:10">
      <c r="B170" s="195"/>
    </row>
    <row r="171" spans="2:10">
      <c r="B171" s="195" t="s">
        <v>174</v>
      </c>
    </row>
    <row r="172" spans="2:10">
      <c r="B172" s="195" t="s">
        <v>175</v>
      </c>
    </row>
    <row r="175" spans="2:10">
      <c r="B175" s="218"/>
      <c r="C175" s="218"/>
      <c r="D175" s="218"/>
      <c r="E175" s="218"/>
      <c r="F175" s="218"/>
      <c r="G175" s="218"/>
      <c r="H175" s="364"/>
      <c r="I175" s="364"/>
      <c r="J175" s="364"/>
    </row>
    <row r="177" spans="1:15">
      <c r="K177" s="218"/>
      <c r="L177" s="219"/>
      <c r="M177" s="218"/>
      <c r="N177" s="218"/>
      <c r="O177" s="218"/>
    </row>
    <row r="178" spans="1:15">
      <c r="B178" s="201" t="s">
        <v>176</v>
      </c>
    </row>
    <row r="180" spans="1:15">
      <c r="A180" s="188" t="s">
        <v>71</v>
      </c>
      <c r="B180" s="189" t="s">
        <v>140</v>
      </c>
      <c r="C180" s="189" t="s">
        <v>141</v>
      </c>
      <c r="D180" s="201" t="s">
        <v>193</v>
      </c>
    </row>
    <row r="181" spans="1:15">
      <c r="A181" s="188" t="s">
        <v>72</v>
      </c>
      <c r="B181" s="189" t="s">
        <v>142</v>
      </c>
      <c r="C181" s="189" t="s">
        <v>141</v>
      </c>
      <c r="D181" s="201" t="s">
        <v>97</v>
      </c>
    </row>
    <row r="184" spans="1:15">
      <c r="B184" s="201" t="s">
        <v>178</v>
      </c>
    </row>
    <row r="185" spans="1:15" ht="15.75" thickBot="1"/>
    <row r="186" spans="1:15" ht="15.75" thickBot="1">
      <c r="B186" s="215" t="s">
        <v>145</v>
      </c>
      <c r="C186" s="215" t="s">
        <v>146</v>
      </c>
      <c r="D186" s="215" t="s">
        <v>147</v>
      </c>
      <c r="E186" s="215" t="s">
        <v>148</v>
      </c>
    </row>
    <row r="187" spans="1:15" ht="15.75" thickBot="1">
      <c r="B187" s="216" t="s">
        <v>97</v>
      </c>
      <c r="C187" s="216" t="s">
        <v>164</v>
      </c>
      <c r="D187" s="216" t="s">
        <v>153</v>
      </c>
      <c r="E187" s="216" t="s">
        <v>149</v>
      </c>
    </row>
    <row r="188" spans="1:15" ht="15.75" thickBot="1">
      <c r="B188" s="217" t="s">
        <v>391</v>
      </c>
      <c r="C188" s="217" t="s">
        <v>150</v>
      </c>
      <c r="D188" s="217" t="s">
        <v>162</v>
      </c>
      <c r="E188" s="217" t="s">
        <v>156</v>
      </c>
    </row>
    <row r="189" spans="1:15" ht="15.75" thickBot="1">
      <c r="B189" s="216" t="s">
        <v>109</v>
      </c>
      <c r="C189" s="216" t="s">
        <v>151</v>
      </c>
      <c r="D189" s="216" t="s">
        <v>154</v>
      </c>
      <c r="E189" s="216" t="s">
        <v>151</v>
      </c>
    </row>
    <row r="190" spans="1:15" ht="15.75" thickBot="1">
      <c r="B190" s="217" t="s">
        <v>193</v>
      </c>
      <c r="C190" s="217" t="s">
        <v>163</v>
      </c>
      <c r="D190" s="217" t="s">
        <v>149</v>
      </c>
      <c r="E190" s="217" t="s">
        <v>164</v>
      </c>
    </row>
    <row r="193" spans="1:15">
      <c r="B193" s="201" t="s">
        <v>182</v>
      </c>
    </row>
    <row r="194" spans="1:15">
      <c r="B194" s="195"/>
    </row>
    <row r="195" spans="1:15">
      <c r="B195" s="195" t="s">
        <v>239</v>
      </c>
    </row>
    <row r="196" spans="1:15">
      <c r="B196" s="195" t="s">
        <v>240</v>
      </c>
    </row>
    <row r="199" spans="1:15">
      <c r="B199" s="218"/>
      <c r="C199" s="218"/>
      <c r="D199" s="218"/>
      <c r="E199" s="218"/>
      <c r="F199" s="218"/>
      <c r="G199" s="218"/>
      <c r="H199" s="364"/>
      <c r="I199" s="364"/>
      <c r="J199" s="364"/>
    </row>
    <row r="200" spans="1:15">
      <c r="K200" s="218"/>
      <c r="L200" s="219"/>
      <c r="M200" s="218"/>
      <c r="N200" s="218"/>
      <c r="O200" s="218"/>
    </row>
    <row r="202" spans="1:15">
      <c r="B202" s="201" t="s">
        <v>184</v>
      </c>
    </row>
    <row r="204" spans="1:15">
      <c r="A204" s="188" t="s">
        <v>73</v>
      </c>
      <c r="B204" s="189" t="s">
        <v>140</v>
      </c>
      <c r="C204" s="189" t="s">
        <v>141</v>
      </c>
      <c r="D204" s="201" t="s">
        <v>143</v>
      </c>
    </row>
    <row r="205" spans="1:15">
      <c r="A205" s="188" t="s">
        <v>74</v>
      </c>
      <c r="B205" s="189" t="s">
        <v>142</v>
      </c>
      <c r="C205" s="189" t="s">
        <v>141</v>
      </c>
      <c r="D205" s="201" t="s">
        <v>209</v>
      </c>
    </row>
    <row r="208" spans="1:15">
      <c r="B208" s="201" t="s">
        <v>186</v>
      </c>
    </row>
    <row r="209" spans="2:15" ht="15.75" thickBot="1"/>
    <row r="210" spans="2:15" ht="15.75" thickBot="1">
      <c r="B210" s="215" t="s">
        <v>145</v>
      </c>
      <c r="C210" s="215" t="s">
        <v>146</v>
      </c>
      <c r="D210" s="215" t="s">
        <v>147</v>
      </c>
      <c r="E210" s="215" t="s">
        <v>148</v>
      </c>
    </row>
    <row r="211" spans="2:15" ht="15.75" thickBot="1">
      <c r="B211" s="216" t="s">
        <v>209</v>
      </c>
      <c r="C211" s="216" t="s">
        <v>164</v>
      </c>
      <c r="D211" s="216" t="s">
        <v>155</v>
      </c>
      <c r="E211" s="216" t="s">
        <v>172</v>
      </c>
    </row>
    <row r="212" spans="2:15" ht="15.75" thickBot="1">
      <c r="B212" s="217" t="s">
        <v>392</v>
      </c>
      <c r="C212" s="217" t="s">
        <v>150</v>
      </c>
      <c r="D212" s="217" t="s">
        <v>255</v>
      </c>
      <c r="E212" s="217" t="s">
        <v>150</v>
      </c>
    </row>
    <row r="213" spans="2:15" ht="15.75" thickBot="1">
      <c r="B213" s="216" t="s">
        <v>143</v>
      </c>
      <c r="C213" s="216" t="s">
        <v>163</v>
      </c>
      <c r="D213" s="216" t="s">
        <v>163</v>
      </c>
      <c r="E213" s="216" t="s">
        <v>244</v>
      </c>
    </row>
    <row r="214" spans="2:15" ht="15.75" thickBot="1">
      <c r="B214" s="217" t="s">
        <v>210</v>
      </c>
      <c r="C214" s="217" t="s">
        <v>151</v>
      </c>
      <c r="D214" s="217" t="s">
        <v>180</v>
      </c>
      <c r="E214" s="217" t="s">
        <v>156</v>
      </c>
    </row>
    <row r="217" spans="2:15">
      <c r="B217" s="201" t="s">
        <v>189</v>
      </c>
    </row>
    <row r="218" spans="2:15">
      <c r="B218" s="195"/>
    </row>
    <row r="219" spans="2:15">
      <c r="B219" s="195" t="s">
        <v>190</v>
      </c>
    </row>
    <row r="220" spans="2:15">
      <c r="B220" s="195" t="s">
        <v>191</v>
      </c>
    </row>
    <row r="223" spans="2:15">
      <c r="B223" s="218"/>
      <c r="C223" s="218"/>
      <c r="D223" s="218"/>
      <c r="E223" s="218"/>
      <c r="F223" s="218"/>
      <c r="G223" s="218"/>
      <c r="H223" s="364"/>
      <c r="I223" s="364"/>
      <c r="J223" s="364"/>
    </row>
    <row r="224" spans="2:15">
      <c r="K224" s="218"/>
      <c r="L224" s="219"/>
      <c r="M224" s="218"/>
      <c r="N224" s="218"/>
      <c r="O224" s="218"/>
    </row>
    <row r="226" spans="1:5">
      <c r="B226" s="201" t="s">
        <v>192</v>
      </c>
    </row>
    <row r="228" spans="1:5">
      <c r="A228" s="188" t="s">
        <v>75</v>
      </c>
      <c r="B228" s="189" t="s">
        <v>140</v>
      </c>
      <c r="C228" s="189" t="s">
        <v>141</v>
      </c>
      <c r="D228" s="201" t="s">
        <v>102</v>
      </c>
    </row>
    <row r="229" spans="1:5">
      <c r="A229" s="188" t="s">
        <v>76</v>
      </c>
      <c r="B229" s="189" t="s">
        <v>142</v>
      </c>
      <c r="C229" s="189" t="s">
        <v>141</v>
      </c>
      <c r="D229" s="201" t="s">
        <v>572</v>
      </c>
    </row>
    <row r="232" spans="1:5">
      <c r="B232" s="201" t="s">
        <v>194</v>
      </c>
    </row>
    <row r="233" spans="1:5" ht="15.75" thickBot="1"/>
    <row r="234" spans="1:5" ht="15.75" thickBot="1">
      <c r="B234" s="215" t="s">
        <v>145</v>
      </c>
      <c r="C234" s="215" t="s">
        <v>146</v>
      </c>
      <c r="D234" s="215" t="s">
        <v>147</v>
      </c>
      <c r="E234" s="215" t="s">
        <v>148</v>
      </c>
    </row>
    <row r="235" spans="1:5" ht="15.75" thickBot="1">
      <c r="B235" s="216" t="s">
        <v>102</v>
      </c>
      <c r="C235" s="216" t="s">
        <v>163</v>
      </c>
      <c r="D235" s="216" t="s">
        <v>164</v>
      </c>
      <c r="E235" s="216" t="s">
        <v>164</v>
      </c>
    </row>
    <row r="236" spans="1:5" ht="15.75" thickBot="1">
      <c r="B236" s="217" t="s">
        <v>572</v>
      </c>
      <c r="C236" s="217" t="s">
        <v>164</v>
      </c>
      <c r="D236" s="217" t="s">
        <v>150</v>
      </c>
      <c r="E236" s="217" t="s">
        <v>149</v>
      </c>
    </row>
    <row r="237" spans="1:5" ht="15.75" thickBot="1">
      <c r="B237" s="216" t="s">
        <v>394</v>
      </c>
      <c r="C237" s="216" t="s">
        <v>150</v>
      </c>
      <c r="D237" s="216" t="s">
        <v>162</v>
      </c>
      <c r="E237" s="216" t="s">
        <v>153</v>
      </c>
    </row>
    <row r="238" spans="1:5" ht="15.75" thickBot="1">
      <c r="B238" s="217" t="s">
        <v>108</v>
      </c>
      <c r="C238" s="217" t="s">
        <v>151</v>
      </c>
      <c r="D238" s="217" t="s">
        <v>154</v>
      </c>
      <c r="E238" s="217" t="s">
        <v>149</v>
      </c>
    </row>
    <row r="241" spans="1:15">
      <c r="B241" s="201" t="s">
        <v>195</v>
      </c>
    </row>
    <row r="242" spans="1:15">
      <c r="B242" s="195"/>
    </row>
    <row r="243" spans="1:15">
      <c r="B243" s="195" t="s">
        <v>196</v>
      </c>
    </row>
    <row r="244" spans="1:15">
      <c r="B244" s="195" t="s">
        <v>197</v>
      </c>
    </row>
    <row r="247" spans="1:15">
      <c r="B247" s="218"/>
      <c r="C247" s="218"/>
      <c r="D247" s="218"/>
      <c r="E247" s="218"/>
      <c r="F247" s="218"/>
      <c r="G247" s="218"/>
      <c r="H247" s="364"/>
      <c r="I247" s="364"/>
      <c r="J247" s="364"/>
    </row>
    <row r="249" spans="1:15">
      <c r="K249" s="218"/>
      <c r="L249" s="219"/>
      <c r="M249" s="218"/>
      <c r="N249" s="218"/>
      <c r="O249" s="218"/>
    </row>
    <row r="250" spans="1:15">
      <c r="B250" s="201" t="s">
        <v>198</v>
      </c>
    </row>
    <row r="252" spans="1:15">
      <c r="A252" s="188" t="s">
        <v>77</v>
      </c>
      <c r="B252" s="189" t="s">
        <v>140</v>
      </c>
      <c r="C252" s="189" t="s">
        <v>141</v>
      </c>
      <c r="D252" s="201" t="s">
        <v>177</v>
      </c>
    </row>
    <row r="253" spans="1:15">
      <c r="A253" s="188" t="s">
        <v>78</v>
      </c>
      <c r="B253" s="189" t="s">
        <v>142</v>
      </c>
      <c r="C253" s="189" t="s">
        <v>141</v>
      </c>
      <c r="D253" s="201" t="s">
        <v>202</v>
      </c>
    </row>
    <row r="256" spans="1:15">
      <c r="B256" s="201" t="s">
        <v>201</v>
      </c>
    </row>
    <row r="257" spans="2:10" ht="15.75" thickBot="1"/>
    <row r="258" spans="2:10" ht="15.75" thickBot="1">
      <c r="B258" s="215" t="s">
        <v>145</v>
      </c>
      <c r="C258" s="215" t="s">
        <v>146</v>
      </c>
      <c r="D258" s="215" t="s">
        <v>147</v>
      </c>
      <c r="E258" s="215" t="s">
        <v>148</v>
      </c>
    </row>
    <row r="259" spans="2:10" ht="15.75" thickBot="1">
      <c r="B259" s="216" t="s">
        <v>177</v>
      </c>
      <c r="C259" s="216" t="s">
        <v>163</v>
      </c>
      <c r="D259" s="216" t="s">
        <v>172</v>
      </c>
      <c r="E259" s="216" t="s">
        <v>172</v>
      </c>
    </row>
    <row r="260" spans="2:10" ht="15.75" thickBot="1">
      <c r="B260" s="217" t="s">
        <v>202</v>
      </c>
      <c r="C260" s="217" t="s">
        <v>164</v>
      </c>
      <c r="D260" s="217" t="s">
        <v>151</v>
      </c>
      <c r="E260" s="217" t="s">
        <v>149</v>
      </c>
    </row>
    <row r="261" spans="2:10" ht="15.75" thickBot="1">
      <c r="B261" s="216" t="s">
        <v>181</v>
      </c>
      <c r="C261" s="216" t="s">
        <v>151</v>
      </c>
      <c r="D261" s="216" t="s">
        <v>154</v>
      </c>
      <c r="E261" s="216" t="s">
        <v>153</v>
      </c>
    </row>
    <row r="262" spans="2:10" ht="15.75" thickBot="1">
      <c r="B262" s="217" t="s">
        <v>32</v>
      </c>
      <c r="C262" s="217" t="s">
        <v>150</v>
      </c>
      <c r="D262" s="217" t="s">
        <v>252</v>
      </c>
      <c r="E262" s="217" t="s">
        <v>150</v>
      </c>
    </row>
    <row r="265" spans="2:10">
      <c r="B265" s="201" t="s">
        <v>203</v>
      </c>
    </row>
    <row r="266" spans="2:10">
      <c r="B266" s="195"/>
    </row>
    <row r="267" spans="2:10">
      <c r="B267" s="195" t="s">
        <v>204</v>
      </c>
    </row>
    <row r="268" spans="2:10">
      <c r="B268" s="195" t="s">
        <v>205</v>
      </c>
    </row>
    <row r="270" spans="2:10">
      <c r="B270" s="218"/>
      <c r="C270" s="218"/>
      <c r="D270" s="218"/>
      <c r="E270" s="218"/>
      <c r="F270" s="218"/>
      <c r="G270" s="218"/>
    </row>
    <row r="271" spans="2:10">
      <c r="H271" s="364"/>
      <c r="I271" s="364"/>
      <c r="J271" s="364"/>
    </row>
    <row r="273" spans="1:15">
      <c r="K273" s="218"/>
      <c r="L273" s="219"/>
      <c r="M273" s="218"/>
      <c r="N273" s="218"/>
      <c r="O273" s="218"/>
    </row>
    <row r="274" spans="1:15">
      <c r="B274" s="201" t="s">
        <v>206</v>
      </c>
    </row>
    <row r="276" spans="1:15">
      <c r="A276" s="188" t="s">
        <v>79</v>
      </c>
      <c r="B276" s="189" t="s">
        <v>140</v>
      </c>
      <c r="C276" s="189" t="s">
        <v>141</v>
      </c>
      <c r="D276" s="201" t="s">
        <v>395</v>
      </c>
    </row>
    <row r="277" spans="1:15">
      <c r="A277" s="188" t="s">
        <v>80</v>
      </c>
      <c r="B277" s="189" t="s">
        <v>142</v>
      </c>
      <c r="C277" s="189" t="s">
        <v>141</v>
      </c>
      <c r="D277" s="201" t="s">
        <v>396</v>
      </c>
    </row>
    <row r="278" spans="1:15">
      <c r="A278" s="188" t="s">
        <v>79</v>
      </c>
    </row>
    <row r="279" spans="1:15">
      <c r="A279" s="188" t="s">
        <v>80</v>
      </c>
    </row>
    <row r="280" spans="1:15">
      <c r="B280" s="201" t="s">
        <v>208</v>
      </c>
    </row>
    <row r="281" spans="1:15" ht="15.75" thickBot="1"/>
    <row r="282" spans="1:15" ht="15.75" thickBot="1">
      <c r="B282" s="215" t="s">
        <v>145</v>
      </c>
      <c r="C282" s="215" t="s">
        <v>146</v>
      </c>
      <c r="D282" s="215" t="s">
        <v>147</v>
      </c>
      <c r="E282" s="215" t="s">
        <v>148</v>
      </c>
    </row>
    <row r="283" spans="1:15" ht="15.75" thickBot="1">
      <c r="B283" s="216" t="s">
        <v>395</v>
      </c>
      <c r="C283" s="216" t="s">
        <v>163</v>
      </c>
      <c r="D283" s="216" t="s">
        <v>164</v>
      </c>
      <c r="E283" s="216" t="s">
        <v>164</v>
      </c>
    </row>
    <row r="284" spans="1:15" ht="15.75" thickBot="1">
      <c r="B284" s="217" t="s">
        <v>110</v>
      </c>
      <c r="C284" s="217" t="s">
        <v>151</v>
      </c>
      <c r="D284" s="217" t="s">
        <v>165</v>
      </c>
      <c r="E284" s="217" t="s">
        <v>156</v>
      </c>
    </row>
    <row r="285" spans="1:15" ht="15.75" thickBot="1">
      <c r="B285" s="216" t="s">
        <v>396</v>
      </c>
      <c r="C285" s="216" t="s">
        <v>164</v>
      </c>
      <c r="D285" s="216" t="s">
        <v>156</v>
      </c>
      <c r="E285" s="216" t="s">
        <v>151</v>
      </c>
    </row>
    <row r="286" spans="1:15" ht="15.75" thickBot="1">
      <c r="B286" s="217" t="s">
        <v>104</v>
      </c>
      <c r="C286" s="217" t="s">
        <v>150</v>
      </c>
      <c r="D286" s="217" t="s">
        <v>162</v>
      </c>
      <c r="E286" s="217" t="s">
        <v>150</v>
      </c>
    </row>
    <row r="289" spans="2:10">
      <c r="B289" s="201" t="s">
        <v>211</v>
      </c>
    </row>
    <row r="290" spans="2:10">
      <c r="B290" s="195"/>
    </row>
    <row r="291" spans="2:10">
      <c r="B291" s="195" t="s">
        <v>212</v>
      </c>
    </row>
    <row r="292" spans="2:10">
      <c r="B292" s="195" t="s">
        <v>213</v>
      </c>
    </row>
    <row r="295" spans="2:10">
      <c r="H295" s="364"/>
      <c r="I295" s="364"/>
      <c r="J295" s="364"/>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3.xml><?xml version="1.0" encoding="utf-8"?>
<worksheet xmlns="http://schemas.openxmlformats.org/spreadsheetml/2006/main" xmlns:r="http://schemas.openxmlformats.org/officeDocument/2006/relationships">
  <sheetPr codeName="Blad17">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268</v>
      </c>
      <c r="L1" s="194"/>
      <c r="P1" s="193">
        <f>SUM(P14:P101)+E11+H11+L7+L11+Q11</f>
        <v>370</v>
      </c>
    </row>
    <row r="2" spans="1:21" s="195" customFormat="1" ht="15" customHeight="1">
      <c r="B2" s="196" t="s">
        <v>86</v>
      </c>
      <c r="G2" s="196" t="s">
        <v>87</v>
      </c>
      <c r="J2" s="196" t="s">
        <v>88</v>
      </c>
      <c r="L2" s="197"/>
      <c r="U2" s="195" t="s">
        <v>464</v>
      </c>
    </row>
    <row r="3" spans="1:21" s="195" customFormat="1" ht="15" customHeight="1">
      <c r="B3" s="224" t="str">
        <f t="shared" ref="B3:B10" si="0">E78</f>
        <v>Kroatië</v>
      </c>
      <c r="C3" s="222">
        <f t="shared" ref="C3:C10" si="1">IF(ISNA(MATCH(B3,teams_achtste,0)),0,10)</f>
        <v>0</v>
      </c>
      <c r="D3" s="224" t="str">
        <f t="shared" ref="D3:D10" si="2">G78</f>
        <v>Spanje</v>
      </c>
      <c r="E3" s="222">
        <f t="shared" ref="E3:E10" si="3">IF(ISNA(MATCH(D3,teams_achtste,0)),0,10)</f>
        <v>0</v>
      </c>
      <c r="F3" s="339" t="s">
        <v>449</v>
      </c>
      <c r="G3" s="195" t="str">
        <f>E88</f>
        <v>Spanje</v>
      </c>
      <c r="H3" s="222">
        <f t="shared" ref="H3:H10" si="4">IF(ISNA(MATCH(G3,teams_kwart,0)),0,15)</f>
        <v>0</v>
      </c>
      <c r="I3" s="339" t="s">
        <v>457</v>
      </c>
      <c r="J3" s="195" t="str">
        <f>E94</f>
        <v>Italië</v>
      </c>
      <c r="L3" s="222">
        <f>IF(ISNA(MATCH(J3,teams_halve,0)),0,20)</f>
        <v>0</v>
      </c>
      <c r="Q3" s="223"/>
    </row>
    <row r="4" spans="1:21" s="195" customFormat="1" ht="15" customHeight="1">
      <c r="B4" s="224" t="str">
        <f t="shared" si="0"/>
        <v>Japan</v>
      </c>
      <c r="C4" s="222">
        <f t="shared" si="1"/>
        <v>0</v>
      </c>
      <c r="D4" s="224" t="str">
        <f t="shared" si="2"/>
        <v>Italië</v>
      </c>
      <c r="E4" s="222">
        <f t="shared" si="3"/>
        <v>0</v>
      </c>
      <c r="F4" s="339" t="s">
        <v>450</v>
      </c>
      <c r="G4" s="195" t="str">
        <f>G88</f>
        <v>Italië</v>
      </c>
      <c r="H4" s="222">
        <f t="shared" si="4"/>
        <v>0</v>
      </c>
      <c r="I4" s="339" t="s">
        <v>458</v>
      </c>
      <c r="J4" s="195" t="str">
        <f>G94</f>
        <v>Duitsland</v>
      </c>
      <c r="L4" s="222">
        <f>IF(ISNA(MATCH(J4,teams_halve,0)),0,20)</f>
        <v>20</v>
      </c>
      <c r="Q4" s="224"/>
    </row>
    <row r="5" spans="1:21" s="195" customFormat="1" ht="15" customHeight="1">
      <c r="B5" s="224" t="str">
        <f t="shared" si="0"/>
        <v>Nederland</v>
      </c>
      <c r="C5" s="222">
        <f t="shared" si="1"/>
        <v>10</v>
      </c>
      <c r="D5" s="224" t="str">
        <f t="shared" si="2"/>
        <v>Brazilië</v>
      </c>
      <c r="E5" s="222">
        <f t="shared" si="3"/>
        <v>10</v>
      </c>
      <c r="F5" s="339" t="s">
        <v>451</v>
      </c>
      <c r="G5" s="195" t="str">
        <f>E90</f>
        <v>Nederland</v>
      </c>
      <c r="H5" s="222">
        <f t="shared" si="4"/>
        <v>15</v>
      </c>
      <c r="I5" s="339" t="s">
        <v>459</v>
      </c>
      <c r="J5" s="195" t="str">
        <f>E95</f>
        <v>Nederland</v>
      </c>
      <c r="L5" s="222">
        <f>IF(ISNA(MATCH(J5,teams_halve,0)),0,20)</f>
        <v>20</v>
      </c>
    </row>
    <row r="6" spans="1:21" s="195" customFormat="1" ht="15" customHeight="1">
      <c r="B6" s="224" t="str">
        <f t="shared" si="0"/>
        <v>Uruguay</v>
      </c>
      <c r="C6" s="222">
        <f t="shared" si="1"/>
        <v>10</v>
      </c>
      <c r="D6" s="224" t="str">
        <f t="shared" si="2"/>
        <v>Ivoorkust</v>
      </c>
      <c r="E6" s="222">
        <f t="shared" si="3"/>
        <v>0</v>
      </c>
      <c r="F6" s="339" t="s">
        <v>452</v>
      </c>
      <c r="G6" s="195" t="str">
        <f>G90</f>
        <v>Uruguay</v>
      </c>
      <c r="H6" s="222">
        <f t="shared" si="4"/>
        <v>0</v>
      </c>
      <c r="I6" s="339" t="s">
        <v>460</v>
      </c>
      <c r="J6" s="195" t="str">
        <f>G95</f>
        <v>Argentinië</v>
      </c>
      <c r="L6" s="222">
        <f>IF(ISNA(MATCH(J6,teams_halve,0)),0,20)</f>
        <v>20</v>
      </c>
    </row>
    <row r="7" spans="1:21" s="195" customFormat="1" ht="15" customHeight="1">
      <c r="B7" s="224" t="str">
        <f t="shared" si="0"/>
        <v>Zwitserland</v>
      </c>
      <c r="C7" s="222">
        <f t="shared" si="1"/>
        <v>10</v>
      </c>
      <c r="D7" s="224" t="str">
        <f t="shared" si="2"/>
        <v>Bosnië en Herzegovina</v>
      </c>
      <c r="E7" s="222">
        <f t="shared" si="3"/>
        <v>0</v>
      </c>
      <c r="F7" s="339" t="s">
        <v>453</v>
      </c>
      <c r="G7" s="195" t="str">
        <f>E89</f>
        <v>Zwitserland</v>
      </c>
      <c r="H7" s="222">
        <f t="shared" si="4"/>
        <v>0</v>
      </c>
      <c r="I7" s="339"/>
      <c r="J7" s="198" t="s">
        <v>83</v>
      </c>
      <c r="K7" s="199"/>
      <c r="L7" s="225">
        <f>SUM(L3:L6)</f>
        <v>60</v>
      </c>
    </row>
    <row r="8" spans="1:21" s="195" customFormat="1" ht="15" customHeight="1">
      <c r="B8" s="224" t="str">
        <f t="shared" si="0"/>
        <v>Duitsland</v>
      </c>
      <c r="C8" s="222">
        <f t="shared" si="1"/>
        <v>10</v>
      </c>
      <c r="D8" s="224" t="str">
        <f t="shared" si="2"/>
        <v>Rusland</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Frankrijk</v>
      </c>
      <c r="E9" s="222">
        <f t="shared" si="3"/>
        <v>10</v>
      </c>
      <c r="F9" s="339" t="s">
        <v>455</v>
      </c>
      <c r="G9" s="195" t="str">
        <f>E91</f>
        <v>Argentinië</v>
      </c>
      <c r="H9" s="222">
        <f t="shared" si="4"/>
        <v>15</v>
      </c>
      <c r="I9" s="339" t="s">
        <v>461</v>
      </c>
      <c r="J9" s="195" t="str">
        <f>E101</f>
        <v>Duitsland</v>
      </c>
      <c r="L9" s="222">
        <f>IF(ISNA(MATCH(J9,teams_fin,0)),0,30)</f>
        <v>30</v>
      </c>
      <c r="P9" s="444" t="str">
        <f>E98</f>
        <v>Italië</v>
      </c>
      <c r="Q9" s="222">
        <f>IF(ISNA(MATCH(P9,teams_troost,0)),0,25)</f>
        <v>0</v>
      </c>
    </row>
    <row r="10" spans="1:21" s="195" customFormat="1" ht="15" customHeight="1">
      <c r="B10" s="224" t="str">
        <f t="shared" si="0"/>
        <v>België</v>
      </c>
      <c r="C10" s="222">
        <f t="shared" si="1"/>
        <v>10</v>
      </c>
      <c r="D10" s="224" t="str">
        <f t="shared" si="2"/>
        <v>Portugal</v>
      </c>
      <c r="E10" s="222">
        <f t="shared" si="3"/>
        <v>0</v>
      </c>
      <c r="F10" s="339" t="s">
        <v>456</v>
      </c>
      <c r="G10" s="195" t="str">
        <f>G91</f>
        <v>België</v>
      </c>
      <c r="H10" s="222">
        <f t="shared" si="4"/>
        <v>15</v>
      </c>
      <c r="I10" s="339" t="s">
        <v>462</v>
      </c>
      <c r="J10" s="195" t="str">
        <f>G101</f>
        <v>Nederland</v>
      </c>
      <c r="L10" s="222">
        <f>IF(ISNA(MATCH(J10,teams_fin,0)),0,30)</f>
        <v>0</v>
      </c>
      <c r="P10" s="444" t="str">
        <f>G98</f>
        <v>Argentinië</v>
      </c>
      <c r="Q10" s="222">
        <f>IF(ISNA(MATCH(P10,teams_troost,0)),0,25)</f>
        <v>0</v>
      </c>
    </row>
    <row r="11" spans="1:21" s="195" customFormat="1" ht="15" customHeight="1">
      <c r="D11" s="198" t="s">
        <v>89</v>
      </c>
      <c r="E11" s="225">
        <f>SUM(C3:E10)</f>
        <v>80</v>
      </c>
      <c r="G11" s="198" t="s">
        <v>82</v>
      </c>
      <c r="H11" s="225">
        <f>SUM(H3:H10)</f>
        <v>60</v>
      </c>
      <c r="J11" s="198" t="s">
        <v>90</v>
      </c>
      <c r="K11" s="199"/>
      <c r="L11" s="225">
        <f>SUM(L9:L10)</f>
        <v>30</v>
      </c>
      <c r="P11" s="199"/>
      <c r="Q11" s="225">
        <f>SUM(Q9:Q10)</f>
        <v>0</v>
      </c>
    </row>
    <row r="12" spans="1:21">
      <c r="B12" s="201" t="s">
        <v>19</v>
      </c>
      <c r="C12" s="201"/>
      <c r="D12" s="339" t="s">
        <v>463</v>
      </c>
      <c r="E12" s="202" t="s">
        <v>135</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1</v>
      </c>
      <c r="I14" s="366" t="s">
        <v>29</v>
      </c>
      <c r="J14" s="366">
        <v>2</v>
      </c>
      <c r="K14" s="212">
        <f t="shared" ref="K14:K49" si="5">IF(AND(H14="",J14=""),"",IF(OR(H14="",J14=""),"FOUT",IF(H14&gt;J14,"1",IF(H14=J14,3,2))))</f>
        <v>2</v>
      </c>
      <c r="L14" s="210" t="str">
        <f>VLOOKUP($B14,Invulblad!$A$11:$S$103,13,0)</f>
        <v>1</v>
      </c>
      <c r="M14" s="211">
        <f>IF(L14&lt;&gt;"",VLOOKUP($B14,Invulblad!$A$11:$S$103,7,0),"")</f>
        <v>3</v>
      </c>
      <c r="N14" s="209" t="s">
        <v>29</v>
      </c>
      <c r="O14" s="211">
        <f>IF(L14&lt;&gt;"",VLOOKUP($B14,Invulblad!$A$11:$S$103,9,0),"")</f>
        <v>1</v>
      </c>
      <c r="P14" s="212">
        <f t="shared" ref="P14:P19" si="6">IF(L14&lt;&gt;"",IF(AND(M14=H14,O14=J14),10,IF(K14=L14,5,0)),"")</f>
        <v>0</v>
      </c>
    </row>
    <row r="15" spans="1:21">
      <c r="A15" s="188">
        <v>2</v>
      </c>
      <c r="B15" s="195">
        <v>2</v>
      </c>
      <c r="C15" s="332">
        <v>41803</v>
      </c>
      <c r="D15" s="333">
        <v>0.75</v>
      </c>
      <c r="E15" s="189" t="s">
        <v>101</v>
      </c>
      <c r="F15" s="189" t="s">
        <v>29</v>
      </c>
      <c r="G15" s="189" t="s">
        <v>119</v>
      </c>
      <c r="H15" s="366">
        <v>2</v>
      </c>
      <c r="I15" s="366" t="s">
        <v>29</v>
      </c>
      <c r="J15" s="366">
        <v>0</v>
      </c>
      <c r="K15" s="212" t="str">
        <f t="shared" si="5"/>
        <v>1</v>
      </c>
      <c r="L15" s="210" t="str">
        <f>VLOOKUP($B15,Invulblad!$A$11:$S$103,13,0)</f>
        <v>1</v>
      </c>
      <c r="M15" s="211">
        <f>IF(L15&lt;&gt;"",VLOOKUP($B15,Invulblad!$A$11:$S$103,7,0),"")</f>
        <v>1</v>
      </c>
      <c r="N15" s="209" t="s">
        <v>29</v>
      </c>
      <c r="O15" s="211">
        <f>IF(L15&lt;&gt;"",VLOOKUP($B15,Invulblad!$A$11:$S$103,9,0),"")</f>
        <v>0</v>
      </c>
      <c r="P15" s="212">
        <f t="shared" si="6"/>
        <v>5</v>
      </c>
    </row>
    <row r="16" spans="1:21">
      <c r="A16" s="188">
        <v>3</v>
      </c>
      <c r="B16" s="195">
        <v>17</v>
      </c>
      <c r="C16" s="332">
        <v>41807</v>
      </c>
      <c r="D16" s="333">
        <v>0.875</v>
      </c>
      <c r="E16" s="189" t="s">
        <v>557</v>
      </c>
      <c r="F16" s="189" t="s">
        <v>29</v>
      </c>
      <c r="G16" s="189" t="s">
        <v>96</v>
      </c>
      <c r="H16" s="366">
        <v>2</v>
      </c>
      <c r="I16" s="366" t="s">
        <v>29</v>
      </c>
      <c r="J16" s="366">
        <v>1</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0</v>
      </c>
      <c r="I17" s="366" t="s">
        <v>29</v>
      </c>
      <c r="J17" s="366">
        <v>2</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0</v>
      </c>
      <c r="I18" s="366" t="s">
        <v>29</v>
      </c>
      <c r="J18" s="366">
        <v>3</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1</v>
      </c>
      <c r="I19" s="366" t="s">
        <v>29</v>
      </c>
      <c r="J19" s="366">
        <v>1</v>
      </c>
      <c r="K19" s="212">
        <f t="shared" si="5"/>
        <v>3</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0</v>
      </c>
      <c r="I22" s="366" t="s">
        <v>29</v>
      </c>
      <c r="J22" s="366">
        <v>1</v>
      </c>
      <c r="K22" s="212">
        <f t="shared" si="5"/>
        <v>2</v>
      </c>
      <c r="L22" s="210">
        <f>VLOOKUP($B22,Invulblad!$A$11:$S$103,13,0)</f>
        <v>2</v>
      </c>
      <c r="M22" s="211">
        <f>IF(L22&lt;&gt;"",VLOOKUP($B22,Invulblad!$A$11:$S$103,7,0),"")</f>
        <v>1</v>
      </c>
      <c r="N22" s="209" t="s">
        <v>29</v>
      </c>
      <c r="O22" s="211">
        <f>IF(L22&lt;&gt;"",VLOOKUP($B22,Invulblad!$A$11:$S$103,9,0),"")</f>
        <v>5</v>
      </c>
      <c r="P22" s="212">
        <f t="shared" ref="P22:P27" si="7">IF(L22&lt;&gt;"",IF(AND(M22=H22,O22=J22),10,IF(K22=L22,5,0)),"")</f>
        <v>5</v>
      </c>
    </row>
    <row r="23" spans="1:16">
      <c r="A23" s="188">
        <v>10</v>
      </c>
      <c r="B23" s="195">
        <v>4</v>
      </c>
      <c r="C23" s="332">
        <v>41804</v>
      </c>
      <c r="D23" s="333">
        <v>0</v>
      </c>
      <c r="E23" s="189" t="s">
        <v>131</v>
      </c>
      <c r="F23" s="189" t="s">
        <v>29</v>
      </c>
      <c r="G23" s="189" t="s">
        <v>561</v>
      </c>
      <c r="H23" s="366">
        <v>2</v>
      </c>
      <c r="I23" s="366" t="s">
        <v>29</v>
      </c>
      <c r="J23" s="366">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1</v>
      </c>
      <c r="I24" s="366" t="s">
        <v>29</v>
      </c>
      <c r="J24" s="366">
        <v>0</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0</v>
      </c>
      <c r="I25" s="366" t="s">
        <v>29</v>
      </c>
      <c r="J25" s="366">
        <v>2</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0</v>
      </c>
      <c r="I26" s="366" t="s">
        <v>29</v>
      </c>
      <c r="J26" s="366">
        <v>1</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2</v>
      </c>
      <c r="I27" s="366" t="s">
        <v>29</v>
      </c>
      <c r="J27" s="366">
        <v>0</v>
      </c>
      <c r="K27" s="212" t="str">
        <f t="shared" si="5"/>
        <v>1</v>
      </c>
      <c r="L27" s="210" t="str">
        <f>VLOOKUP($B27,Invulblad!$A$11:$S$103,13,0)</f>
        <v>1</v>
      </c>
      <c r="M27" s="211">
        <f>IF(L27&lt;&gt;"",VLOOKUP($B27,Invulblad!$A$11:$S$103,7,0),"")</f>
        <v>2</v>
      </c>
      <c r="N27" s="209" t="s">
        <v>29</v>
      </c>
      <c r="O27" s="211">
        <f>IF(L27&lt;&gt;"",VLOOKUP($B27,Invulblad!$A$11:$S$103,9,0),"")</f>
        <v>0</v>
      </c>
      <c r="P27" s="212">
        <f t="shared" si="7"/>
        <v>10</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1</v>
      </c>
      <c r="I30" s="366" t="s">
        <v>29</v>
      </c>
      <c r="J30" s="366">
        <v>0</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0</v>
      </c>
      <c r="I31" s="366" t="s">
        <v>29</v>
      </c>
      <c r="J31" s="366">
        <v>2</v>
      </c>
      <c r="K31" s="212">
        <f t="shared" si="5"/>
        <v>2</v>
      </c>
      <c r="L31" s="210" t="str">
        <f>VLOOKUP($B31,Invulblad!$A$11:$S$103,13,0)</f>
        <v>1</v>
      </c>
      <c r="M31" s="211">
        <f>IF(L31&lt;&gt;"",VLOOKUP($B31,Invulblad!$A$11:$S$103,7,0),"")</f>
        <v>2</v>
      </c>
      <c r="N31" s="209" t="s">
        <v>29</v>
      </c>
      <c r="O31" s="211">
        <f>IF(L31&lt;&gt;"",VLOOKUP($B31,Invulblad!$A$11:$S$103,9,0),"")</f>
        <v>1</v>
      </c>
      <c r="P31" s="212">
        <f t="shared" si="8"/>
        <v>0</v>
      </c>
    </row>
    <row r="32" spans="1:16">
      <c r="A32" s="188">
        <v>19</v>
      </c>
      <c r="B32" s="195">
        <v>21</v>
      </c>
      <c r="C32" s="332">
        <v>41809</v>
      </c>
      <c r="D32" s="333">
        <v>0.75</v>
      </c>
      <c r="E32" s="189" t="s">
        <v>428</v>
      </c>
      <c r="F32" s="189" t="s">
        <v>29</v>
      </c>
      <c r="G32" s="189" t="s">
        <v>125</v>
      </c>
      <c r="H32" s="366">
        <v>0</v>
      </c>
      <c r="I32" s="366" t="s">
        <v>29</v>
      </c>
      <c r="J32" s="366">
        <v>1</v>
      </c>
      <c r="K32" s="212">
        <f t="shared" si="5"/>
        <v>2</v>
      </c>
      <c r="L32" s="210" t="str">
        <f>VLOOKUP($B32,Invulblad!$A$11:$S$103,13,0)</f>
        <v>1</v>
      </c>
      <c r="M32" s="211">
        <f>IF(L32&lt;&gt;"",VLOOKUP($B32,Invulblad!$A$11:$S$103,7,0),"")</f>
        <v>2</v>
      </c>
      <c r="N32" s="209" t="s">
        <v>29</v>
      </c>
      <c r="O32" s="211">
        <f>IF(L32&lt;&gt;"",VLOOKUP($B32,Invulblad!$A$11:$S$103,9,0),"")</f>
        <v>1</v>
      </c>
      <c r="P32" s="212">
        <f t="shared" si="8"/>
        <v>0</v>
      </c>
    </row>
    <row r="33" spans="1:16">
      <c r="A33" s="188">
        <v>20</v>
      </c>
      <c r="B33" s="195">
        <v>22</v>
      </c>
      <c r="C33" s="332">
        <v>41810</v>
      </c>
      <c r="D33" s="333">
        <v>0</v>
      </c>
      <c r="E33" s="189" t="s">
        <v>118</v>
      </c>
      <c r="F33" s="189" t="s">
        <v>29</v>
      </c>
      <c r="G33" s="189" t="s">
        <v>105</v>
      </c>
      <c r="H33" s="366">
        <v>2</v>
      </c>
      <c r="I33" s="366" t="s">
        <v>29</v>
      </c>
      <c r="J33" s="366">
        <v>0</v>
      </c>
      <c r="K33" s="212" t="str">
        <f t="shared" si="5"/>
        <v>1</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1</v>
      </c>
      <c r="I34" s="366" t="s">
        <v>29</v>
      </c>
      <c r="J34" s="366">
        <v>1</v>
      </c>
      <c r="K34" s="212">
        <f t="shared" si="5"/>
        <v>3</v>
      </c>
      <c r="L34" s="210">
        <f>VLOOKUP($B34,Invulblad!$A$11:$S$103,13,0)</f>
        <v>2</v>
      </c>
      <c r="M34" s="211">
        <f>IF(L34&lt;&gt;"",VLOOKUP($B34,Invulblad!$A$11:$S$103,7,0),"")</f>
        <v>1</v>
      </c>
      <c r="N34" s="209" t="s">
        <v>29</v>
      </c>
      <c r="O34" s="211">
        <f>IF(L34&lt;&gt;"",VLOOKUP($B34,Invulblad!$A$11:$S$103,9,0),"")</f>
        <v>4</v>
      </c>
      <c r="P34" s="212">
        <f t="shared" si="8"/>
        <v>0</v>
      </c>
    </row>
    <row r="35" spans="1:16">
      <c r="A35" s="188">
        <v>22</v>
      </c>
      <c r="B35" s="195">
        <v>38</v>
      </c>
      <c r="C35" s="332">
        <v>41814</v>
      </c>
      <c r="D35" s="333">
        <v>0.91666666666666663</v>
      </c>
      <c r="E35" s="189" t="s">
        <v>233</v>
      </c>
      <c r="F35" s="189" t="s">
        <v>29</v>
      </c>
      <c r="G35" s="189" t="s">
        <v>125</v>
      </c>
      <c r="H35" s="366">
        <v>0</v>
      </c>
      <c r="I35" s="366" t="s">
        <v>29</v>
      </c>
      <c r="J35" s="366">
        <v>1</v>
      </c>
      <c r="K35" s="212">
        <f t="shared" si="5"/>
        <v>2</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3</v>
      </c>
      <c r="I38" s="366" t="s">
        <v>29</v>
      </c>
      <c r="J38" s="366">
        <v>1</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0</v>
      </c>
      <c r="I39" s="366" t="s">
        <v>29</v>
      </c>
      <c r="J39" s="366">
        <v>0</v>
      </c>
      <c r="K39" s="212">
        <f t="shared" si="5"/>
        <v>3</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1</v>
      </c>
      <c r="I40" s="366" t="s">
        <v>29</v>
      </c>
      <c r="J40" s="366">
        <v>0</v>
      </c>
      <c r="K40" s="212" t="str">
        <f t="shared" si="5"/>
        <v>1</v>
      </c>
      <c r="L40" s="210" t="str">
        <f>VLOOKUP($B40,Invulblad!$A$11:$S$103,13,0)</f>
        <v>1</v>
      </c>
      <c r="M40" s="211">
        <f>IF(L40&lt;&gt;"",VLOOKUP($B40,Invulblad!$A$11:$S$103,7,0),"")</f>
        <v>2</v>
      </c>
      <c r="N40" s="209" t="s">
        <v>29</v>
      </c>
      <c r="O40" s="211">
        <f>IF(L40&lt;&gt;"",VLOOKUP($B40,Invulblad!$A$11:$S$103,9,0),"")</f>
        <v>1</v>
      </c>
      <c r="P40" s="212">
        <f t="shared" si="9"/>
        <v>5</v>
      </c>
    </row>
    <row r="41" spans="1:16">
      <c r="A41" s="188">
        <v>28</v>
      </c>
      <c r="B41" s="195">
        <v>24</v>
      </c>
      <c r="C41" s="332">
        <v>41810</v>
      </c>
      <c r="D41" s="333">
        <v>0.75</v>
      </c>
      <c r="E41" s="189" t="s">
        <v>564</v>
      </c>
      <c r="F41" s="189" t="s">
        <v>29</v>
      </c>
      <c r="G41" s="189" t="s">
        <v>430</v>
      </c>
      <c r="H41" s="366">
        <v>1</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0</v>
      </c>
      <c r="I42" s="366" t="s">
        <v>29</v>
      </c>
      <c r="J42" s="366">
        <v>0</v>
      </c>
      <c r="K42" s="212">
        <f t="shared" si="5"/>
        <v>3</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1</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1</v>
      </c>
      <c r="I46" s="366" t="s">
        <v>29</v>
      </c>
      <c r="J46" s="366">
        <v>0</v>
      </c>
      <c r="K46" s="212" t="str">
        <f t="shared" si="5"/>
        <v>1</v>
      </c>
      <c r="L46" s="210" t="str">
        <f>VLOOKUP($B46,Invulblad!$A$11:$S$103,13,0)</f>
        <v>1</v>
      </c>
      <c r="M46" s="211">
        <f>IF(L46&lt;&gt;"",VLOOKUP($B46,Invulblad!$A$11:$S$103,7,0),"")</f>
        <v>2</v>
      </c>
      <c r="N46" s="209" t="s">
        <v>29</v>
      </c>
      <c r="O46" s="211">
        <f>IF(L46&lt;&gt;"",VLOOKUP($B46,Invulblad!$A$11:$S$103,9,0),"")</f>
        <v>1</v>
      </c>
      <c r="P46" s="212">
        <f t="shared" ref="P46:P51" si="10">IF(L46&lt;&gt;"",IF(AND(M46=H46,O46=J46),10,IF(K46=L46,5,0)),"")</f>
        <v>5</v>
      </c>
    </row>
    <row r="47" spans="1:16">
      <c r="A47" s="188">
        <v>34</v>
      </c>
      <c r="B47" s="195">
        <v>10</v>
      </c>
      <c r="C47" s="332">
        <v>41805</v>
      </c>
      <c r="D47" s="333">
        <v>0.875</v>
      </c>
      <c r="E47" s="189" t="s">
        <v>100</v>
      </c>
      <c r="F47" s="189" t="s">
        <v>29</v>
      </c>
      <c r="G47" s="189" t="s">
        <v>132</v>
      </c>
      <c r="H47" s="366">
        <v>2</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1</v>
      </c>
      <c r="I48" s="366" t="s">
        <v>29</v>
      </c>
      <c r="J48" s="366">
        <v>0</v>
      </c>
      <c r="K48" s="212" t="str">
        <f t="shared" si="5"/>
        <v>1</v>
      </c>
      <c r="L48" s="210">
        <f>VLOOKUP($B48,Invulblad!$A$11:$S$103,13,0)</f>
        <v>2</v>
      </c>
      <c r="M48" s="211">
        <f>IF(L48&lt;&gt;"",VLOOKUP($B48,Invulblad!$A$11:$S$103,7,0),"")</f>
        <v>2</v>
      </c>
      <c r="N48" s="209" t="s">
        <v>29</v>
      </c>
      <c r="O48" s="211">
        <f>IF(L48&lt;&gt;"",VLOOKUP($B48,Invulblad!$A$11:$S$103,9,0),"")</f>
        <v>5</v>
      </c>
      <c r="P48" s="212">
        <f t="shared" si="10"/>
        <v>0</v>
      </c>
    </row>
    <row r="49" spans="1:16">
      <c r="A49" s="188">
        <v>36</v>
      </c>
      <c r="B49" s="195">
        <v>26</v>
      </c>
      <c r="C49" s="332">
        <v>41811</v>
      </c>
      <c r="D49" s="333">
        <v>0</v>
      </c>
      <c r="E49" s="189" t="s">
        <v>127</v>
      </c>
      <c r="F49" s="189" t="s">
        <v>29</v>
      </c>
      <c r="G49" s="189" t="s">
        <v>434</v>
      </c>
      <c r="H49" s="366">
        <v>2</v>
      </c>
      <c r="I49" s="366" t="s">
        <v>29</v>
      </c>
      <c r="J49" s="366">
        <v>2</v>
      </c>
      <c r="K49" s="212">
        <f t="shared" si="5"/>
        <v>3</v>
      </c>
      <c r="L49" s="210">
        <f>VLOOKUP($B49,Invulblad!$A$11:$S$103,13,0)</f>
        <v>2</v>
      </c>
      <c r="M49" s="211">
        <f>IF(L49&lt;&gt;"",VLOOKUP($B49,Invulblad!$A$11:$S$103,7,0),"")</f>
        <v>1</v>
      </c>
      <c r="N49" s="209" t="s">
        <v>29</v>
      </c>
      <c r="O49" s="211">
        <f>IF(L49&lt;&gt;"",VLOOKUP($B49,Invulblad!$A$11:$S$103,9,0),"")</f>
        <v>2</v>
      </c>
      <c r="P49" s="212">
        <f t="shared" si="10"/>
        <v>0</v>
      </c>
    </row>
    <row r="50" spans="1:16">
      <c r="A50" s="188">
        <v>37</v>
      </c>
      <c r="B50" s="195">
        <v>41</v>
      </c>
      <c r="C50" s="332">
        <v>41815</v>
      </c>
      <c r="D50" s="333">
        <v>0.91666666666666663</v>
      </c>
      <c r="E50" s="189" t="s">
        <v>127</v>
      </c>
      <c r="F50" s="189" t="s">
        <v>29</v>
      </c>
      <c r="G50" s="189" t="s">
        <v>130</v>
      </c>
      <c r="H50" s="366">
        <v>0</v>
      </c>
      <c r="I50" s="366" t="s">
        <v>29</v>
      </c>
      <c r="J50" s="366">
        <v>1</v>
      </c>
      <c r="K50" s="212">
        <f t="shared" ref="K50:K85" si="11">IF(AND(H50="",J50=""),"",IF(OR(H50="",J50=""),"FOUT",IF(H50&gt;J50,"1",IF(H50=J50,3,2))))</f>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0</v>
      </c>
      <c r="I51" s="366" t="s">
        <v>29</v>
      </c>
      <c r="J51" s="366">
        <v>1</v>
      </c>
      <c r="K51" s="212">
        <f t="shared" si="11"/>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367"/>
      <c r="I52" s="367"/>
      <c r="J52" s="367"/>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1</v>
      </c>
      <c r="I54" s="366" t="s">
        <v>29</v>
      </c>
      <c r="J54" s="366">
        <v>1</v>
      </c>
      <c r="K54" s="212">
        <f t="shared" si="11"/>
        <v>3</v>
      </c>
      <c r="L54" s="210" t="str">
        <f>VLOOKUP($B54,Invulblad!$A$11:$S$103,13,0)</f>
        <v>1</v>
      </c>
      <c r="M54" s="211">
        <f>IF(L54&lt;&gt;"",VLOOKUP($B54,Invulblad!$A$11:$S$103,7,0),"")</f>
        <v>2</v>
      </c>
      <c r="N54" s="209" t="s">
        <v>29</v>
      </c>
      <c r="O54" s="211">
        <f>IF(L54&lt;&gt;"",VLOOKUP($B54,Invulblad!$A$11:$S$103,9,0),"")</f>
        <v>1</v>
      </c>
      <c r="P54" s="212">
        <f t="shared" ref="P54:P59" si="12">IF(L54&lt;&gt;"",IF(AND(M54=H54,O54=J54),10,IF(K54=L54,5,0)),"")</f>
        <v>0</v>
      </c>
    </row>
    <row r="55" spans="1:16">
      <c r="A55" s="188">
        <v>42</v>
      </c>
      <c r="B55" s="195">
        <v>12</v>
      </c>
      <c r="C55" s="332">
        <v>41806</v>
      </c>
      <c r="D55" s="333">
        <v>0.875</v>
      </c>
      <c r="E55" s="189" t="s">
        <v>438</v>
      </c>
      <c r="F55" s="189" t="s">
        <v>29</v>
      </c>
      <c r="G55" s="189" t="s">
        <v>103</v>
      </c>
      <c r="H55" s="366">
        <v>0</v>
      </c>
      <c r="I55" s="366" t="s">
        <v>29</v>
      </c>
      <c r="J55" s="366">
        <v>1</v>
      </c>
      <c r="K55" s="212">
        <f t="shared" si="11"/>
        <v>2</v>
      </c>
      <c r="L55" s="210">
        <f>VLOOKUP($B55,Invulblad!$A$11:$S$103,13,0)</f>
        <v>3</v>
      </c>
      <c r="M55" s="211">
        <f>IF(L55&lt;&gt;"",VLOOKUP($B55,Invulblad!$A$11:$S$103,7,0),"")</f>
        <v>0</v>
      </c>
      <c r="N55" s="209" t="s">
        <v>29</v>
      </c>
      <c r="O55" s="211">
        <f>IF(L55&lt;&gt;"",VLOOKUP($B55,Invulblad!$A$11:$S$103,9,0),"")</f>
        <v>0</v>
      </c>
      <c r="P55" s="212">
        <f t="shared" si="12"/>
        <v>0</v>
      </c>
    </row>
    <row r="56" spans="1:16">
      <c r="A56" s="188">
        <v>43</v>
      </c>
      <c r="B56" s="195">
        <v>27</v>
      </c>
      <c r="C56" s="332">
        <v>41811</v>
      </c>
      <c r="D56" s="333">
        <v>0.75</v>
      </c>
      <c r="E56" s="189" t="s">
        <v>565</v>
      </c>
      <c r="F56" s="189" t="s">
        <v>29</v>
      </c>
      <c r="G56" s="189" t="s">
        <v>439</v>
      </c>
      <c r="H56" s="366">
        <v>4</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0</v>
      </c>
      <c r="I57" s="366" t="s">
        <v>29</v>
      </c>
      <c r="J57" s="366">
        <v>1</v>
      </c>
      <c r="K57" s="212">
        <f t="shared" si="11"/>
        <v>2</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0</v>
      </c>
      <c r="I58" s="366" t="s">
        <v>29</v>
      </c>
      <c r="J58" s="366">
        <v>2</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1</v>
      </c>
      <c r="I59" s="366" t="s">
        <v>29</v>
      </c>
      <c r="J59" s="366">
        <v>0</v>
      </c>
      <c r="K59" s="212" t="str">
        <f t="shared" si="11"/>
        <v>1</v>
      </c>
      <c r="L59" s="210" t="str">
        <f>VLOOKUP($B59,Invulblad!$A$11:$S$103,13,0)</f>
        <v>1</v>
      </c>
      <c r="M59" s="211">
        <f>IF(L59&lt;&gt;"",VLOOKUP($B59,Invulblad!$A$11:$S$103,7,0),"")</f>
        <v>3</v>
      </c>
      <c r="N59" s="209" t="s">
        <v>29</v>
      </c>
      <c r="O59" s="211">
        <f>IF(L59&lt;&gt;"",VLOOKUP($B59,Invulblad!$A$11:$S$103,9,0),"")</f>
        <v>1</v>
      </c>
      <c r="P59" s="212">
        <f t="shared" si="12"/>
        <v>5</v>
      </c>
    </row>
    <row r="60" spans="1:16">
      <c r="A60" s="188">
        <v>47</v>
      </c>
      <c r="B60" s="201" t="s">
        <v>36</v>
      </c>
      <c r="H60" s="367"/>
      <c r="I60" s="367"/>
      <c r="J60" s="367"/>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0</v>
      </c>
      <c r="I62" s="366" t="s">
        <v>29</v>
      </c>
      <c r="J62" s="366">
        <v>0</v>
      </c>
      <c r="K62" s="212">
        <f t="shared" si="11"/>
        <v>3</v>
      </c>
      <c r="L62" s="210" t="str">
        <f>VLOOKUP($B62,Invulblad!$A$11:$S$103,13,0)</f>
        <v>1</v>
      </c>
      <c r="M62" s="211">
        <f>IF(L62&lt;&gt;"",VLOOKUP($B62,Invulblad!$A$11:$S$103,7,0),"")</f>
        <v>4</v>
      </c>
      <c r="N62" s="209" t="s">
        <v>29</v>
      </c>
      <c r="O62" s="211">
        <f>IF(L62&lt;&gt;"",VLOOKUP($B62,Invulblad!$A$11:$S$103,9,0),"")</f>
        <v>0</v>
      </c>
      <c r="P62" s="212">
        <f t="shared" ref="P62:P67" si="13">IF(L62&lt;&gt;"",IF(AND(M62=H62,O62=J62),10,IF(K62=L62,5,0)),"")</f>
        <v>0</v>
      </c>
    </row>
    <row r="63" spans="1:16">
      <c r="A63" s="188">
        <v>50</v>
      </c>
      <c r="B63" s="195">
        <v>14</v>
      </c>
      <c r="C63" s="332">
        <v>41807</v>
      </c>
      <c r="D63" s="333">
        <v>0</v>
      </c>
      <c r="E63" s="189" t="s">
        <v>115</v>
      </c>
      <c r="F63" s="189" t="s">
        <v>29</v>
      </c>
      <c r="G63" s="189" t="s">
        <v>577</v>
      </c>
      <c r="H63" s="366">
        <v>1</v>
      </c>
      <c r="I63" s="366" t="s">
        <v>29</v>
      </c>
      <c r="J63" s="366">
        <v>0</v>
      </c>
      <c r="K63" s="212" t="str">
        <f t="shared" si="11"/>
        <v>1</v>
      </c>
      <c r="L63" s="210">
        <f>VLOOKUP($B63,Invulblad!$A$11:$S$103,13,0)</f>
        <v>2</v>
      </c>
      <c r="M63" s="211">
        <f>IF(L63&lt;&gt;"",VLOOKUP($B63,Invulblad!$A$11:$S$103,7,0),"")</f>
        <v>1</v>
      </c>
      <c r="N63" s="209" t="s">
        <v>29</v>
      </c>
      <c r="O63" s="211">
        <f>IF(L63&lt;&gt;"",VLOOKUP($B63,Invulblad!$A$11:$S$103,9,0),"")</f>
        <v>2</v>
      </c>
      <c r="P63" s="212">
        <f t="shared" si="13"/>
        <v>0</v>
      </c>
    </row>
    <row r="64" spans="1:16">
      <c r="A64" s="188">
        <v>51</v>
      </c>
      <c r="B64" s="195">
        <v>29</v>
      </c>
      <c r="C64" s="332">
        <v>41811</v>
      </c>
      <c r="D64" s="333">
        <v>0.875</v>
      </c>
      <c r="E64" s="189" t="s">
        <v>113</v>
      </c>
      <c r="F64" s="189" t="s">
        <v>29</v>
      </c>
      <c r="G64" s="189" t="s">
        <v>114</v>
      </c>
      <c r="H64" s="366">
        <v>2</v>
      </c>
      <c r="I64" s="366" t="s">
        <v>29</v>
      </c>
      <c r="J64" s="366">
        <v>0</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1</v>
      </c>
      <c r="I65" s="366" t="s">
        <v>29</v>
      </c>
      <c r="J65" s="366">
        <v>1</v>
      </c>
      <c r="K65" s="212">
        <f t="shared" si="11"/>
        <v>3</v>
      </c>
      <c r="L65" s="210">
        <f>VLOOKUP($B65,Invulblad!$A$11:$S$103,13,0)</f>
        <v>3</v>
      </c>
      <c r="M65" s="211">
        <f>IF(L65&lt;&gt;"",VLOOKUP($B65,Invulblad!$A$11:$S$103,7,0),"")</f>
        <v>2</v>
      </c>
      <c r="N65" s="209" t="s">
        <v>29</v>
      </c>
      <c r="O65" s="211">
        <f>IF(L65&lt;&gt;"",VLOOKUP($B65,Invulblad!$A$11:$S$103,9,0),"")</f>
        <v>2</v>
      </c>
      <c r="P65" s="212">
        <f t="shared" si="13"/>
        <v>5</v>
      </c>
    </row>
    <row r="66" spans="1:16">
      <c r="A66" s="188">
        <v>53</v>
      </c>
      <c r="B66" s="195">
        <v>45</v>
      </c>
      <c r="C66" s="332">
        <v>41816</v>
      </c>
      <c r="D66" s="333">
        <v>0.75</v>
      </c>
      <c r="E66" s="189" t="s">
        <v>578</v>
      </c>
      <c r="F66" s="189" t="s">
        <v>29</v>
      </c>
      <c r="G66" s="189" t="s">
        <v>116</v>
      </c>
      <c r="H66" s="366">
        <v>0</v>
      </c>
      <c r="I66" s="366" t="s">
        <v>29</v>
      </c>
      <c r="J66" s="366">
        <v>3</v>
      </c>
      <c r="K66" s="212">
        <f t="shared" si="11"/>
        <v>2</v>
      </c>
      <c r="L66" s="210">
        <f>VLOOKUP($B66,Invulblad!$A$11:$S$103,13,0)</f>
        <v>2</v>
      </c>
      <c r="M66" s="211">
        <f>IF(L66&lt;&gt;"",VLOOKUP($B66,Invulblad!$A$11:$S$103,7,0),"")</f>
        <v>0</v>
      </c>
      <c r="N66" s="209" t="s">
        <v>29</v>
      </c>
      <c r="O66" s="211">
        <f>IF(L66&lt;&gt;"",VLOOKUP($B66,Invulblad!$A$11:$S$103,9,0),"")</f>
        <v>1</v>
      </c>
      <c r="P66" s="212">
        <f t="shared" si="13"/>
        <v>5</v>
      </c>
    </row>
    <row r="67" spans="1:16">
      <c r="A67" s="188">
        <v>54</v>
      </c>
      <c r="B67" s="195">
        <v>46</v>
      </c>
      <c r="C67" s="332">
        <v>41816</v>
      </c>
      <c r="D67" s="333">
        <v>0.75</v>
      </c>
      <c r="E67" s="189" t="s">
        <v>126</v>
      </c>
      <c r="F67" s="189" t="s">
        <v>29</v>
      </c>
      <c r="G67" s="189" t="s">
        <v>114</v>
      </c>
      <c r="H67" s="366">
        <v>1</v>
      </c>
      <c r="I67" s="366" t="s">
        <v>29</v>
      </c>
      <c r="J67" s="366">
        <v>0</v>
      </c>
      <c r="K67" s="212" t="str">
        <f t="shared" si="11"/>
        <v>1</v>
      </c>
      <c r="L67" s="210" t="str">
        <f>VLOOKUP($B67,Invulblad!$A$11:$S$103,13,0)</f>
        <v>1</v>
      </c>
      <c r="M67" s="211">
        <f>IF(L67&lt;&gt;"",VLOOKUP($B67,Invulblad!$A$11:$S$103,7,0),"")</f>
        <v>2</v>
      </c>
      <c r="N67" s="209" t="s">
        <v>29</v>
      </c>
      <c r="O67" s="211">
        <f>IF(L67&lt;&gt;"",VLOOKUP($B67,Invulblad!$A$11:$S$103,9,0),"")</f>
        <v>1</v>
      </c>
      <c r="P67" s="212">
        <f t="shared" si="13"/>
        <v>5</v>
      </c>
    </row>
    <row r="68" spans="1:16">
      <c r="A68" s="188">
        <v>55</v>
      </c>
      <c r="B68" s="201" t="s">
        <v>37</v>
      </c>
      <c r="H68" s="367"/>
      <c r="I68" s="367"/>
      <c r="J68" s="367"/>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2</v>
      </c>
      <c r="I70" s="366" t="s">
        <v>29</v>
      </c>
      <c r="J70" s="366">
        <v>0</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c r="A71" s="188">
        <v>58</v>
      </c>
      <c r="B71" s="195">
        <v>16</v>
      </c>
      <c r="C71" s="332">
        <v>41808</v>
      </c>
      <c r="D71" s="333">
        <v>0</v>
      </c>
      <c r="E71" s="189" t="s">
        <v>445</v>
      </c>
      <c r="F71" s="189" t="s">
        <v>29</v>
      </c>
      <c r="G71" s="189" t="s">
        <v>107</v>
      </c>
      <c r="H71" s="366">
        <v>1</v>
      </c>
      <c r="I71" s="366" t="s">
        <v>29</v>
      </c>
      <c r="J71" s="366">
        <v>0</v>
      </c>
      <c r="K71" s="212" t="str">
        <f t="shared" si="11"/>
        <v>1</v>
      </c>
      <c r="L71" s="210">
        <f>VLOOKUP($B71,Invulblad!$A$11:$S$103,13,0)</f>
        <v>3</v>
      </c>
      <c r="M71" s="211">
        <f>IF(L71&lt;&gt;"",VLOOKUP($B71,Invulblad!$A$11:$S$103,7,0),"")</f>
        <v>1</v>
      </c>
      <c r="N71" s="209" t="s">
        <v>29</v>
      </c>
      <c r="O71" s="211">
        <f>IF(L71&lt;&gt;"",VLOOKUP($B71,Invulblad!$A$11:$S$103,9,0),"")</f>
        <v>1</v>
      </c>
      <c r="P71" s="212">
        <f t="shared" si="14"/>
        <v>0</v>
      </c>
    </row>
    <row r="72" spans="1:16">
      <c r="A72" s="188">
        <v>59</v>
      </c>
      <c r="B72" s="195">
        <v>31</v>
      </c>
      <c r="C72" s="332">
        <v>41812</v>
      </c>
      <c r="D72" s="333">
        <v>0.75</v>
      </c>
      <c r="E72" s="189" t="s">
        <v>569</v>
      </c>
      <c r="F72" s="189" t="s">
        <v>29</v>
      </c>
      <c r="G72" s="189" t="s">
        <v>446</v>
      </c>
      <c r="H72" s="366">
        <v>0</v>
      </c>
      <c r="I72" s="366" t="s">
        <v>29</v>
      </c>
      <c r="J72" s="366">
        <v>0</v>
      </c>
      <c r="K72" s="212">
        <f t="shared" si="11"/>
        <v>3</v>
      </c>
      <c r="L72" s="210" t="str">
        <f>VLOOKUP($B72,Invulblad!$A$11:$S$103,13,0)</f>
        <v>1</v>
      </c>
      <c r="M72" s="211">
        <f>IF(L72&lt;&gt;"",VLOOKUP($B72,Invulblad!$A$11:$S$103,7,0),"")</f>
        <v>1</v>
      </c>
      <c r="N72" s="209" t="s">
        <v>29</v>
      </c>
      <c r="O72" s="211">
        <f>IF(L72&lt;&gt;"",VLOOKUP($B72,Invulblad!$A$11:$S$103,9,0),"")</f>
        <v>0</v>
      </c>
      <c r="P72" s="212">
        <f t="shared" si="14"/>
        <v>0</v>
      </c>
    </row>
    <row r="73" spans="1:16">
      <c r="A73" s="188">
        <v>60</v>
      </c>
      <c r="B73" s="195">
        <v>32</v>
      </c>
      <c r="C73" s="332">
        <v>41812</v>
      </c>
      <c r="D73" s="333">
        <v>0.875</v>
      </c>
      <c r="E73" s="189" t="s">
        <v>232</v>
      </c>
      <c r="F73" s="189" t="s">
        <v>29</v>
      </c>
      <c r="G73" s="189" t="s">
        <v>111</v>
      </c>
      <c r="H73" s="366">
        <v>2</v>
      </c>
      <c r="I73" s="366" t="s">
        <v>29</v>
      </c>
      <c r="J73" s="366">
        <v>2</v>
      </c>
      <c r="K73" s="212">
        <f t="shared" si="11"/>
        <v>3</v>
      </c>
      <c r="L73" s="210">
        <f>VLOOKUP($B73,Invulblad!$A$11:$S$103,13,0)</f>
        <v>2</v>
      </c>
      <c r="M73" s="211">
        <f>IF(L73&lt;&gt;"",VLOOKUP($B73,Invulblad!$A$11:$S$103,7,0),"")</f>
        <v>2</v>
      </c>
      <c r="N73" s="209" t="s">
        <v>29</v>
      </c>
      <c r="O73" s="211">
        <f>IF(L73&lt;&gt;"",VLOOKUP($B73,Invulblad!$A$11:$S$103,9,0),"")</f>
        <v>4</v>
      </c>
      <c r="P73" s="212">
        <f t="shared" si="14"/>
        <v>0</v>
      </c>
    </row>
    <row r="74" spans="1:16">
      <c r="A74" s="188">
        <v>61</v>
      </c>
      <c r="B74" s="195">
        <v>47</v>
      </c>
      <c r="C74" s="332">
        <v>41816</v>
      </c>
      <c r="D74" s="333">
        <v>0.91666666666666663</v>
      </c>
      <c r="E74" s="189" t="s">
        <v>232</v>
      </c>
      <c r="F74" s="189" t="s">
        <v>29</v>
      </c>
      <c r="G74" s="189" t="s">
        <v>570</v>
      </c>
      <c r="H74" s="366">
        <v>0</v>
      </c>
      <c r="I74" s="366" t="s">
        <v>29</v>
      </c>
      <c r="J74" s="366">
        <v>2</v>
      </c>
      <c r="K74" s="212">
        <f t="shared" si="11"/>
        <v>2</v>
      </c>
      <c r="L74" s="210">
        <f>VLOOKUP($B74,Invulblad!$A$11:$S$103,13,0)</f>
        <v>2</v>
      </c>
      <c r="M74" s="211">
        <f>IF(L74&lt;&gt;"",VLOOKUP($B74,Invulblad!$A$11:$S$103,7,0),"")</f>
        <v>0</v>
      </c>
      <c r="N74" s="209" t="s">
        <v>29</v>
      </c>
      <c r="O74" s="211">
        <f>IF(L74&lt;&gt;"",VLOOKUP($B74,Invulblad!$A$11:$S$103,9,0),"")</f>
        <v>1</v>
      </c>
      <c r="P74" s="212">
        <f t="shared" si="14"/>
        <v>5</v>
      </c>
    </row>
    <row r="75" spans="1:16">
      <c r="A75" s="188">
        <v>62</v>
      </c>
      <c r="B75" s="195">
        <v>48</v>
      </c>
      <c r="C75" s="332">
        <v>41816</v>
      </c>
      <c r="D75" s="333">
        <v>0.91666666666666663</v>
      </c>
      <c r="E75" s="189" t="s">
        <v>236</v>
      </c>
      <c r="F75" s="189" t="s">
        <v>29</v>
      </c>
      <c r="G75" s="189" t="s">
        <v>446</v>
      </c>
      <c r="H75" s="366">
        <v>0</v>
      </c>
      <c r="I75" s="366" t="s">
        <v>29</v>
      </c>
      <c r="J75" s="366">
        <v>1</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367"/>
      <c r="I76" s="367"/>
      <c r="J76" s="367"/>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389</v>
      </c>
      <c r="F78" s="189" t="s">
        <v>29</v>
      </c>
      <c r="G78" s="189" t="s">
        <v>138</v>
      </c>
      <c r="H78" s="366">
        <v>0</v>
      </c>
      <c r="I78" s="366" t="s">
        <v>29</v>
      </c>
      <c r="J78" s="366">
        <v>2</v>
      </c>
      <c r="K78" s="212">
        <f t="shared" si="11"/>
        <v>2</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187</v>
      </c>
      <c r="F79" s="189" t="s">
        <v>29</v>
      </c>
      <c r="G79" s="189" t="s">
        <v>193</v>
      </c>
      <c r="H79" s="366">
        <v>0</v>
      </c>
      <c r="I79" s="366" t="s">
        <v>29</v>
      </c>
      <c r="J79" s="366">
        <v>0</v>
      </c>
      <c r="K79" s="212">
        <f t="shared" si="11"/>
        <v>3</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135</v>
      </c>
      <c r="F80" s="189" t="s">
        <v>29</v>
      </c>
      <c r="G80" s="189" t="s">
        <v>199</v>
      </c>
      <c r="H80" s="366">
        <v>1</v>
      </c>
      <c r="I80" s="366" t="s">
        <v>29</v>
      </c>
      <c r="J80" s="366">
        <v>0</v>
      </c>
      <c r="K80" s="212" t="str">
        <f t="shared" si="11"/>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97</v>
      </c>
      <c r="F81" s="189" t="s">
        <v>29</v>
      </c>
      <c r="G81" s="189" t="s">
        <v>200</v>
      </c>
      <c r="H81" s="366">
        <v>2</v>
      </c>
      <c r="I81" s="366" t="s">
        <v>29</v>
      </c>
      <c r="J81" s="366">
        <v>0</v>
      </c>
      <c r="K81" s="212" t="str">
        <f t="shared" si="11"/>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209</v>
      </c>
      <c r="F82" s="189" t="s">
        <v>29</v>
      </c>
      <c r="G82" s="189" t="s">
        <v>572</v>
      </c>
      <c r="H82" s="366">
        <v>1</v>
      </c>
      <c r="I82" s="366" t="s">
        <v>29</v>
      </c>
      <c r="J82" s="366">
        <v>1</v>
      </c>
      <c r="K82" s="212">
        <f t="shared" si="11"/>
        <v>3</v>
      </c>
      <c r="L82" s="210" t="str">
        <f>VLOOKUP($B82,Invulblad!$A$11:$S$103,13,0)</f>
        <v>1</v>
      </c>
      <c r="M82" s="211">
        <f>IF(L82&lt;&gt;"",VLOOKUP($B82,Invulblad!$A$11:$S$103,7,0),"")</f>
        <v>2</v>
      </c>
      <c r="N82" s="209" t="s">
        <v>29</v>
      </c>
      <c r="O82" s="211">
        <f>IF(L82&lt;&gt;"",VLOOKUP($B82,Invulblad!$A$11:$S$103,9,0),"")</f>
        <v>0</v>
      </c>
      <c r="P82" s="212">
        <f t="shared" si="15"/>
        <v>0</v>
      </c>
    </row>
    <row r="83" spans="1:16">
      <c r="A83" s="188">
        <v>70</v>
      </c>
      <c r="B83" s="195">
        <v>54</v>
      </c>
      <c r="C83" s="332">
        <v>41820</v>
      </c>
      <c r="D83" s="333">
        <v>0.91666666666666663</v>
      </c>
      <c r="E83" s="189" t="s">
        <v>177</v>
      </c>
      <c r="F83" s="189" t="s">
        <v>29</v>
      </c>
      <c r="G83" s="189" t="s">
        <v>396</v>
      </c>
      <c r="H83" s="366">
        <v>3</v>
      </c>
      <c r="I83" s="366" t="s">
        <v>29</v>
      </c>
      <c r="J83" s="366">
        <v>1</v>
      </c>
      <c r="K83" s="212" t="str">
        <f t="shared" si="11"/>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143</v>
      </c>
      <c r="H84" s="366">
        <v>2</v>
      </c>
      <c r="I84" s="366" t="s">
        <v>29</v>
      </c>
      <c r="J84" s="366">
        <v>0</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395</v>
      </c>
      <c r="F85" s="189" t="s">
        <v>29</v>
      </c>
      <c r="G85" s="189" t="s">
        <v>202</v>
      </c>
      <c r="H85" s="366">
        <v>1</v>
      </c>
      <c r="I85" s="366" t="s">
        <v>29</v>
      </c>
      <c r="J85" s="366">
        <v>1</v>
      </c>
      <c r="K85" s="212">
        <f t="shared" si="11"/>
        <v>3</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138</v>
      </c>
      <c r="F88" s="189" t="s">
        <v>29</v>
      </c>
      <c r="G88" s="189" t="s">
        <v>193</v>
      </c>
      <c r="H88" s="366">
        <v>0</v>
      </c>
      <c r="I88" s="366" t="s">
        <v>29</v>
      </c>
      <c r="J88" s="366">
        <v>1</v>
      </c>
      <c r="K88" s="212">
        <f t="shared" si="16"/>
        <v>2</v>
      </c>
      <c r="L88" s="210" t="str">
        <f>VLOOKUP($B88,Invulblad!$A$11:$S$103,13,0)</f>
        <v>1</v>
      </c>
      <c r="M88" s="211">
        <f>IF(L88&lt;&gt;"",VLOOKUP($B88,Invulblad!$A$11:$S$103,7,0),"")</f>
        <v>2</v>
      </c>
      <c r="N88" s="209" t="s">
        <v>29</v>
      </c>
      <c r="O88" s="211">
        <f>IF(L88&lt;&gt;"",VLOOKUP($B88,Invulblad!$A$11:$S$103,9,0),"")</f>
        <v>1</v>
      </c>
      <c r="P88" s="212">
        <f>IF(L88&lt;&gt;"",IF(AND(M88=H88,O88=J88),10,IF(K88=L88,5,0)),"")</f>
        <v>0</v>
      </c>
    </row>
    <row r="89" spans="1:16">
      <c r="A89" s="188">
        <v>76</v>
      </c>
      <c r="B89" s="195">
        <v>58</v>
      </c>
      <c r="C89" s="332">
        <v>41824</v>
      </c>
      <c r="D89" s="333">
        <v>0.75</v>
      </c>
      <c r="E89" s="189" t="s">
        <v>209</v>
      </c>
      <c r="F89" s="189" t="s">
        <v>29</v>
      </c>
      <c r="G89" s="189" t="s">
        <v>177</v>
      </c>
      <c r="H89" s="366">
        <v>0</v>
      </c>
      <c r="I89" s="366" t="s">
        <v>29</v>
      </c>
      <c r="J89" s="366">
        <v>2</v>
      </c>
      <c r="K89" s="212">
        <f t="shared" si="16"/>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135</v>
      </c>
      <c r="F90" s="189" t="s">
        <v>29</v>
      </c>
      <c r="G90" s="189" t="s">
        <v>97</v>
      </c>
      <c r="H90" s="366">
        <v>1</v>
      </c>
      <c r="I90" s="366" t="s">
        <v>29</v>
      </c>
      <c r="J90" s="366">
        <v>0</v>
      </c>
      <c r="K90" s="212" t="str">
        <f t="shared" si="16"/>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395</v>
      </c>
      <c r="H91" s="366">
        <v>2</v>
      </c>
      <c r="I91" s="366" t="s">
        <v>29</v>
      </c>
      <c r="J91" s="366">
        <v>0</v>
      </c>
      <c r="K91" s="212" t="str">
        <f t="shared" si="16"/>
        <v>1</v>
      </c>
      <c r="L91" s="210"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H92" s="367"/>
      <c r="I92" s="367"/>
      <c r="J92" s="367"/>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193</v>
      </c>
      <c r="F94" s="189" t="s">
        <v>29</v>
      </c>
      <c r="G94" s="189" t="s">
        <v>177</v>
      </c>
      <c r="H94" s="366">
        <v>1</v>
      </c>
      <c r="I94" s="366" t="s">
        <v>29</v>
      </c>
      <c r="J94" s="366">
        <v>2</v>
      </c>
      <c r="K94" s="212">
        <f t="shared" si="16"/>
        <v>2</v>
      </c>
      <c r="L94" s="210">
        <f>VLOOKUP($B94,Invulblad!$A$11:$S$103,13,0)</f>
        <v>2</v>
      </c>
      <c r="M94" s="211">
        <f>IF(L94&lt;&gt;"",VLOOKUP($B94,Invulblad!$A$11:$S$103,7,0),"")</f>
        <v>1</v>
      </c>
      <c r="N94" s="209" t="s">
        <v>29</v>
      </c>
      <c r="O94" s="211">
        <f>IF(L94&lt;&gt;"",VLOOKUP($B94,Invulblad!$A$11:$S$103,9,0),"")</f>
        <v>7</v>
      </c>
      <c r="P94" s="212">
        <f>IF(L94&lt;&gt;"",IF(AND(M94=H94,O94=J94),10,IF(K94=L94,5,0)),"")</f>
        <v>5</v>
      </c>
    </row>
    <row r="95" spans="1:16">
      <c r="A95" s="188">
        <v>82</v>
      </c>
      <c r="B95" s="195">
        <v>62</v>
      </c>
      <c r="C95" s="332">
        <v>41829</v>
      </c>
      <c r="D95" s="333">
        <v>0.91666666666666663</v>
      </c>
      <c r="E95" s="189" t="s">
        <v>135</v>
      </c>
      <c r="F95" s="189" t="s">
        <v>29</v>
      </c>
      <c r="G95" s="189" t="s">
        <v>102</v>
      </c>
      <c r="H95" s="366">
        <v>1</v>
      </c>
      <c r="I95" s="366" t="s">
        <v>29</v>
      </c>
      <c r="J95" s="366">
        <v>0</v>
      </c>
      <c r="K95" s="212" t="str">
        <f t="shared" si="16"/>
        <v>1</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367"/>
      <c r="I96" s="367"/>
      <c r="J96" s="367"/>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193</v>
      </c>
      <c r="F98" s="189" t="s">
        <v>29</v>
      </c>
      <c r="G98" s="189" t="s">
        <v>102</v>
      </c>
      <c r="H98" s="366">
        <v>0</v>
      </c>
      <c r="I98" s="366" t="s">
        <v>29</v>
      </c>
      <c r="J98" s="366">
        <v>0</v>
      </c>
      <c r="K98" s="212">
        <f t="shared" si="16"/>
        <v>3</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367"/>
      <c r="I99" s="367"/>
      <c r="J99" s="367"/>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177</v>
      </c>
      <c r="F101" s="189" t="s">
        <v>29</v>
      </c>
      <c r="G101" s="189" t="s">
        <v>135</v>
      </c>
      <c r="H101" s="366">
        <v>0</v>
      </c>
      <c r="I101" s="366" t="s">
        <v>29</v>
      </c>
      <c r="J101" s="366">
        <v>1</v>
      </c>
      <c r="K101" s="212">
        <f t="shared" si="16"/>
        <v>2</v>
      </c>
      <c r="L101" s="210" t="str">
        <f>VLOOKUP($B101,Invulblad!$A$11:$S$103,13,0)</f>
        <v>1</v>
      </c>
      <c r="M101" s="211">
        <f>IF(L101&lt;&gt;"",VLOOKUP($B101,Invulblad!$A$11:$S$103,7,0),"")</f>
        <v>1</v>
      </c>
      <c r="N101" s="209" t="s">
        <v>29</v>
      </c>
      <c r="O101" s="211">
        <f>IF(L101&lt;&gt;"",VLOOKUP($B101,Invulblad!$A$11:$S$103,9,0),"")</f>
        <v>0</v>
      </c>
      <c r="P101" s="212">
        <f>IF(L101&lt;&gt;"",IF(AND(M101=H101,O101=J101),10,IF(K101=L101,5,0)),"")</f>
        <v>0</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389</v>
      </c>
      <c r="M108" s="211"/>
      <c r="N108" s="209"/>
      <c r="O108" s="211"/>
    </row>
    <row r="109" spans="1:16">
      <c r="A109" s="188" t="s">
        <v>66</v>
      </c>
      <c r="B109" s="189" t="s">
        <v>142</v>
      </c>
      <c r="C109" s="189" t="s">
        <v>141</v>
      </c>
      <c r="D109" s="201" t="s">
        <v>199</v>
      </c>
    </row>
    <row r="112" spans="1:16">
      <c r="B112" s="201" t="s">
        <v>144</v>
      </c>
    </row>
    <row r="114" spans="2:15">
      <c r="B114" s="215" t="s">
        <v>145</v>
      </c>
      <c r="C114" s="215" t="s">
        <v>146</v>
      </c>
      <c r="D114" s="215" t="s">
        <v>147</v>
      </c>
      <c r="E114" s="215" t="s">
        <v>148</v>
      </c>
    </row>
    <row r="115" spans="2:15">
      <c r="B115" s="216" t="s">
        <v>199</v>
      </c>
      <c r="C115" s="216" t="s">
        <v>164</v>
      </c>
      <c r="D115" s="216" t="s">
        <v>151</v>
      </c>
      <c r="E115" s="216" t="s">
        <v>164</v>
      </c>
    </row>
    <row r="116" spans="2:15">
      <c r="B116" s="217" t="s">
        <v>389</v>
      </c>
      <c r="C116" s="217" t="s">
        <v>172</v>
      </c>
      <c r="D116" s="217" t="s">
        <v>151</v>
      </c>
      <c r="E116" s="217" t="s">
        <v>155</v>
      </c>
    </row>
    <row r="117" spans="2:15">
      <c r="B117" s="216" t="s">
        <v>152</v>
      </c>
      <c r="C117" s="216" t="s">
        <v>149</v>
      </c>
      <c r="D117" s="216" t="s">
        <v>156</v>
      </c>
      <c r="E117" s="216" t="s">
        <v>149</v>
      </c>
    </row>
    <row r="118" spans="2:15">
      <c r="B118" s="217" t="s">
        <v>185</v>
      </c>
      <c r="C118" s="217" t="s">
        <v>150</v>
      </c>
      <c r="D118" s="217" t="s">
        <v>188</v>
      </c>
      <c r="E118" s="217" t="s">
        <v>150</v>
      </c>
    </row>
    <row r="121" spans="2:15">
      <c r="B121" s="201" t="s">
        <v>157</v>
      </c>
    </row>
    <row r="122" spans="2:15">
      <c r="B122" s="195"/>
    </row>
    <row r="123" spans="2:15">
      <c r="B123" s="195" t="s">
        <v>158</v>
      </c>
    </row>
    <row r="124" spans="2:15">
      <c r="B124" s="195" t="s">
        <v>251</v>
      </c>
    </row>
    <row r="127" spans="2:15">
      <c r="B127" s="218"/>
      <c r="C127" s="218"/>
      <c r="D127" s="218"/>
      <c r="E127" s="218"/>
      <c r="F127" s="218"/>
      <c r="G127" s="218"/>
      <c r="H127" s="364"/>
      <c r="I127" s="364"/>
      <c r="J127" s="364"/>
      <c r="K127" s="218"/>
      <c r="L127" s="219"/>
      <c r="M127" s="218"/>
      <c r="N127" s="218"/>
      <c r="O127" s="218"/>
    </row>
    <row r="130" spans="1:5">
      <c r="B130" s="201" t="s">
        <v>160</v>
      </c>
    </row>
    <row r="132" spans="1:5">
      <c r="A132" s="227" t="s">
        <v>67</v>
      </c>
      <c r="B132" s="189" t="s">
        <v>140</v>
      </c>
      <c r="C132" s="189" t="s">
        <v>141</v>
      </c>
      <c r="D132" s="201" t="s">
        <v>135</v>
      </c>
    </row>
    <row r="133" spans="1:5">
      <c r="A133" s="188" t="s">
        <v>68</v>
      </c>
      <c r="B133" s="189" t="s">
        <v>142</v>
      </c>
      <c r="C133" s="189" t="s">
        <v>141</v>
      </c>
      <c r="D133" s="201" t="s">
        <v>138</v>
      </c>
    </row>
    <row r="136" spans="1:5">
      <c r="B136" s="201" t="s">
        <v>161</v>
      </c>
    </row>
    <row r="138" spans="1:5">
      <c r="B138" s="215" t="s">
        <v>145</v>
      </c>
      <c r="C138" s="215" t="s">
        <v>146</v>
      </c>
      <c r="D138" s="215" t="s">
        <v>147</v>
      </c>
      <c r="E138" s="215" t="s">
        <v>148</v>
      </c>
    </row>
    <row r="139" spans="1:5">
      <c r="B139" s="216" t="s">
        <v>138</v>
      </c>
      <c r="C139" s="216" t="s">
        <v>164</v>
      </c>
      <c r="D139" s="216" t="s">
        <v>156</v>
      </c>
      <c r="E139" s="216" t="s">
        <v>153</v>
      </c>
    </row>
    <row r="140" spans="1:5">
      <c r="B140" s="217" t="s">
        <v>135</v>
      </c>
      <c r="C140" s="217" t="s">
        <v>163</v>
      </c>
      <c r="D140" s="217" t="s">
        <v>155</v>
      </c>
      <c r="E140" s="217" t="s">
        <v>155</v>
      </c>
    </row>
    <row r="141" spans="1:5">
      <c r="B141" s="216" t="s">
        <v>207</v>
      </c>
      <c r="C141" s="216" t="s">
        <v>151</v>
      </c>
      <c r="D141" s="216" t="s">
        <v>154</v>
      </c>
      <c r="E141" s="216" t="s">
        <v>153</v>
      </c>
    </row>
    <row r="142" spans="1:5">
      <c r="B142" s="217" t="s">
        <v>179</v>
      </c>
      <c r="C142" s="217" t="s">
        <v>150</v>
      </c>
      <c r="D142" s="217" t="s">
        <v>162</v>
      </c>
      <c r="E142" s="217" t="s">
        <v>150</v>
      </c>
    </row>
    <row r="145" spans="1:15">
      <c r="B145" s="201" t="s">
        <v>166</v>
      </c>
    </row>
    <row r="146" spans="1:15">
      <c r="B146" s="195"/>
    </row>
    <row r="147" spans="1:15">
      <c r="B147" s="195" t="s">
        <v>167</v>
      </c>
    </row>
    <row r="148" spans="1:15">
      <c r="B148" s="195" t="s">
        <v>168</v>
      </c>
    </row>
    <row r="151" spans="1:15">
      <c r="B151" s="218"/>
      <c r="C151" s="218"/>
      <c r="D151" s="218"/>
      <c r="E151" s="218"/>
      <c r="F151" s="218"/>
      <c r="G151" s="218"/>
      <c r="H151" s="364"/>
      <c r="I151" s="364"/>
      <c r="J151" s="364"/>
      <c r="K151" s="218"/>
      <c r="L151" s="219"/>
      <c r="M151" s="218"/>
      <c r="N151" s="218"/>
      <c r="O151" s="218"/>
    </row>
    <row r="154" spans="1:15">
      <c r="B154" s="201" t="s">
        <v>169</v>
      </c>
    </row>
    <row r="156" spans="1:15">
      <c r="A156" s="188" t="s">
        <v>69</v>
      </c>
      <c r="B156" s="189" t="s">
        <v>140</v>
      </c>
      <c r="C156" s="189" t="s">
        <v>141</v>
      </c>
      <c r="D156" s="201" t="s">
        <v>187</v>
      </c>
    </row>
    <row r="157" spans="1:15">
      <c r="A157" s="188" t="s">
        <v>70</v>
      </c>
      <c r="B157" s="189" t="s">
        <v>142</v>
      </c>
      <c r="C157" s="189" t="s">
        <v>141</v>
      </c>
      <c r="D157" s="201" t="s">
        <v>200</v>
      </c>
    </row>
    <row r="160" spans="1:15">
      <c r="B160" s="201" t="s">
        <v>170</v>
      </c>
    </row>
    <row r="162" spans="2:15">
      <c r="B162" s="215" t="s">
        <v>145</v>
      </c>
      <c r="C162" s="215" t="s">
        <v>146</v>
      </c>
      <c r="D162" s="215" t="s">
        <v>147</v>
      </c>
      <c r="E162" s="215" t="s">
        <v>148</v>
      </c>
    </row>
    <row r="163" spans="2:15">
      <c r="B163" s="216" t="s">
        <v>390</v>
      </c>
      <c r="C163" s="216" t="s">
        <v>149</v>
      </c>
      <c r="D163" s="216" t="s">
        <v>150</v>
      </c>
      <c r="E163" s="216" t="s">
        <v>153</v>
      </c>
    </row>
    <row r="164" spans="2:15">
      <c r="B164" s="217" t="s">
        <v>106</v>
      </c>
      <c r="C164" s="217" t="s">
        <v>150</v>
      </c>
      <c r="D164" s="217" t="s">
        <v>180</v>
      </c>
      <c r="E164" s="217" t="s">
        <v>150</v>
      </c>
    </row>
    <row r="165" spans="2:15">
      <c r="B165" s="216" t="s">
        <v>200</v>
      </c>
      <c r="C165" s="216" t="s">
        <v>164</v>
      </c>
      <c r="D165" s="216" t="s">
        <v>150</v>
      </c>
      <c r="E165" s="216" t="s">
        <v>153</v>
      </c>
    </row>
    <row r="166" spans="2:15">
      <c r="B166" s="217" t="s">
        <v>187</v>
      </c>
      <c r="C166" s="217" t="s">
        <v>172</v>
      </c>
      <c r="D166" s="217" t="s">
        <v>149</v>
      </c>
      <c r="E166" s="217" t="s">
        <v>155</v>
      </c>
    </row>
    <row r="169" spans="2:15">
      <c r="B169" s="201" t="s">
        <v>173</v>
      </c>
    </row>
    <row r="170" spans="2:15">
      <c r="B170" s="195"/>
    </row>
    <row r="171" spans="2:15">
      <c r="B171" s="195" t="s">
        <v>174</v>
      </c>
    </row>
    <row r="172" spans="2:15">
      <c r="B172" s="195" t="s">
        <v>175</v>
      </c>
    </row>
    <row r="175" spans="2:15">
      <c r="B175" s="218"/>
      <c r="C175" s="218"/>
      <c r="D175" s="218"/>
      <c r="E175" s="218"/>
      <c r="F175" s="218"/>
      <c r="G175" s="218"/>
      <c r="H175" s="364"/>
      <c r="I175" s="364"/>
      <c r="J175" s="364"/>
      <c r="K175" s="218"/>
      <c r="L175" s="219"/>
      <c r="M175" s="218"/>
      <c r="N175" s="218"/>
      <c r="O175" s="218"/>
    </row>
    <row r="178" spans="1:5">
      <c r="B178" s="201" t="s">
        <v>176</v>
      </c>
    </row>
    <row r="180" spans="1:5">
      <c r="A180" s="188" t="s">
        <v>71</v>
      </c>
      <c r="B180" s="189" t="s">
        <v>140</v>
      </c>
      <c r="C180" s="189" t="s">
        <v>141</v>
      </c>
      <c r="D180" s="201" t="s">
        <v>97</v>
      </c>
    </row>
    <row r="181" spans="1:5">
      <c r="A181" s="188" t="s">
        <v>72</v>
      </c>
      <c r="B181" s="189" t="s">
        <v>142</v>
      </c>
      <c r="C181" s="189" t="s">
        <v>141</v>
      </c>
      <c r="D181" s="201" t="s">
        <v>193</v>
      </c>
    </row>
    <row r="184" spans="1:5">
      <c r="B184" s="201" t="s">
        <v>178</v>
      </c>
    </row>
    <row r="186" spans="1:5">
      <c r="B186" s="215" t="s">
        <v>145</v>
      </c>
      <c r="C186" s="215" t="s">
        <v>146</v>
      </c>
      <c r="D186" s="215" t="s">
        <v>147</v>
      </c>
      <c r="E186" s="215" t="s">
        <v>148</v>
      </c>
    </row>
    <row r="187" spans="1:5">
      <c r="B187" s="216" t="s">
        <v>97</v>
      </c>
      <c r="C187" s="216" t="s">
        <v>172</v>
      </c>
      <c r="D187" s="216" t="s">
        <v>151</v>
      </c>
      <c r="E187" s="216" t="s">
        <v>149</v>
      </c>
    </row>
    <row r="188" spans="1:5">
      <c r="B188" s="217" t="s">
        <v>391</v>
      </c>
      <c r="C188" s="217" t="s">
        <v>150</v>
      </c>
      <c r="D188" s="217" t="s">
        <v>180</v>
      </c>
      <c r="E188" s="217" t="s">
        <v>156</v>
      </c>
    </row>
    <row r="189" spans="1:5">
      <c r="B189" s="216" t="s">
        <v>109</v>
      </c>
      <c r="C189" s="216" t="s">
        <v>149</v>
      </c>
      <c r="D189" s="216" t="s">
        <v>150</v>
      </c>
      <c r="E189" s="216" t="s">
        <v>156</v>
      </c>
    </row>
    <row r="190" spans="1:5">
      <c r="B190" s="217" t="s">
        <v>193</v>
      </c>
      <c r="C190" s="217" t="s">
        <v>155</v>
      </c>
      <c r="D190" s="217" t="s">
        <v>156</v>
      </c>
      <c r="E190" s="217" t="s">
        <v>156</v>
      </c>
    </row>
    <row r="193" spans="1:15">
      <c r="B193" s="201" t="s">
        <v>182</v>
      </c>
    </row>
    <row r="194" spans="1:15">
      <c r="B194" s="195"/>
    </row>
    <row r="195" spans="1:15">
      <c r="B195" s="195" t="s">
        <v>239</v>
      </c>
    </row>
    <row r="196" spans="1:15">
      <c r="B196" s="195" t="s">
        <v>240</v>
      </c>
    </row>
    <row r="198" spans="1:15">
      <c r="K198" s="218"/>
      <c r="L198" s="219"/>
      <c r="M198" s="218"/>
      <c r="N198" s="218"/>
      <c r="O198" s="218"/>
    </row>
    <row r="199" spans="1:15">
      <c r="B199" s="218"/>
      <c r="C199" s="218"/>
      <c r="D199" s="218"/>
      <c r="E199" s="218"/>
      <c r="F199" s="218"/>
      <c r="G199" s="218"/>
      <c r="H199" s="364"/>
      <c r="I199" s="364"/>
      <c r="J199" s="364"/>
    </row>
    <row r="202" spans="1:15">
      <c r="B202" s="201" t="s">
        <v>184</v>
      </c>
    </row>
    <row r="204" spans="1:15">
      <c r="A204" s="188" t="s">
        <v>73</v>
      </c>
      <c r="B204" s="189" t="s">
        <v>140</v>
      </c>
      <c r="C204" s="189" t="s">
        <v>141</v>
      </c>
      <c r="D204" s="201" t="s">
        <v>209</v>
      </c>
    </row>
    <row r="205" spans="1:15">
      <c r="A205" s="188" t="s">
        <v>74</v>
      </c>
      <c r="B205" s="189" t="s">
        <v>142</v>
      </c>
      <c r="C205" s="189" t="s">
        <v>141</v>
      </c>
      <c r="D205" s="201" t="s">
        <v>143</v>
      </c>
    </row>
    <row r="208" spans="1:15">
      <c r="B208" s="201" t="s">
        <v>186</v>
      </c>
    </row>
    <row r="210" spans="2:15">
      <c r="B210" s="215" t="s">
        <v>145</v>
      </c>
      <c r="C210" s="215" t="s">
        <v>146</v>
      </c>
      <c r="D210" s="215" t="s">
        <v>147</v>
      </c>
      <c r="E210" s="215" t="s">
        <v>148</v>
      </c>
    </row>
    <row r="211" spans="2:15">
      <c r="B211" s="216" t="s">
        <v>209</v>
      </c>
      <c r="C211" s="216" t="s">
        <v>163</v>
      </c>
      <c r="D211" s="216" t="s">
        <v>151</v>
      </c>
      <c r="E211" s="216" t="s">
        <v>151</v>
      </c>
    </row>
    <row r="212" spans="2:15">
      <c r="B212" s="217" t="s">
        <v>392</v>
      </c>
      <c r="C212" s="217" t="s">
        <v>156</v>
      </c>
      <c r="D212" s="217" t="s">
        <v>165</v>
      </c>
      <c r="E212" s="217" t="s">
        <v>153</v>
      </c>
    </row>
    <row r="213" spans="2:15">
      <c r="B213" s="216" t="s">
        <v>143</v>
      </c>
      <c r="C213" s="216" t="s">
        <v>164</v>
      </c>
      <c r="D213" s="216" t="s">
        <v>153</v>
      </c>
      <c r="E213" s="216" t="s">
        <v>151</v>
      </c>
    </row>
    <row r="214" spans="2:15">
      <c r="B214" s="217" t="s">
        <v>210</v>
      </c>
      <c r="C214" s="217" t="s">
        <v>156</v>
      </c>
      <c r="D214" s="217" t="s">
        <v>171</v>
      </c>
      <c r="E214" s="217" t="s">
        <v>153</v>
      </c>
    </row>
    <row r="217" spans="2:15">
      <c r="B217" s="201" t="s">
        <v>189</v>
      </c>
    </row>
    <row r="218" spans="2:15">
      <c r="B218" s="195"/>
    </row>
    <row r="219" spans="2:15">
      <c r="B219" s="195" t="s">
        <v>190</v>
      </c>
    </row>
    <row r="220" spans="2:15">
      <c r="B220" s="195" t="s">
        <v>191</v>
      </c>
    </row>
    <row r="222" spans="2:15">
      <c r="K222" s="218"/>
      <c r="L222" s="219"/>
      <c r="M222" s="218"/>
      <c r="N222" s="218"/>
      <c r="O222" s="218"/>
    </row>
    <row r="223" spans="2:15">
      <c r="B223" s="218"/>
      <c r="C223" s="218"/>
      <c r="D223" s="218"/>
      <c r="E223" s="218"/>
      <c r="F223" s="218"/>
      <c r="G223" s="218"/>
      <c r="H223" s="364"/>
      <c r="I223" s="364"/>
      <c r="J223" s="364"/>
    </row>
    <row r="226" spans="1:5">
      <c r="B226" s="201" t="s">
        <v>192</v>
      </c>
    </row>
    <row r="228" spans="1:5">
      <c r="A228" s="188" t="s">
        <v>75</v>
      </c>
      <c r="B228" s="189" t="s">
        <v>140</v>
      </c>
      <c r="C228" s="189" t="s">
        <v>141</v>
      </c>
      <c r="D228" s="201" t="s">
        <v>102</v>
      </c>
    </row>
    <row r="229" spans="1:5">
      <c r="A229" s="188" t="s">
        <v>76</v>
      </c>
      <c r="B229" s="189" t="s">
        <v>142</v>
      </c>
      <c r="C229" s="189" t="s">
        <v>141</v>
      </c>
      <c r="D229" s="201" t="s">
        <v>572</v>
      </c>
    </row>
    <row r="232" spans="1:5">
      <c r="B232" s="201" t="s">
        <v>194</v>
      </c>
    </row>
    <row r="234" spans="1:5">
      <c r="B234" s="215" t="s">
        <v>145</v>
      </c>
      <c r="C234" s="215" t="s">
        <v>146</v>
      </c>
      <c r="D234" s="215" t="s">
        <v>147</v>
      </c>
      <c r="E234" s="215" t="s">
        <v>148</v>
      </c>
    </row>
    <row r="235" spans="1:5">
      <c r="B235" s="216" t="s">
        <v>102</v>
      </c>
      <c r="C235" s="216" t="s">
        <v>172</v>
      </c>
      <c r="D235" s="216" t="s">
        <v>164</v>
      </c>
      <c r="E235" s="216" t="s">
        <v>172</v>
      </c>
    </row>
    <row r="236" spans="1:5">
      <c r="B236" s="217" t="s">
        <v>572</v>
      </c>
      <c r="C236" s="217" t="s">
        <v>172</v>
      </c>
      <c r="D236" s="217" t="s">
        <v>153</v>
      </c>
      <c r="E236" s="217" t="s">
        <v>151</v>
      </c>
    </row>
    <row r="237" spans="1:5">
      <c r="B237" s="216" t="s">
        <v>394</v>
      </c>
      <c r="C237" s="216" t="s">
        <v>150</v>
      </c>
      <c r="D237" s="216" t="s">
        <v>241</v>
      </c>
      <c r="E237" s="216" t="s">
        <v>150</v>
      </c>
    </row>
    <row r="238" spans="1:5">
      <c r="B238" s="217" t="s">
        <v>108</v>
      </c>
      <c r="C238" s="217" t="s">
        <v>151</v>
      </c>
      <c r="D238" s="217" t="s">
        <v>165</v>
      </c>
      <c r="E238" s="217" t="s">
        <v>156</v>
      </c>
    </row>
    <row r="241" spans="1:15">
      <c r="B241" s="201" t="s">
        <v>195</v>
      </c>
    </row>
    <row r="242" spans="1:15">
      <c r="B242" s="195"/>
    </row>
    <row r="243" spans="1:15">
      <c r="B243" s="195" t="s">
        <v>242</v>
      </c>
    </row>
    <row r="244" spans="1:15">
      <c r="B244" s="195"/>
    </row>
    <row r="246" spans="1:15">
      <c r="K246" s="218"/>
      <c r="L246" s="219"/>
      <c r="M246" s="218"/>
      <c r="N246" s="218"/>
      <c r="O246" s="218"/>
    </row>
    <row r="247" spans="1:15">
      <c r="B247" s="218"/>
      <c r="C247" s="218"/>
      <c r="D247" s="218"/>
      <c r="E247" s="218"/>
      <c r="F247" s="218"/>
      <c r="G247" s="218"/>
      <c r="H247" s="364"/>
      <c r="I247" s="364"/>
      <c r="J247" s="364"/>
    </row>
    <row r="250" spans="1:15">
      <c r="B250" s="201" t="s">
        <v>198</v>
      </c>
    </row>
    <row r="252" spans="1:15">
      <c r="A252" s="188" t="s">
        <v>77</v>
      </c>
      <c r="B252" s="189" t="s">
        <v>140</v>
      </c>
      <c r="C252" s="189" t="s">
        <v>141</v>
      </c>
      <c r="D252" s="201" t="s">
        <v>177</v>
      </c>
    </row>
    <row r="253" spans="1:15">
      <c r="A253" s="188" t="s">
        <v>78</v>
      </c>
      <c r="B253" s="189" t="s">
        <v>142</v>
      </c>
      <c r="C253" s="189" t="s">
        <v>141</v>
      </c>
      <c r="D253" s="201" t="s">
        <v>202</v>
      </c>
    </row>
    <row r="256" spans="1:15">
      <c r="B256" s="201" t="s">
        <v>201</v>
      </c>
    </row>
    <row r="258" spans="2:10">
      <c r="B258" s="215" t="s">
        <v>145</v>
      </c>
      <c r="C258" s="215" t="s">
        <v>146</v>
      </c>
      <c r="D258" s="215" t="s">
        <v>147</v>
      </c>
      <c r="E258" s="215" t="s">
        <v>148</v>
      </c>
    </row>
    <row r="259" spans="2:10">
      <c r="B259" s="216" t="s">
        <v>177</v>
      </c>
      <c r="C259" s="216" t="s">
        <v>172</v>
      </c>
      <c r="D259" s="216" t="s">
        <v>155</v>
      </c>
      <c r="E259" s="216" t="s">
        <v>155</v>
      </c>
    </row>
    <row r="260" spans="2:10">
      <c r="B260" s="217" t="s">
        <v>202</v>
      </c>
      <c r="C260" s="217" t="s">
        <v>155</v>
      </c>
      <c r="D260" s="217" t="s">
        <v>156</v>
      </c>
      <c r="E260" s="217" t="s">
        <v>153</v>
      </c>
    </row>
    <row r="261" spans="2:10">
      <c r="B261" s="216" t="s">
        <v>181</v>
      </c>
      <c r="C261" s="216" t="s">
        <v>151</v>
      </c>
      <c r="D261" s="216" t="s">
        <v>165</v>
      </c>
      <c r="E261" s="216" t="s">
        <v>156</v>
      </c>
    </row>
    <row r="262" spans="2:10">
      <c r="B262" s="217" t="s">
        <v>32</v>
      </c>
      <c r="C262" s="217" t="s">
        <v>156</v>
      </c>
      <c r="D262" s="217" t="s">
        <v>180</v>
      </c>
      <c r="E262" s="217" t="s">
        <v>156</v>
      </c>
    </row>
    <row r="265" spans="2:10">
      <c r="B265" s="201" t="s">
        <v>203</v>
      </c>
    </row>
    <row r="266" spans="2:10">
      <c r="B266" s="195"/>
    </row>
    <row r="267" spans="2:10">
      <c r="B267" s="195" t="s">
        <v>204</v>
      </c>
    </row>
    <row r="268" spans="2:10">
      <c r="B268" s="195" t="s">
        <v>205</v>
      </c>
    </row>
    <row r="270" spans="2:10">
      <c r="B270" s="218"/>
      <c r="C270" s="218"/>
      <c r="D270" s="218"/>
      <c r="E270" s="218"/>
      <c r="F270" s="218"/>
      <c r="G270" s="218"/>
    </row>
    <row r="271" spans="2:10">
      <c r="H271" s="364"/>
      <c r="I271" s="364"/>
      <c r="J271" s="364"/>
    </row>
    <row r="274" spans="1:5">
      <c r="B274" s="201" t="s">
        <v>206</v>
      </c>
    </row>
    <row r="276" spans="1:5">
      <c r="A276" s="188" t="s">
        <v>79</v>
      </c>
      <c r="B276" s="189" t="s">
        <v>140</v>
      </c>
      <c r="C276" s="189" t="s">
        <v>141</v>
      </c>
      <c r="D276" s="201" t="s">
        <v>395</v>
      </c>
    </row>
    <row r="277" spans="1:5">
      <c r="A277" s="188" t="s">
        <v>80</v>
      </c>
      <c r="B277" s="189" t="s">
        <v>142</v>
      </c>
      <c r="C277" s="189" t="s">
        <v>141</v>
      </c>
      <c r="D277" s="201" t="s">
        <v>396</v>
      </c>
    </row>
    <row r="280" spans="1:5">
      <c r="B280" s="201" t="s">
        <v>208</v>
      </c>
    </row>
    <row r="282" spans="1:5">
      <c r="B282" s="215" t="s">
        <v>145</v>
      </c>
      <c r="C282" s="215" t="s">
        <v>146</v>
      </c>
      <c r="D282" s="215" t="s">
        <v>147</v>
      </c>
      <c r="E282" s="215" t="s">
        <v>148</v>
      </c>
    </row>
    <row r="283" spans="1:5">
      <c r="B283" s="216" t="s">
        <v>395</v>
      </c>
      <c r="C283" s="216" t="s">
        <v>172</v>
      </c>
      <c r="D283" s="216" t="s">
        <v>149</v>
      </c>
      <c r="E283" s="216" t="s">
        <v>149</v>
      </c>
    </row>
    <row r="284" spans="1:5">
      <c r="B284" s="217" t="s">
        <v>110</v>
      </c>
      <c r="C284" s="217" t="s">
        <v>156</v>
      </c>
      <c r="D284" s="217" t="s">
        <v>171</v>
      </c>
      <c r="E284" s="217" t="s">
        <v>153</v>
      </c>
    </row>
    <row r="285" spans="1:5">
      <c r="B285" s="216" t="s">
        <v>396</v>
      </c>
      <c r="C285" s="216" t="s">
        <v>172</v>
      </c>
      <c r="D285" s="216" t="s">
        <v>153</v>
      </c>
      <c r="E285" s="216" t="s">
        <v>153</v>
      </c>
    </row>
    <row r="286" spans="1:5">
      <c r="B286" s="217" t="s">
        <v>104</v>
      </c>
      <c r="C286" s="217" t="s">
        <v>156</v>
      </c>
      <c r="D286" s="217" t="s">
        <v>171</v>
      </c>
      <c r="E286" s="217" t="s">
        <v>153</v>
      </c>
    </row>
    <row r="289" spans="2:15">
      <c r="B289" s="201" t="s">
        <v>211</v>
      </c>
    </row>
    <row r="290" spans="2:15">
      <c r="B290" s="195"/>
    </row>
    <row r="291" spans="2:15">
      <c r="B291" s="195" t="s">
        <v>267</v>
      </c>
    </row>
    <row r="292" spans="2:15">
      <c r="B292" s="195"/>
    </row>
    <row r="294" spans="2:15">
      <c r="K294" s="218"/>
      <c r="L294" s="219"/>
      <c r="M294" s="218"/>
      <c r="N294" s="218"/>
      <c r="O294" s="218"/>
    </row>
    <row r="295" spans="2:15">
      <c r="B295" s="218"/>
      <c r="C295" s="218"/>
      <c r="D295" s="218"/>
      <c r="E295" s="218"/>
      <c r="F295" s="218"/>
      <c r="G295" s="218"/>
      <c r="H295" s="364"/>
      <c r="I295" s="364"/>
      <c r="J295" s="364"/>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4.xml><?xml version="1.0" encoding="utf-8"?>
<worksheet xmlns="http://schemas.openxmlformats.org/spreadsheetml/2006/main" xmlns:r="http://schemas.openxmlformats.org/officeDocument/2006/relationships">
  <sheetPr codeName="Blad13">
    <tabColor rgb="FFFFC000"/>
  </sheetPr>
  <dimension ref="A1:U325"/>
  <sheetViews>
    <sheetView zoomScale="80" zoomScaleNormal="80" workbookViewId="0">
      <selection activeCell="P1" sqref="P1"/>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261</v>
      </c>
      <c r="L1" s="194"/>
      <c r="P1" s="193">
        <f>SUM(P14:P101)+E11+H11+L7+L11+Q11</f>
        <v>430</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Nederland</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Colombia</v>
      </c>
      <c r="C4" s="222">
        <f t="shared" si="1"/>
        <v>10</v>
      </c>
      <c r="D4" s="224" t="str">
        <f t="shared" si="2"/>
        <v>Engeland</v>
      </c>
      <c r="E4" s="222">
        <f t="shared" si="3"/>
        <v>0</v>
      </c>
      <c r="F4" s="339" t="s">
        <v>450</v>
      </c>
      <c r="G4" s="195" t="str">
        <f>G88</f>
        <v>Colombia</v>
      </c>
      <c r="H4" s="222">
        <f t="shared" si="4"/>
        <v>15</v>
      </c>
      <c r="I4" s="339" t="s">
        <v>458</v>
      </c>
      <c r="J4" s="195" t="str">
        <f>G94</f>
        <v>Duitsland</v>
      </c>
      <c r="L4" s="222">
        <f>IF(ISNA(MATCH(J4,teams_halve,0)),0,20)</f>
        <v>20</v>
      </c>
      <c r="Q4" s="224"/>
    </row>
    <row r="5" spans="1:21" s="195" customFormat="1" ht="15" customHeight="1">
      <c r="B5" s="224" t="str">
        <f t="shared" si="0"/>
        <v>Spanje</v>
      </c>
      <c r="C5" s="222">
        <f t="shared" si="1"/>
        <v>0</v>
      </c>
      <c r="D5" s="224" t="str">
        <f t="shared" si="2"/>
        <v>Kameroen</v>
      </c>
      <c r="E5" s="222">
        <f t="shared" si="3"/>
        <v>0</v>
      </c>
      <c r="F5" s="339" t="s">
        <v>451</v>
      </c>
      <c r="G5" s="195" t="str">
        <f>E90</f>
        <v>Spanje</v>
      </c>
      <c r="H5" s="222">
        <f t="shared" si="4"/>
        <v>0</v>
      </c>
      <c r="I5" s="339" t="s">
        <v>459</v>
      </c>
      <c r="J5" s="195" t="str">
        <f>E95</f>
        <v>Spanje</v>
      </c>
      <c r="L5" s="222">
        <f>IF(ISNA(MATCH(J5,teams_halve,0)),0,20)</f>
        <v>0</v>
      </c>
    </row>
    <row r="6" spans="1:21" s="195" customFormat="1" ht="15" customHeight="1">
      <c r="B6" s="224" t="str">
        <f t="shared" si="0"/>
        <v>Uruguay</v>
      </c>
      <c r="C6" s="222">
        <f t="shared" si="1"/>
        <v>10</v>
      </c>
      <c r="D6" s="224" t="str">
        <f t="shared" si="2"/>
        <v>Japan</v>
      </c>
      <c r="E6" s="222">
        <f t="shared" si="3"/>
        <v>0</v>
      </c>
      <c r="F6" s="339" t="s">
        <v>452</v>
      </c>
      <c r="G6" s="195" t="str">
        <f>G90</f>
        <v>Uruguay</v>
      </c>
      <c r="H6" s="222">
        <f t="shared" si="4"/>
        <v>0</v>
      </c>
      <c r="I6" s="339" t="s">
        <v>460</v>
      </c>
      <c r="J6" s="195" t="str">
        <f>G95</f>
        <v>Argentinië</v>
      </c>
      <c r="L6" s="222">
        <f>IF(ISNA(MATCH(J6,teams_halve,0)),0,20)</f>
        <v>20</v>
      </c>
    </row>
    <row r="7" spans="1:21" s="195" customFormat="1" ht="15" customHeight="1">
      <c r="B7" s="224" t="str">
        <f t="shared" si="0"/>
        <v>Frankrijk</v>
      </c>
      <c r="C7" s="222">
        <f t="shared" si="1"/>
        <v>10</v>
      </c>
      <c r="D7" s="224" t="str">
        <f t="shared" si="2"/>
        <v>Bosnië en Herzegovina</v>
      </c>
      <c r="E7" s="222">
        <f t="shared" si="3"/>
        <v>0</v>
      </c>
      <c r="F7" s="339" t="s">
        <v>453</v>
      </c>
      <c r="G7" s="195" t="str">
        <f>E89</f>
        <v>Frankrijk</v>
      </c>
      <c r="H7" s="222">
        <f t="shared" si="4"/>
        <v>15</v>
      </c>
      <c r="I7" s="339"/>
      <c r="J7" s="198" t="s">
        <v>83</v>
      </c>
      <c r="K7" s="199"/>
      <c r="L7" s="225">
        <f>SUM(L3:L6)</f>
        <v>60</v>
      </c>
    </row>
    <row r="8" spans="1:21" s="195" customFormat="1" ht="15" customHeight="1">
      <c r="B8" s="224" t="str">
        <f t="shared" si="0"/>
        <v>Duitsland</v>
      </c>
      <c r="C8" s="222">
        <f t="shared" si="1"/>
        <v>10</v>
      </c>
      <c r="D8" s="224" t="str">
        <f t="shared" si="2"/>
        <v>Algerije</v>
      </c>
      <c r="E8" s="222">
        <f t="shared" si="3"/>
        <v>10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Ecuador</v>
      </c>
      <c r="E9" s="222">
        <f t="shared" si="3"/>
        <v>0</v>
      </c>
      <c r="F9" s="339" t="s">
        <v>455</v>
      </c>
      <c r="G9" s="195" t="str">
        <f>E91</f>
        <v>Argentinië</v>
      </c>
      <c r="H9" s="222">
        <f t="shared" si="4"/>
        <v>15</v>
      </c>
      <c r="I9" s="339" t="s">
        <v>461</v>
      </c>
      <c r="J9" s="195" t="str">
        <f>E101</f>
        <v>Brazilië</v>
      </c>
      <c r="L9" s="222">
        <f>IF(ISNA(MATCH(J9,teams_fin,0)),0,30)</f>
        <v>0</v>
      </c>
      <c r="P9" s="444" t="str">
        <f>E98</f>
        <v>Duitsland</v>
      </c>
      <c r="Q9" s="222">
        <f>IF(ISNA(MATCH(P9,teams_troost,0)),0,25)</f>
        <v>0</v>
      </c>
    </row>
    <row r="10" spans="1:21" s="195" customFormat="1" ht="15" customHeight="1">
      <c r="B10" s="224" t="str">
        <f t="shared" si="0"/>
        <v>België</v>
      </c>
      <c r="C10" s="222">
        <f t="shared" si="1"/>
        <v>10</v>
      </c>
      <c r="D10" s="224" t="str">
        <f t="shared" si="2"/>
        <v>Portugal</v>
      </c>
      <c r="E10" s="222">
        <f t="shared" si="3"/>
        <v>0</v>
      </c>
      <c r="F10" s="339" t="s">
        <v>456</v>
      </c>
      <c r="G10" s="195" t="str">
        <f>G91</f>
        <v>België</v>
      </c>
      <c r="H10" s="222">
        <f t="shared" si="4"/>
        <v>15</v>
      </c>
      <c r="I10" s="339" t="s">
        <v>462</v>
      </c>
      <c r="J10" s="195" t="str">
        <f>G101</f>
        <v>Spanje</v>
      </c>
      <c r="L10" s="222">
        <f>IF(ISNA(MATCH(J10,teams_fin,0)),0,30)</f>
        <v>0</v>
      </c>
      <c r="P10" s="444" t="str">
        <f>G98</f>
        <v>Argentinië</v>
      </c>
      <c r="Q10" s="222">
        <f>IF(ISNA(MATCH(P10,teams_troost,0)),0,25)</f>
        <v>0</v>
      </c>
    </row>
    <row r="11" spans="1:21" s="195" customFormat="1" ht="15" customHeight="1">
      <c r="D11" s="198" t="s">
        <v>89</v>
      </c>
      <c r="E11" s="225">
        <f>SUM(C3:E10)</f>
        <v>90</v>
      </c>
      <c r="G11" s="198" t="s">
        <v>82</v>
      </c>
      <c r="H11" s="225">
        <f>SUM(H3:H10)</f>
        <v>90</v>
      </c>
      <c r="J11" s="198" t="s">
        <v>90</v>
      </c>
      <c r="K11" s="199"/>
      <c r="L11" s="225">
        <f>SUM(L9:L10)</f>
        <v>0</v>
      </c>
      <c r="P11" s="199"/>
      <c r="Q11" s="225">
        <f>SUM(Q9:Q10)</f>
        <v>0</v>
      </c>
    </row>
    <row r="12" spans="1:21">
      <c r="B12" s="201" t="s">
        <v>19</v>
      </c>
      <c r="C12" s="201"/>
      <c r="D12" s="339" t="s">
        <v>463</v>
      </c>
      <c r="E12" s="202" t="s">
        <v>138</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3</v>
      </c>
      <c r="I14" s="366" t="s">
        <v>29</v>
      </c>
      <c r="J14" s="366">
        <v>1</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10</v>
      </c>
    </row>
    <row r="15" spans="1:21">
      <c r="A15" s="188">
        <v>2</v>
      </c>
      <c r="B15" s="195">
        <v>2</v>
      </c>
      <c r="C15" s="332">
        <v>41803</v>
      </c>
      <c r="D15" s="333">
        <v>0.75</v>
      </c>
      <c r="E15" s="189" t="s">
        <v>101</v>
      </c>
      <c r="F15" s="189" t="s">
        <v>29</v>
      </c>
      <c r="G15" s="189" t="s">
        <v>119</v>
      </c>
      <c r="H15" s="366">
        <v>0</v>
      </c>
      <c r="I15" s="366" t="s">
        <v>29</v>
      </c>
      <c r="J15" s="366">
        <v>1</v>
      </c>
      <c r="K15" s="212">
        <f t="shared" si="5"/>
        <v>2</v>
      </c>
      <c r="L15" s="210" t="str">
        <f>VLOOKUP($B15,Invulblad!$A$11:$S$103,13,0)</f>
        <v>1</v>
      </c>
      <c r="M15" s="211">
        <f>IF(L15&lt;&gt;"",VLOOKUP($B15,Invulblad!$A$11:$S$103,7,0),"")</f>
        <v>1</v>
      </c>
      <c r="N15" s="209" t="s">
        <v>29</v>
      </c>
      <c r="O15" s="211">
        <f>IF(L15&lt;&gt;"",VLOOKUP($B15,Invulblad!$A$11:$S$103,9,0),"")</f>
        <v>0</v>
      </c>
      <c r="P15" s="212">
        <f t="shared" si="6"/>
        <v>0</v>
      </c>
    </row>
    <row r="16" spans="1:21">
      <c r="A16" s="188">
        <v>3</v>
      </c>
      <c r="B16" s="195">
        <v>17</v>
      </c>
      <c r="C16" s="332">
        <v>41807</v>
      </c>
      <c r="D16" s="333">
        <v>0.875</v>
      </c>
      <c r="E16" s="189" t="s">
        <v>557</v>
      </c>
      <c r="F16" s="189" t="s">
        <v>29</v>
      </c>
      <c r="G16" s="189" t="s">
        <v>96</v>
      </c>
      <c r="H16" s="366">
        <v>3</v>
      </c>
      <c r="I16" s="366" t="s">
        <v>29</v>
      </c>
      <c r="J16" s="366">
        <v>0</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1</v>
      </c>
      <c r="I17" s="366" t="s">
        <v>29</v>
      </c>
      <c r="J17" s="366">
        <v>0</v>
      </c>
      <c r="K17" s="212" t="str">
        <f t="shared" si="5"/>
        <v>1</v>
      </c>
      <c r="L17" s="210">
        <f>VLOOKUP($B17,Invulblad!$A$11:$S$103,13,0)</f>
        <v>2</v>
      </c>
      <c r="M17" s="211">
        <f>IF(L17&lt;&gt;"",VLOOKUP($B17,Invulblad!$A$11:$S$103,7,0),"")</f>
        <v>0</v>
      </c>
      <c r="N17" s="209" t="s">
        <v>29</v>
      </c>
      <c r="O17" s="211">
        <f>IF(L17&lt;&gt;"",VLOOKUP($B17,Invulblad!$A$11:$S$103,9,0),"")</f>
        <v>4</v>
      </c>
      <c r="P17" s="212">
        <f t="shared" si="6"/>
        <v>0</v>
      </c>
    </row>
    <row r="18" spans="1:16">
      <c r="A18" s="188">
        <v>5</v>
      </c>
      <c r="B18" s="195">
        <v>33</v>
      </c>
      <c r="C18" s="332">
        <v>41813</v>
      </c>
      <c r="D18" s="333">
        <v>0.91666666666666663</v>
      </c>
      <c r="E18" s="189" t="s">
        <v>121</v>
      </c>
      <c r="F18" s="189" t="s">
        <v>29</v>
      </c>
      <c r="G18" s="189" t="s">
        <v>559</v>
      </c>
      <c r="H18" s="366">
        <v>1</v>
      </c>
      <c r="I18" s="366" t="s">
        <v>29</v>
      </c>
      <c r="J18" s="366">
        <v>2</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1</v>
      </c>
      <c r="I19" s="366" t="s">
        <v>29</v>
      </c>
      <c r="J19" s="366">
        <v>0</v>
      </c>
      <c r="K19" s="212" t="str">
        <f t="shared" si="5"/>
        <v>1</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1</v>
      </c>
      <c r="I22" s="366" t="s">
        <v>29</v>
      </c>
      <c r="J22" s="366">
        <v>0</v>
      </c>
      <c r="K22" s="212" t="str">
        <f t="shared" si="5"/>
        <v>1</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2</v>
      </c>
      <c r="I23" s="366" t="s">
        <v>29</v>
      </c>
      <c r="J23" s="366">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1</v>
      </c>
      <c r="I24" s="366" t="s">
        <v>29</v>
      </c>
      <c r="J24" s="366">
        <v>0</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0</v>
      </c>
      <c r="I25" s="366" t="s">
        <v>29</v>
      </c>
      <c r="J25" s="366">
        <v>2</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0</v>
      </c>
      <c r="I26" s="366" t="s">
        <v>29</v>
      </c>
      <c r="J26" s="366">
        <v>2</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1</v>
      </c>
      <c r="I27" s="366" t="s">
        <v>29</v>
      </c>
      <c r="J27" s="366">
        <v>1</v>
      </c>
      <c r="K27" s="212">
        <f t="shared" si="5"/>
        <v>3</v>
      </c>
      <c r="L27" s="210" t="str">
        <f>VLOOKUP($B27,Invulblad!$A$11:$S$103,13,0)</f>
        <v>1</v>
      </c>
      <c r="M27" s="211">
        <f>IF(L27&lt;&gt;"",VLOOKUP($B27,Invulblad!$A$11:$S$103,7,0),"")</f>
        <v>2</v>
      </c>
      <c r="N27" s="209" t="s">
        <v>29</v>
      </c>
      <c r="O27" s="211">
        <f>IF(L27&lt;&gt;"",VLOOKUP($B27,Invulblad!$A$11:$S$103,9,0),"")</f>
        <v>0</v>
      </c>
      <c r="P27" s="212">
        <f t="shared" si="7"/>
        <v>0</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1</v>
      </c>
      <c r="I30" s="366" t="s">
        <v>29</v>
      </c>
      <c r="J30" s="366">
        <v>0</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0</v>
      </c>
      <c r="I31" s="366" t="s">
        <v>29</v>
      </c>
      <c r="J31" s="366">
        <v>1</v>
      </c>
      <c r="K31" s="212">
        <f t="shared" si="5"/>
        <v>2</v>
      </c>
      <c r="L31" s="210" t="str">
        <f>VLOOKUP($B31,Invulblad!$A$11:$S$103,13,0)</f>
        <v>1</v>
      </c>
      <c r="M31" s="211">
        <f>IF(L31&lt;&gt;"",VLOOKUP($B31,Invulblad!$A$11:$S$103,7,0),"")</f>
        <v>2</v>
      </c>
      <c r="N31" s="209" t="s">
        <v>29</v>
      </c>
      <c r="O31" s="211">
        <f>IF(L31&lt;&gt;"",VLOOKUP($B31,Invulblad!$A$11:$S$103,9,0),"")</f>
        <v>1</v>
      </c>
      <c r="P31" s="212">
        <f t="shared" si="8"/>
        <v>0</v>
      </c>
    </row>
    <row r="32" spans="1:16">
      <c r="A32" s="188">
        <v>19</v>
      </c>
      <c r="B32" s="195">
        <v>21</v>
      </c>
      <c r="C32" s="332">
        <v>41809</v>
      </c>
      <c r="D32" s="333">
        <v>0.75</v>
      </c>
      <c r="E32" s="189" t="s">
        <v>428</v>
      </c>
      <c r="F32" s="189" t="s">
        <v>29</v>
      </c>
      <c r="G32" s="189" t="s">
        <v>125</v>
      </c>
      <c r="H32" s="366">
        <v>2</v>
      </c>
      <c r="I32" s="366" t="s">
        <v>29</v>
      </c>
      <c r="J32" s="366">
        <v>0</v>
      </c>
      <c r="K32" s="212" t="str">
        <f t="shared" si="5"/>
        <v>1</v>
      </c>
      <c r="L32" s="210" t="str">
        <f>VLOOKUP($B32,Invulblad!$A$11:$S$103,13,0)</f>
        <v>1</v>
      </c>
      <c r="M32" s="211">
        <f>IF(L32&lt;&gt;"",VLOOKUP($B32,Invulblad!$A$11:$S$103,7,0),"")</f>
        <v>2</v>
      </c>
      <c r="N32" s="209" t="s">
        <v>29</v>
      </c>
      <c r="O32" s="211">
        <f>IF(L32&lt;&gt;"",VLOOKUP($B32,Invulblad!$A$11:$S$103,9,0),"")</f>
        <v>1</v>
      </c>
      <c r="P32" s="212">
        <f t="shared" si="8"/>
        <v>5</v>
      </c>
    </row>
    <row r="33" spans="1:16">
      <c r="A33" s="188">
        <v>20</v>
      </c>
      <c r="B33" s="195">
        <v>22</v>
      </c>
      <c r="C33" s="332">
        <v>41810</v>
      </c>
      <c r="D33" s="333">
        <v>0</v>
      </c>
      <c r="E33" s="189" t="s">
        <v>118</v>
      </c>
      <c r="F33" s="189" t="s">
        <v>29</v>
      </c>
      <c r="G33" s="189" t="s">
        <v>105</v>
      </c>
      <c r="H33" s="366">
        <v>1</v>
      </c>
      <c r="I33" s="366" t="s">
        <v>29</v>
      </c>
      <c r="J33" s="366">
        <v>0</v>
      </c>
      <c r="K33" s="212" t="str">
        <f t="shared" si="5"/>
        <v>1</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1</v>
      </c>
      <c r="I34" s="366" t="s">
        <v>29</v>
      </c>
      <c r="J34" s="366">
        <v>1</v>
      </c>
      <c r="K34" s="212">
        <f t="shared" si="5"/>
        <v>3</v>
      </c>
      <c r="L34" s="210">
        <f>VLOOKUP($B34,Invulblad!$A$11:$S$103,13,0)</f>
        <v>2</v>
      </c>
      <c r="M34" s="211">
        <f>IF(L34&lt;&gt;"",VLOOKUP($B34,Invulblad!$A$11:$S$103,7,0),"")</f>
        <v>1</v>
      </c>
      <c r="N34" s="209" t="s">
        <v>29</v>
      </c>
      <c r="O34" s="211">
        <f>IF(L34&lt;&gt;"",VLOOKUP($B34,Invulblad!$A$11:$S$103,9,0),"")</f>
        <v>4</v>
      </c>
      <c r="P34" s="212">
        <f t="shared" si="8"/>
        <v>0</v>
      </c>
    </row>
    <row r="35" spans="1:16">
      <c r="A35" s="188">
        <v>22</v>
      </c>
      <c r="B35" s="195">
        <v>38</v>
      </c>
      <c r="C35" s="332">
        <v>41814</v>
      </c>
      <c r="D35" s="333">
        <v>0.91666666666666663</v>
      </c>
      <c r="E35" s="189" t="s">
        <v>233</v>
      </c>
      <c r="F35" s="189" t="s">
        <v>29</v>
      </c>
      <c r="G35" s="189" t="s">
        <v>125</v>
      </c>
      <c r="H35" s="366">
        <v>1</v>
      </c>
      <c r="I35" s="366" t="s">
        <v>29</v>
      </c>
      <c r="J35" s="366">
        <v>1</v>
      </c>
      <c r="K35" s="212">
        <f t="shared" si="5"/>
        <v>3</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1</v>
      </c>
      <c r="I38" s="366" t="s">
        <v>29</v>
      </c>
      <c r="J38" s="366">
        <v>0</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0</v>
      </c>
      <c r="I39" s="366" t="s">
        <v>29</v>
      </c>
      <c r="J39" s="366">
        <v>0</v>
      </c>
      <c r="K39" s="212">
        <f t="shared" si="5"/>
        <v>3</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1</v>
      </c>
      <c r="I40" s="366" t="s">
        <v>29</v>
      </c>
      <c r="J40" s="366">
        <v>0</v>
      </c>
      <c r="K40" s="212" t="str">
        <f t="shared" si="5"/>
        <v>1</v>
      </c>
      <c r="L40" s="210" t="str">
        <f>VLOOKUP($B40,Invulblad!$A$11:$S$103,13,0)</f>
        <v>1</v>
      </c>
      <c r="M40" s="211">
        <f>IF(L40&lt;&gt;"",VLOOKUP($B40,Invulblad!$A$11:$S$103,7,0),"")</f>
        <v>2</v>
      </c>
      <c r="N40" s="209" t="s">
        <v>29</v>
      </c>
      <c r="O40" s="211">
        <f>IF(L40&lt;&gt;"",VLOOKUP($B40,Invulblad!$A$11:$S$103,9,0),"")</f>
        <v>1</v>
      </c>
      <c r="P40" s="212">
        <f t="shared" si="9"/>
        <v>5</v>
      </c>
    </row>
    <row r="41" spans="1:16">
      <c r="A41" s="188">
        <v>28</v>
      </c>
      <c r="B41" s="195">
        <v>24</v>
      </c>
      <c r="C41" s="332">
        <v>41810</v>
      </c>
      <c r="D41" s="333">
        <v>0.75</v>
      </c>
      <c r="E41" s="189" t="s">
        <v>564</v>
      </c>
      <c r="F41" s="189" t="s">
        <v>29</v>
      </c>
      <c r="G41" s="189" t="s">
        <v>430</v>
      </c>
      <c r="H41" s="366">
        <v>1</v>
      </c>
      <c r="I41" s="366" t="s">
        <v>29</v>
      </c>
      <c r="J41" s="366">
        <v>1</v>
      </c>
      <c r="K41" s="212">
        <f t="shared" si="5"/>
        <v>3</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1</v>
      </c>
      <c r="I42" s="366" t="s">
        <v>29</v>
      </c>
      <c r="J42" s="366">
        <v>2</v>
      </c>
      <c r="K42" s="212">
        <f t="shared" si="5"/>
        <v>2</v>
      </c>
      <c r="L42" s="210">
        <f>VLOOKUP($B42,Invulblad!$A$11:$S$103,13,0)</f>
        <v>2</v>
      </c>
      <c r="M42" s="211">
        <f>IF(L42&lt;&gt;"",VLOOKUP($B42,Invulblad!$A$11:$S$103,7,0),"")</f>
        <v>0</v>
      </c>
      <c r="N42" s="209" t="s">
        <v>29</v>
      </c>
      <c r="O42" s="211">
        <f>IF(L42&lt;&gt;"",VLOOKUP($B42,Invulblad!$A$11:$S$103,9,0),"")</f>
        <v>1</v>
      </c>
      <c r="P42" s="212">
        <f t="shared" si="9"/>
        <v>5</v>
      </c>
    </row>
    <row r="43" spans="1:16">
      <c r="A43" s="188">
        <v>30</v>
      </c>
      <c r="B43" s="195">
        <v>40</v>
      </c>
      <c r="C43" s="332">
        <v>41814</v>
      </c>
      <c r="D43" s="333">
        <v>0.75</v>
      </c>
      <c r="E43" s="189" t="s">
        <v>433</v>
      </c>
      <c r="F43" s="189" t="s">
        <v>29</v>
      </c>
      <c r="G43" s="189" t="s">
        <v>112</v>
      </c>
      <c r="H43" s="366">
        <v>0</v>
      </c>
      <c r="I43" s="366" t="s">
        <v>29</v>
      </c>
      <c r="J43" s="366">
        <v>1</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0</v>
      </c>
      <c r="I46" s="366" t="s">
        <v>29</v>
      </c>
      <c r="J46" s="366">
        <v>0</v>
      </c>
      <c r="K46" s="212">
        <f t="shared" si="5"/>
        <v>3</v>
      </c>
      <c r="L46" s="210" t="str">
        <f>VLOOKUP($B46,Invulblad!$A$11:$S$103,13,0)</f>
        <v>1</v>
      </c>
      <c r="M46" s="211">
        <f>IF(L46&lt;&gt;"",VLOOKUP($B46,Invulblad!$A$11:$S$103,7,0),"")</f>
        <v>2</v>
      </c>
      <c r="N46" s="209" t="s">
        <v>29</v>
      </c>
      <c r="O46" s="211">
        <f>IF(L46&lt;&gt;"",VLOOKUP($B46,Invulblad!$A$11:$S$103,9,0),"")</f>
        <v>1</v>
      </c>
      <c r="P46" s="212">
        <f t="shared" ref="P46:P51" si="10">IF(L46&lt;&gt;"",IF(AND(M46=H46,O46=J46),10,IF(K46=L46,5,0)),"")</f>
        <v>0</v>
      </c>
    </row>
    <row r="47" spans="1:16">
      <c r="A47" s="188">
        <v>34</v>
      </c>
      <c r="B47" s="195">
        <v>10</v>
      </c>
      <c r="C47" s="332">
        <v>41805</v>
      </c>
      <c r="D47" s="333">
        <v>0.875</v>
      </c>
      <c r="E47" s="189" t="s">
        <v>100</v>
      </c>
      <c r="F47" s="189" t="s">
        <v>29</v>
      </c>
      <c r="G47" s="189" t="s">
        <v>132</v>
      </c>
      <c r="H47" s="366">
        <v>2</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1</v>
      </c>
      <c r="I48" s="366" t="s">
        <v>29</v>
      </c>
      <c r="J48" s="366">
        <v>2</v>
      </c>
      <c r="K48" s="212">
        <f t="shared" si="5"/>
        <v>2</v>
      </c>
      <c r="L48" s="210">
        <f>VLOOKUP($B48,Invulblad!$A$11:$S$103,13,0)</f>
        <v>2</v>
      </c>
      <c r="M48" s="211">
        <f>IF(L48&lt;&gt;"",VLOOKUP($B48,Invulblad!$A$11:$S$103,7,0),"")</f>
        <v>2</v>
      </c>
      <c r="N48" s="209" t="s">
        <v>29</v>
      </c>
      <c r="O48" s="211">
        <f>IF(L48&lt;&gt;"",VLOOKUP($B48,Invulblad!$A$11:$S$103,9,0),"")</f>
        <v>5</v>
      </c>
      <c r="P48" s="212">
        <f t="shared" si="10"/>
        <v>5</v>
      </c>
    </row>
    <row r="49" spans="1:16">
      <c r="A49" s="188">
        <v>36</v>
      </c>
      <c r="B49" s="195">
        <v>26</v>
      </c>
      <c r="C49" s="332">
        <v>41811</v>
      </c>
      <c r="D49" s="333">
        <v>0</v>
      </c>
      <c r="E49" s="189" t="s">
        <v>127</v>
      </c>
      <c r="F49" s="189" t="s">
        <v>29</v>
      </c>
      <c r="G49" s="189" t="s">
        <v>434</v>
      </c>
      <c r="H49" s="366">
        <v>0</v>
      </c>
      <c r="I49" s="366" t="s">
        <v>29</v>
      </c>
      <c r="J49" s="366">
        <v>2</v>
      </c>
      <c r="K49" s="212">
        <f t="shared" si="5"/>
        <v>2</v>
      </c>
      <c r="L49" s="210">
        <f>VLOOKUP($B49,Invulblad!$A$11:$S$103,13,0)</f>
        <v>2</v>
      </c>
      <c r="M49" s="211">
        <f>IF(L49&lt;&gt;"",VLOOKUP($B49,Invulblad!$A$11:$S$103,7,0),"")</f>
        <v>1</v>
      </c>
      <c r="N49" s="209" t="s">
        <v>29</v>
      </c>
      <c r="O49" s="211">
        <f>IF(L49&lt;&gt;"",VLOOKUP($B49,Invulblad!$A$11:$S$103,9,0),"")</f>
        <v>2</v>
      </c>
      <c r="P49" s="212">
        <f t="shared" si="10"/>
        <v>5</v>
      </c>
    </row>
    <row r="50" spans="1:16">
      <c r="A50" s="188">
        <v>37</v>
      </c>
      <c r="B50" s="195">
        <v>41</v>
      </c>
      <c r="C50" s="332">
        <v>41815</v>
      </c>
      <c r="D50" s="333">
        <v>0.91666666666666663</v>
      </c>
      <c r="E50" s="189" t="s">
        <v>127</v>
      </c>
      <c r="F50" s="189" t="s">
        <v>29</v>
      </c>
      <c r="G50" s="189" t="s">
        <v>130</v>
      </c>
      <c r="H50" s="366">
        <v>0</v>
      </c>
      <c r="I50" s="366" t="s">
        <v>29</v>
      </c>
      <c r="J50" s="366">
        <v>1</v>
      </c>
      <c r="K50" s="212">
        <f t="shared" ref="K50:K85" si="11">IF(AND(H50="",J50=""),"",IF(OR(H50="",J50=""),"FOUT",IF(H50&gt;J50,"1",IF(H50=J50,3,2))))</f>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1</v>
      </c>
      <c r="I51" s="366" t="s">
        <v>29</v>
      </c>
      <c r="J51" s="366">
        <v>2</v>
      </c>
      <c r="K51" s="212">
        <f t="shared" si="11"/>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367"/>
      <c r="I52" s="367"/>
      <c r="J52" s="367"/>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2</v>
      </c>
      <c r="I54" s="366" t="s">
        <v>29</v>
      </c>
      <c r="J54" s="366">
        <v>0</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2">
        <v>41806</v>
      </c>
      <c r="D55" s="333">
        <v>0.875</v>
      </c>
      <c r="E55" s="189" t="s">
        <v>438</v>
      </c>
      <c r="F55" s="189" t="s">
        <v>29</v>
      </c>
      <c r="G55" s="189" t="s">
        <v>103</v>
      </c>
      <c r="H55" s="366">
        <v>0</v>
      </c>
      <c r="I55" s="366" t="s">
        <v>29</v>
      </c>
      <c r="J55" s="366">
        <v>1</v>
      </c>
      <c r="K55" s="212">
        <f t="shared" si="11"/>
        <v>2</v>
      </c>
      <c r="L55" s="210">
        <f>VLOOKUP($B55,Invulblad!$A$11:$S$103,13,0)</f>
        <v>3</v>
      </c>
      <c r="M55" s="211">
        <f>IF(L55&lt;&gt;"",VLOOKUP($B55,Invulblad!$A$11:$S$103,7,0),"")</f>
        <v>0</v>
      </c>
      <c r="N55" s="209" t="s">
        <v>29</v>
      </c>
      <c r="O55" s="211">
        <f>IF(L55&lt;&gt;"",VLOOKUP($B55,Invulblad!$A$11:$S$103,9,0),"")</f>
        <v>0</v>
      </c>
      <c r="P55" s="212">
        <f t="shared" si="12"/>
        <v>0</v>
      </c>
    </row>
    <row r="56" spans="1:16">
      <c r="A56" s="188">
        <v>43</v>
      </c>
      <c r="B56" s="195">
        <v>27</v>
      </c>
      <c r="C56" s="332">
        <v>41811</v>
      </c>
      <c r="D56" s="333">
        <v>0.75</v>
      </c>
      <c r="E56" s="189" t="s">
        <v>565</v>
      </c>
      <c r="F56" s="189" t="s">
        <v>29</v>
      </c>
      <c r="G56" s="189" t="s">
        <v>439</v>
      </c>
      <c r="H56" s="366">
        <v>3</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1</v>
      </c>
      <c r="I57" s="366" t="s">
        <v>29</v>
      </c>
      <c r="J57" s="366">
        <v>1</v>
      </c>
      <c r="K57" s="212">
        <f t="shared" si="11"/>
        <v>3</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0</v>
      </c>
      <c r="I58" s="366" t="s">
        <v>29</v>
      </c>
      <c r="J58" s="366">
        <v>2</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2</v>
      </c>
      <c r="I59" s="366" t="s">
        <v>29</v>
      </c>
      <c r="J59" s="366">
        <v>1</v>
      </c>
      <c r="K59" s="212" t="str">
        <f t="shared" si="11"/>
        <v>1</v>
      </c>
      <c r="L59" s="210" t="str">
        <f>VLOOKUP($B59,Invulblad!$A$11:$S$103,13,0)</f>
        <v>1</v>
      </c>
      <c r="M59" s="211">
        <f>IF(L59&lt;&gt;"",VLOOKUP($B59,Invulblad!$A$11:$S$103,7,0),"")</f>
        <v>3</v>
      </c>
      <c r="N59" s="209" t="s">
        <v>29</v>
      </c>
      <c r="O59" s="211">
        <f>IF(L59&lt;&gt;"",VLOOKUP($B59,Invulblad!$A$11:$S$103,9,0),"")</f>
        <v>1</v>
      </c>
      <c r="P59" s="212">
        <f t="shared" si="12"/>
        <v>5</v>
      </c>
    </row>
    <row r="60" spans="1:16">
      <c r="A60" s="188">
        <v>47</v>
      </c>
      <c r="B60" s="201" t="s">
        <v>36</v>
      </c>
      <c r="H60" s="367"/>
      <c r="I60" s="367"/>
      <c r="J60" s="367"/>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0</v>
      </c>
      <c r="I62" s="366" t="s">
        <v>29</v>
      </c>
      <c r="J62" s="366">
        <v>0</v>
      </c>
      <c r="K62" s="212">
        <f t="shared" si="11"/>
        <v>3</v>
      </c>
      <c r="L62" s="210" t="str">
        <f>VLOOKUP($B62,Invulblad!$A$11:$S$103,13,0)</f>
        <v>1</v>
      </c>
      <c r="M62" s="211">
        <f>IF(L62&lt;&gt;"",VLOOKUP($B62,Invulblad!$A$11:$S$103,7,0),"")</f>
        <v>4</v>
      </c>
      <c r="N62" s="209" t="s">
        <v>29</v>
      </c>
      <c r="O62" s="211">
        <f>IF(L62&lt;&gt;"",VLOOKUP($B62,Invulblad!$A$11:$S$103,9,0),"")</f>
        <v>0</v>
      </c>
      <c r="P62" s="212">
        <f t="shared" ref="P62:P67" si="13">IF(L62&lt;&gt;"",IF(AND(M62=H62,O62=J62),10,IF(K62=L62,5,0)),"")</f>
        <v>0</v>
      </c>
    </row>
    <row r="63" spans="1:16">
      <c r="A63" s="188">
        <v>50</v>
      </c>
      <c r="B63" s="195">
        <v>14</v>
      </c>
      <c r="C63" s="332">
        <v>41807</v>
      </c>
      <c r="D63" s="333">
        <v>0</v>
      </c>
      <c r="E63" s="189" t="s">
        <v>115</v>
      </c>
      <c r="F63" s="189" t="s">
        <v>29</v>
      </c>
      <c r="G63" s="189" t="s">
        <v>577</v>
      </c>
      <c r="H63" s="366">
        <v>0</v>
      </c>
      <c r="I63" s="366" t="s">
        <v>29</v>
      </c>
      <c r="J63" s="366">
        <v>1</v>
      </c>
      <c r="K63" s="212">
        <f t="shared" si="11"/>
        <v>2</v>
      </c>
      <c r="L63" s="210">
        <f>VLOOKUP($B63,Invulblad!$A$11:$S$103,13,0)</f>
        <v>2</v>
      </c>
      <c r="M63" s="211">
        <f>IF(L63&lt;&gt;"",VLOOKUP($B63,Invulblad!$A$11:$S$103,7,0),"")</f>
        <v>1</v>
      </c>
      <c r="N63" s="209" t="s">
        <v>29</v>
      </c>
      <c r="O63" s="211">
        <f>IF(L63&lt;&gt;"",VLOOKUP($B63,Invulblad!$A$11:$S$103,9,0),"")</f>
        <v>2</v>
      </c>
      <c r="P63" s="212">
        <f t="shared" si="13"/>
        <v>5</v>
      </c>
    </row>
    <row r="64" spans="1:16">
      <c r="A64" s="188">
        <v>51</v>
      </c>
      <c r="B64" s="195">
        <v>29</v>
      </c>
      <c r="C64" s="332">
        <v>41811</v>
      </c>
      <c r="D64" s="333">
        <v>0.875</v>
      </c>
      <c r="E64" s="189" t="s">
        <v>113</v>
      </c>
      <c r="F64" s="189" t="s">
        <v>29</v>
      </c>
      <c r="G64" s="189" t="s">
        <v>114</v>
      </c>
      <c r="H64" s="366">
        <v>2</v>
      </c>
      <c r="I64" s="366" t="s">
        <v>29</v>
      </c>
      <c r="J64" s="366">
        <v>0</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0</v>
      </c>
      <c r="I65" s="366" t="s">
        <v>29</v>
      </c>
      <c r="J65" s="366">
        <v>1</v>
      </c>
      <c r="K65" s="212">
        <f t="shared" si="11"/>
        <v>2</v>
      </c>
      <c r="L65" s="210">
        <f>VLOOKUP($B65,Invulblad!$A$11:$S$103,13,0)</f>
        <v>3</v>
      </c>
      <c r="M65" s="211">
        <f>IF(L65&lt;&gt;"",VLOOKUP($B65,Invulblad!$A$11:$S$103,7,0),"")</f>
        <v>2</v>
      </c>
      <c r="N65" s="209" t="s">
        <v>29</v>
      </c>
      <c r="O65" s="211">
        <f>IF(L65&lt;&gt;"",VLOOKUP($B65,Invulblad!$A$11:$S$103,9,0),"")</f>
        <v>2</v>
      </c>
      <c r="P65" s="212">
        <f t="shared" si="13"/>
        <v>0</v>
      </c>
    </row>
    <row r="66" spans="1:16">
      <c r="A66" s="188">
        <v>53</v>
      </c>
      <c r="B66" s="195">
        <v>45</v>
      </c>
      <c r="C66" s="332">
        <v>41816</v>
      </c>
      <c r="D66" s="333">
        <v>0.75</v>
      </c>
      <c r="E66" s="189" t="s">
        <v>578</v>
      </c>
      <c r="F66" s="189" t="s">
        <v>29</v>
      </c>
      <c r="G66" s="189" t="s">
        <v>116</v>
      </c>
      <c r="H66" s="366">
        <v>0</v>
      </c>
      <c r="I66" s="366" t="s">
        <v>29</v>
      </c>
      <c r="J66" s="366">
        <v>1</v>
      </c>
      <c r="K66" s="212">
        <f t="shared" si="11"/>
        <v>2</v>
      </c>
      <c r="L66" s="210">
        <f>VLOOKUP($B66,Invulblad!$A$11:$S$103,13,0)</f>
        <v>2</v>
      </c>
      <c r="M66" s="211">
        <f>IF(L66&lt;&gt;"",VLOOKUP($B66,Invulblad!$A$11:$S$103,7,0),"")</f>
        <v>0</v>
      </c>
      <c r="N66" s="209" t="s">
        <v>29</v>
      </c>
      <c r="O66" s="211">
        <f>IF(L66&lt;&gt;"",VLOOKUP($B66,Invulblad!$A$11:$S$103,9,0),"")</f>
        <v>1</v>
      </c>
      <c r="P66" s="212">
        <f t="shared" si="13"/>
        <v>10</v>
      </c>
    </row>
    <row r="67" spans="1:16">
      <c r="A67" s="188">
        <v>54</v>
      </c>
      <c r="B67" s="195">
        <v>46</v>
      </c>
      <c r="C67" s="332">
        <v>41816</v>
      </c>
      <c r="D67" s="333">
        <v>0.75</v>
      </c>
      <c r="E67" s="189" t="s">
        <v>126</v>
      </c>
      <c r="F67" s="189" t="s">
        <v>29</v>
      </c>
      <c r="G67" s="189" t="s">
        <v>114</v>
      </c>
      <c r="H67" s="366">
        <v>1</v>
      </c>
      <c r="I67" s="366" t="s">
        <v>29</v>
      </c>
      <c r="J67" s="366">
        <v>0</v>
      </c>
      <c r="K67" s="212" t="str">
        <f t="shared" si="11"/>
        <v>1</v>
      </c>
      <c r="L67" s="210" t="str">
        <f>VLOOKUP($B67,Invulblad!$A$11:$S$103,13,0)</f>
        <v>1</v>
      </c>
      <c r="M67" s="211">
        <f>IF(L67&lt;&gt;"",VLOOKUP($B67,Invulblad!$A$11:$S$103,7,0),"")</f>
        <v>2</v>
      </c>
      <c r="N67" s="209" t="s">
        <v>29</v>
      </c>
      <c r="O67" s="211">
        <f>IF(L67&lt;&gt;"",VLOOKUP($B67,Invulblad!$A$11:$S$103,9,0),"")</f>
        <v>1</v>
      </c>
      <c r="P67" s="212">
        <f t="shared" si="13"/>
        <v>5</v>
      </c>
    </row>
    <row r="68" spans="1:16">
      <c r="A68" s="188">
        <v>55</v>
      </c>
      <c r="B68" s="201" t="s">
        <v>37</v>
      </c>
      <c r="H68" s="367"/>
      <c r="I68" s="367"/>
      <c r="J68" s="367"/>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2</v>
      </c>
      <c r="I70" s="366" t="s">
        <v>29</v>
      </c>
      <c r="J70" s="366">
        <v>1</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10</v>
      </c>
    </row>
    <row r="71" spans="1:16">
      <c r="A71" s="188">
        <v>58</v>
      </c>
      <c r="B71" s="195">
        <v>16</v>
      </c>
      <c r="C71" s="332">
        <v>41808</v>
      </c>
      <c r="D71" s="333">
        <v>0</v>
      </c>
      <c r="E71" s="189" t="s">
        <v>445</v>
      </c>
      <c r="F71" s="189" t="s">
        <v>29</v>
      </c>
      <c r="G71" s="189" t="s">
        <v>107</v>
      </c>
      <c r="H71" s="366">
        <v>1</v>
      </c>
      <c r="I71" s="366" t="s">
        <v>29</v>
      </c>
      <c r="J71" s="366">
        <v>0</v>
      </c>
      <c r="K71" s="212" t="str">
        <f t="shared" si="11"/>
        <v>1</v>
      </c>
      <c r="L71" s="210">
        <f>VLOOKUP($B71,Invulblad!$A$11:$S$103,13,0)</f>
        <v>3</v>
      </c>
      <c r="M71" s="211">
        <f>IF(L71&lt;&gt;"",VLOOKUP($B71,Invulblad!$A$11:$S$103,7,0),"")</f>
        <v>1</v>
      </c>
      <c r="N71" s="209" t="s">
        <v>29</v>
      </c>
      <c r="O71" s="211">
        <f>IF(L71&lt;&gt;"",VLOOKUP($B71,Invulblad!$A$11:$S$103,9,0),"")</f>
        <v>1</v>
      </c>
      <c r="P71" s="212">
        <f t="shared" si="14"/>
        <v>0</v>
      </c>
    </row>
    <row r="72" spans="1:16">
      <c r="A72" s="188">
        <v>59</v>
      </c>
      <c r="B72" s="195">
        <v>31</v>
      </c>
      <c r="C72" s="332">
        <v>41812</v>
      </c>
      <c r="D72" s="333">
        <v>0.75</v>
      </c>
      <c r="E72" s="189" t="s">
        <v>569</v>
      </c>
      <c r="F72" s="189" t="s">
        <v>29</v>
      </c>
      <c r="G72" s="189" t="s">
        <v>446</v>
      </c>
      <c r="H72" s="366">
        <v>2</v>
      </c>
      <c r="I72" s="366" t="s">
        <v>29</v>
      </c>
      <c r="J72" s="366">
        <v>0</v>
      </c>
      <c r="K72" s="212" t="str">
        <f t="shared" si="11"/>
        <v>1</v>
      </c>
      <c r="L72" s="210" t="str">
        <f>VLOOKUP($B72,Invulblad!$A$11:$S$103,13,0)</f>
        <v>1</v>
      </c>
      <c r="M72" s="211">
        <f>IF(L72&lt;&gt;"",VLOOKUP($B72,Invulblad!$A$11:$S$103,7,0),"")</f>
        <v>1</v>
      </c>
      <c r="N72" s="209" t="s">
        <v>29</v>
      </c>
      <c r="O72" s="211">
        <f>IF(L72&lt;&gt;"",VLOOKUP($B72,Invulblad!$A$11:$S$103,9,0),"")</f>
        <v>0</v>
      </c>
      <c r="P72" s="212">
        <f t="shared" si="14"/>
        <v>5</v>
      </c>
    </row>
    <row r="73" spans="1:16">
      <c r="A73" s="188">
        <v>60</v>
      </c>
      <c r="B73" s="195">
        <v>32</v>
      </c>
      <c r="C73" s="332">
        <v>41812</v>
      </c>
      <c r="D73" s="333">
        <v>0.875</v>
      </c>
      <c r="E73" s="189" t="s">
        <v>232</v>
      </c>
      <c r="F73" s="189" t="s">
        <v>29</v>
      </c>
      <c r="G73" s="189" t="s">
        <v>111</v>
      </c>
      <c r="H73" s="366">
        <v>0</v>
      </c>
      <c r="I73" s="366" t="s">
        <v>29</v>
      </c>
      <c r="J73" s="366">
        <v>1</v>
      </c>
      <c r="K73" s="212">
        <f t="shared" si="11"/>
        <v>2</v>
      </c>
      <c r="L73" s="210">
        <f>VLOOKUP($B73,Invulblad!$A$11:$S$103,13,0)</f>
        <v>2</v>
      </c>
      <c r="M73" s="211">
        <f>IF(L73&lt;&gt;"",VLOOKUP($B73,Invulblad!$A$11:$S$103,7,0),"")</f>
        <v>2</v>
      </c>
      <c r="N73" s="209" t="s">
        <v>29</v>
      </c>
      <c r="O73" s="211">
        <f>IF(L73&lt;&gt;"",VLOOKUP($B73,Invulblad!$A$11:$S$103,9,0),"")</f>
        <v>4</v>
      </c>
      <c r="P73" s="212">
        <f t="shared" si="14"/>
        <v>5</v>
      </c>
    </row>
    <row r="74" spans="1:16">
      <c r="A74" s="188">
        <v>61</v>
      </c>
      <c r="B74" s="195">
        <v>47</v>
      </c>
      <c r="C74" s="332">
        <v>41816</v>
      </c>
      <c r="D74" s="333">
        <v>0.91666666666666663</v>
      </c>
      <c r="E74" s="189" t="s">
        <v>232</v>
      </c>
      <c r="F74" s="189" t="s">
        <v>29</v>
      </c>
      <c r="G74" s="189" t="s">
        <v>570</v>
      </c>
      <c r="H74" s="366">
        <v>0</v>
      </c>
      <c r="I74" s="366" t="s">
        <v>29</v>
      </c>
      <c r="J74" s="366">
        <v>1</v>
      </c>
      <c r="K74" s="212">
        <f t="shared" si="11"/>
        <v>2</v>
      </c>
      <c r="L74" s="210">
        <f>VLOOKUP($B74,Invulblad!$A$11:$S$103,13,0)</f>
        <v>2</v>
      </c>
      <c r="M74" s="211">
        <f>IF(L74&lt;&gt;"",VLOOKUP($B74,Invulblad!$A$11:$S$103,7,0),"")</f>
        <v>0</v>
      </c>
      <c r="N74" s="209" t="s">
        <v>29</v>
      </c>
      <c r="O74" s="211">
        <f>IF(L74&lt;&gt;"",VLOOKUP($B74,Invulblad!$A$11:$S$103,9,0),"")</f>
        <v>1</v>
      </c>
      <c r="P74" s="212">
        <f t="shared" si="14"/>
        <v>10</v>
      </c>
    </row>
    <row r="75" spans="1:16">
      <c r="A75" s="188">
        <v>62</v>
      </c>
      <c r="B75" s="195">
        <v>48</v>
      </c>
      <c r="C75" s="332">
        <v>41816</v>
      </c>
      <c r="D75" s="333">
        <v>0.91666666666666663</v>
      </c>
      <c r="E75" s="189" t="s">
        <v>236</v>
      </c>
      <c r="F75" s="189" t="s">
        <v>29</v>
      </c>
      <c r="G75" s="189" t="s">
        <v>446</v>
      </c>
      <c r="H75" s="366">
        <v>0</v>
      </c>
      <c r="I75" s="366" t="s">
        <v>29</v>
      </c>
      <c r="J75" s="366">
        <v>0</v>
      </c>
      <c r="K75" s="212">
        <f t="shared" si="11"/>
        <v>3</v>
      </c>
      <c r="L75" s="210">
        <f>VLOOKUP($B75,Invulblad!$A$11:$S$103,13,0)</f>
        <v>3</v>
      </c>
      <c r="M75" s="211">
        <f>IF(L75&lt;&gt;"",VLOOKUP($B75,Invulblad!$A$11:$S$103,7,0),"")</f>
        <v>1</v>
      </c>
      <c r="N75" s="209" t="s">
        <v>29</v>
      </c>
      <c r="O75" s="211">
        <f>IF(L75&lt;&gt;"",VLOOKUP($B75,Invulblad!$A$11:$S$103,9,0),"")</f>
        <v>1</v>
      </c>
      <c r="P75" s="212">
        <f t="shared" si="14"/>
        <v>5</v>
      </c>
    </row>
    <row r="76" spans="1:16">
      <c r="A76" s="188">
        <v>63</v>
      </c>
      <c r="B76" s="201" t="s">
        <v>86</v>
      </c>
      <c r="H76" s="367"/>
      <c r="I76" s="367"/>
      <c r="J76" s="367"/>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135</v>
      </c>
      <c r="H78" s="366">
        <v>2</v>
      </c>
      <c r="I78" s="366" t="s">
        <v>29</v>
      </c>
      <c r="J78" s="366">
        <v>1</v>
      </c>
      <c r="K78" s="212" t="str">
        <f t="shared" si="11"/>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390</v>
      </c>
      <c r="F79" s="189" t="s">
        <v>29</v>
      </c>
      <c r="G79" s="189" t="s">
        <v>109</v>
      </c>
      <c r="H79" s="366">
        <v>1</v>
      </c>
      <c r="I79" s="366" t="s">
        <v>29</v>
      </c>
      <c r="J79" s="366">
        <v>0</v>
      </c>
      <c r="K79" s="212" t="str">
        <f t="shared" si="11"/>
        <v>1</v>
      </c>
      <c r="L79" s="210" t="str">
        <f>VLOOKUP($B79,Invulblad!$A$11:$S$103,13,0)</f>
        <v>1</v>
      </c>
      <c r="M79" s="211">
        <f>IF(L79&lt;&gt;"",VLOOKUP($B79,Invulblad!$A$11:$S$103,7,0),"")</f>
        <v>2</v>
      </c>
      <c r="N79" s="209" t="s">
        <v>29</v>
      </c>
      <c r="O79" s="211">
        <f>IF(L79&lt;&gt;"",VLOOKUP($B79,Invulblad!$A$11:$S$103,9,0),"")</f>
        <v>0</v>
      </c>
      <c r="P79" s="212">
        <f t="shared" si="15"/>
        <v>5</v>
      </c>
    </row>
    <row r="80" spans="1:16">
      <c r="A80" s="188">
        <v>67</v>
      </c>
      <c r="B80" s="195">
        <v>51</v>
      </c>
      <c r="C80" s="332">
        <v>41819</v>
      </c>
      <c r="D80" s="333">
        <v>0.75</v>
      </c>
      <c r="E80" s="189" t="s">
        <v>138</v>
      </c>
      <c r="F80" s="189" t="s">
        <v>29</v>
      </c>
      <c r="G80" s="189" t="s">
        <v>185</v>
      </c>
      <c r="H80" s="366">
        <v>2</v>
      </c>
      <c r="I80" s="366" t="s">
        <v>29</v>
      </c>
      <c r="J80" s="366">
        <v>0</v>
      </c>
      <c r="K80" s="212" t="str">
        <f t="shared" si="11"/>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97</v>
      </c>
      <c r="F81" s="189" t="s">
        <v>29</v>
      </c>
      <c r="G81" s="189" t="s">
        <v>187</v>
      </c>
      <c r="H81" s="366">
        <v>1</v>
      </c>
      <c r="I81" s="366" t="s">
        <v>29</v>
      </c>
      <c r="J81" s="366">
        <v>0</v>
      </c>
      <c r="K81" s="212" t="str">
        <f t="shared" si="11"/>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143</v>
      </c>
      <c r="F82" s="189" t="s">
        <v>29</v>
      </c>
      <c r="G82" s="189" t="s">
        <v>572</v>
      </c>
      <c r="H82" s="366">
        <v>2</v>
      </c>
      <c r="I82" s="366" t="s">
        <v>29</v>
      </c>
      <c r="J82" s="366">
        <v>0</v>
      </c>
      <c r="K82" s="212" t="str">
        <f t="shared" si="11"/>
        <v>1</v>
      </c>
      <c r="L82" s="210" t="str">
        <f>VLOOKUP($B82,Invulblad!$A$11:$S$103,13,0)</f>
        <v>1</v>
      </c>
      <c r="M82" s="211">
        <f>IF(L82&lt;&gt;"",VLOOKUP($B82,Invulblad!$A$11:$S$103,7,0),"")</f>
        <v>2</v>
      </c>
      <c r="N82" s="209" t="s">
        <v>29</v>
      </c>
      <c r="O82" s="211">
        <f>IF(L82&lt;&gt;"",VLOOKUP($B82,Invulblad!$A$11:$S$103,9,0),"")</f>
        <v>0</v>
      </c>
      <c r="P82" s="212">
        <f t="shared" si="15"/>
        <v>10</v>
      </c>
    </row>
    <row r="83" spans="1:16">
      <c r="A83" s="188">
        <v>70</v>
      </c>
      <c r="B83" s="195">
        <v>54</v>
      </c>
      <c r="C83" s="332">
        <v>41820</v>
      </c>
      <c r="D83" s="333">
        <v>0.91666666666666663</v>
      </c>
      <c r="E83" s="189" t="s">
        <v>177</v>
      </c>
      <c r="F83" s="189" t="s">
        <v>29</v>
      </c>
      <c r="G83" s="189" t="s">
        <v>110</v>
      </c>
      <c r="H83" s="366">
        <v>1</v>
      </c>
      <c r="I83" s="366" t="s">
        <v>29</v>
      </c>
      <c r="J83" s="366">
        <v>0</v>
      </c>
      <c r="K83" s="212" t="str">
        <f t="shared" si="11"/>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392</v>
      </c>
      <c r="H84" s="366">
        <v>2</v>
      </c>
      <c r="I84" s="366" t="s">
        <v>29</v>
      </c>
      <c r="J84" s="366">
        <v>0</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395</v>
      </c>
      <c r="F85" s="189" t="s">
        <v>29</v>
      </c>
      <c r="G85" s="189" t="s">
        <v>202</v>
      </c>
      <c r="H85" s="366">
        <v>0</v>
      </c>
      <c r="I85" s="366" t="s">
        <v>29</v>
      </c>
      <c r="J85" s="366">
        <v>0</v>
      </c>
      <c r="K85" s="212">
        <f t="shared" si="11"/>
        <v>3</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390</v>
      </c>
      <c r="H88" s="366">
        <v>1</v>
      </c>
      <c r="I88" s="366" t="s">
        <v>29</v>
      </c>
      <c r="J88" s="366">
        <v>0</v>
      </c>
      <c r="K88" s="212" t="str">
        <f t="shared" si="16"/>
        <v>1</v>
      </c>
      <c r="L88" s="210" t="str">
        <f>VLOOKUP($B88,Invulblad!$A$11:$S$103,13,0)</f>
        <v>1</v>
      </c>
      <c r="M88" s="211">
        <f>IF(L88&lt;&gt;"",VLOOKUP($B88,Invulblad!$A$11:$S$103,7,0),"")</f>
        <v>2</v>
      </c>
      <c r="N88" s="209" t="s">
        <v>29</v>
      </c>
      <c r="O88" s="211">
        <f>IF(L88&lt;&gt;"",VLOOKUP($B88,Invulblad!$A$11:$S$103,9,0),"")</f>
        <v>1</v>
      </c>
      <c r="P88" s="212">
        <f>IF(L88&lt;&gt;"",IF(AND(M88=H88,O88=J88),10,IF(K88=L88,5,0)),"")</f>
        <v>5</v>
      </c>
    </row>
    <row r="89" spans="1:16">
      <c r="A89" s="188">
        <v>76</v>
      </c>
      <c r="B89" s="195">
        <v>58</v>
      </c>
      <c r="C89" s="332">
        <v>41824</v>
      </c>
      <c r="D89" s="333">
        <v>0.75</v>
      </c>
      <c r="E89" s="189" t="s">
        <v>143</v>
      </c>
      <c r="F89" s="189" t="s">
        <v>29</v>
      </c>
      <c r="G89" s="189" t="s">
        <v>177</v>
      </c>
      <c r="H89" s="366">
        <v>0</v>
      </c>
      <c r="I89" s="366" t="s">
        <v>29</v>
      </c>
      <c r="J89" s="366">
        <v>1</v>
      </c>
      <c r="K89" s="212">
        <f t="shared" si="16"/>
        <v>2</v>
      </c>
      <c r="L89" s="210">
        <f>VLOOKUP($B89,Invulblad!$A$11:$S$103,13,0)</f>
        <v>2</v>
      </c>
      <c r="M89" s="211">
        <f>IF(L89&lt;&gt;"",VLOOKUP($B89,Invulblad!$A$11:$S$103,7,0),"")</f>
        <v>0</v>
      </c>
      <c r="N89" s="209" t="s">
        <v>29</v>
      </c>
      <c r="O89" s="211">
        <f>IF(L89&lt;&gt;"",VLOOKUP($B89,Invulblad!$A$11:$S$103,9,0),"")</f>
        <v>1</v>
      </c>
      <c r="P89" s="212">
        <f>IF(L89&lt;&gt;"",IF(AND(M89=H89,O89=J89),10,IF(K89=L89,5,0)),"")</f>
        <v>10</v>
      </c>
    </row>
    <row r="90" spans="1:16">
      <c r="A90" s="188">
        <v>77</v>
      </c>
      <c r="B90" s="195">
        <v>59</v>
      </c>
      <c r="C90" s="332">
        <v>41825</v>
      </c>
      <c r="D90" s="333">
        <v>0.91666666666666663</v>
      </c>
      <c r="E90" s="189" t="s">
        <v>138</v>
      </c>
      <c r="F90" s="189" t="s">
        <v>29</v>
      </c>
      <c r="G90" s="189" t="s">
        <v>97</v>
      </c>
      <c r="H90" s="366">
        <v>1</v>
      </c>
      <c r="I90" s="366" t="s">
        <v>29</v>
      </c>
      <c r="J90" s="366">
        <v>0</v>
      </c>
      <c r="K90" s="212" t="str">
        <f t="shared" si="16"/>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395</v>
      </c>
      <c r="H91" s="366">
        <v>1</v>
      </c>
      <c r="I91" s="366" t="s">
        <v>29</v>
      </c>
      <c r="J91" s="366">
        <v>1</v>
      </c>
      <c r="K91" s="212">
        <f t="shared" si="16"/>
        <v>3</v>
      </c>
      <c r="L91" s="210" t="str">
        <f>VLOOKUP($B91,Invulblad!$A$11:$S$103,13,0)</f>
        <v>1</v>
      </c>
      <c r="M91" s="211">
        <f>IF(L91&lt;&gt;"",VLOOKUP($B91,Invulblad!$A$11:$S$103,7,0),"")</f>
        <v>1</v>
      </c>
      <c r="N91" s="209" t="s">
        <v>29</v>
      </c>
      <c r="O91" s="211">
        <f>IF(L91&lt;&gt;"",VLOOKUP($B91,Invulblad!$A$11:$S$103,9,0),"")</f>
        <v>0</v>
      </c>
      <c r="P91" s="212">
        <f>IF(L91&lt;&gt;"",IF(AND(M91=H91,O91=J91),10,IF(K91=L91,5,0)),"")</f>
        <v>0</v>
      </c>
    </row>
    <row r="92" spans="1:16">
      <c r="A92" s="188">
        <v>79</v>
      </c>
      <c r="B92" s="201" t="s">
        <v>88</v>
      </c>
      <c r="H92" s="367"/>
      <c r="I92" s="367"/>
      <c r="J92" s="367"/>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177</v>
      </c>
      <c r="H94" s="366">
        <v>1</v>
      </c>
      <c r="I94" s="366" t="s">
        <v>29</v>
      </c>
      <c r="J94" s="366">
        <v>0</v>
      </c>
      <c r="K94" s="212" t="str">
        <f t="shared" si="16"/>
        <v>1</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138</v>
      </c>
      <c r="F95" s="189" t="s">
        <v>29</v>
      </c>
      <c r="G95" s="189" t="s">
        <v>102</v>
      </c>
      <c r="H95" s="366">
        <v>1</v>
      </c>
      <c r="I95" s="366" t="s">
        <v>29</v>
      </c>
      <c r="J95" s="366">
        <v>0</v>
      </c>
      <c r="K95" s="212" t="str">
        <f t="shared" si="16"/>
        <v>1</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367"/>
      <c r="I96" s="367"/>
      <c r="J96" s="367"/>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177</v>
      </c>
      <c r="F98" s="189" t="s">
        <v>29</v>
      </c>
      <c r="G98" s="189" t="s">
        <v>102</v>
      </c>
      <c r="H98" s="366">
        <v>1</v>
      </c>
      <c r="I98" s="366" t="s">
        <v>29</v>
      </c>
      <c r="J98" s="366">
        <v>0</v>
      </c>
      <c r="K98" s="212" t="str">
        <f t="shared" si="16"/>
        <v>1</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367"/>
      <c r="I99" s="367"/>
      <c r="J99" s="367"/>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199</v>
      </c>
      <c r="F101" s="189" t="s">
        <v>29</v>
      </c>
      <c r="G101" s="189" t="s">
        <v>138</v>
      </c>
      <c r="H101" s="366">
        <v>1</v>
      </c>
      <c r="I101" s="366" t="s">
        <v>29</v>
      </c>
      <c r="J101" s="366">
        <v>1</v>
      </c>
      <c r="K101" s="212">
        <f t="shared" si="16"/>
        <v>3</v>
      </c>
      <c r="L101" s="210" t="str">
        <f>VLOOKUP($B101,Invulblad!$A$11:$S$103,13,0)</f>
        <v>1</v>
      </c>
      <c r="M101" s="211">
        <f>IF(L101&lt;&gt;"",VLOOKUP($B101,Invulblad!$A$11:$S$103,7,0),"")</f>
        <v>1</v>
      </c>
      <c r="N101" s="209" t="s">
        <v>29</v>
      </c>
      <c r="O101" s="211">
        <f>IF(L101&lt;&gt;"",VLOOKUP($B101,Invulblad!$A$11:$S$103,9,0),"")</f>
        <v>0</v>
      </c>
      <c r="P101" s="212">
        <f>IF(L101&lt;&gt;"",IF(AND(M101=H101,O101=J101),10,IF(K101=L101,5,0)),"")</f>
        <v>0</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185</v>
      </c>
    </row>
    <row r="112" spans="1:16">
      <c r="B112" s="201" t="s">
        <v>144</v>
      </c>
    </row>
    <row r="114" spans="2:15">
      <c r="B114" s="215" t="s">
        <v>145</v>
      </c>
      <c r="C114" s="215" t="s">
        <v>146</v>
      </c>
      <c r="D114" s="215" t="s">
        <v>147</v>
      </c>
      <c r="E114" s="215" t="s">
        <v>148</v>
      </c>
    </row>
    <row r="115" spans="2:15">
      <c r="B115" s="216" t="s">
        <v>199</v>
      </c>
      <c r="C115" s="216" t="s">
        <v>163</v>
      </c>
      <c r="D115" s="216" t="s">
        <v>164</v>
      </c>
      <c r="E115" s="216" t="s">
        <v>243</v>
      </c>
    </row>
    <row r="116" spans="2:15">
      <c r="B116" s="217" t="s">
        <v>389</v>
      </c>
      <c r="C116" s="217" t="s">
        <v>151</v>
      </c>
      <c r="D116" s="217" t="s">
        <v>165</v>
      </c>
      <c r="E116" s="217" t="s">
        <v>153</v>
      </c>
    </row>
    <row r="117" spans="2:15">
      <c r="B117" s="216" t="s">
        <v>152</v>
      </c>
      <c r="C117" s="216" t="s">
        <v>150</v>
      </c>
      <c r="D117" s="216" t="s">
        <v>162</v>
      </c>
      <c r="E117" s="216" t="s">
        <v>150</v>
      </c>
    </row>
    <row r="118" spans="2:15">
      <c r="B118" s="217" t="s">
        <v>185</v>
      </c>
      <c r="C118" s="217" t="s">
        <v>164</v>
      </c>
      <c r="D118" s="217" t="s">
        <v>156</v>
      </c>
      <c r="E118" s="217" t="s">
        <v>151</v>
      </c>
    </row>
    <row r="121" spans="2:15">
      <c r="B121" s="201" t="s">
        <v>157</v>
      </c>
    </row>
    <row r="122" spans="2:15">
      <c r="B122" s="195"/>
    </row>
    <row r="123" spans="2:15">
      <c r="B123" s="195" t="s">
        <v>158</v>
      </c>
    </row>
    <row r="124" spans="2:15">
      <c r="B124" s="195" t="s">
        <v>251</v>
      </c>
    </row>
    <row r="127" spans="2:15">
      <c r="B127" s="218"/>
      <c r="C127" s="218"/>
      <c r="D127" s="218"/>
      <c r="E127" s="218"/>
      <c r="F127" s="218"/>
      <c r="G127" s="218"/>
      <c r="H127" s="364"/>
      <c r="I127" s="364"/>
      <c r="J127" s="364"/>
      <c r="K127" s="218"/>
      <c r="L127" s="219"/>
      <c r="M127" s="218"/>
      <c r="N127" s="218"/>
      <c r="O127" s="218"/>
    </row>
    <row r="130" spans="1:5">
      <c r="B130" s="201" t="s">
        <v>160</v>
      </c>
    </row>
    <row r="132" spans="1:5">
      <c r="A132" s="227" t="s">
        <v>67</v>
      </c>
      <c r="B132" s="189" t="s">
        <v>140</v>
      </c>
      <c r="C132" s="189" t="s">
        <v>141</v>
      </c>
      <c r="D132" s="201" t="s">
        <v>138</v>
      </c>
    </row>
    <row r="133" spans="1:5">
      <c r="A133" s="188" t="s">
        <v>68</v>
      </c>
      <c r="B133" s="189" t="s">
        <v>142</v>
      </c>
      <c r="C133" s="189" t="s">
        <v>141</v>
      </c>
      <c r="D133" s="201" t="s">
        <v>135</v>
      </c>
    </row>
    <row r="136" spans="1:5">
      <c r="B136" s="201" t="s">
        <v>161</v>
      </c>
    </row>
    <row r="138" spans="1:5">
      <c r="B138" s="215" t="s">
        <v>145</v>
      </c>
      <c r="C138" s="215" t="s">
        <v>146</v>
      </c>
      <c r="D138" s="215" t="s">
        <v>147</v>
      </c>
      <c r="E138" s="215" t="s">
        <v>148</v>
      </c>
    </row>
    <row r="139" spans="1:5">
      <c r="B139" s="216" t="s">
        <v>138</v>
      </c>
      <c r="C139" s="216" t="s">
        <v>163</v>
      </c>
      <c r="D139" s="216" t="s">
        <v>149</v>
      </c>
      <c r="E139" s="216" t="s">
        <v>149</v>
      </c>
    </row>
    <row r="140" spans="1:5">
      <c r="B140" s="217" t="s">
        <v>135</v>
      </c>
      <c r="C140" s="217" t="s">
        <v>149</v>
      </c>
      <c r="D140" s="217" t="s">
        <v>156</v>
      </c>
      <c r="E140" s="217" t="s">
        <v>151</v>
      </c>
    </row>
    <row r="141" spans="1:5">
      <c r="B141" s="216" t="s">
        <v>207</v>
      </c>
      <c r="C141" s="216" t="s">
        <v>149</v>
      </c>
      <c r="D141" s="216" t="s">
        <v>156</v>
      </c>
      <c r="E141" s="216" t="s">
        <v>151</v>
      </c>
    </row>
    <row r="142" spans="1:5">
      <c r="B142" s="217" t="s">
        <v>179</v>
      </c>
      <c r="C142" s="217" t="s">
        <v>150</v>
      </c>
      <c r="D142" s="217" t="s">
        <v>241</v>
      </c>
      <c r="E142" s="217" t="s">
        <v>150</v>
      </c>
    </row>
    <row r="145" spans="1:15">
      <c r="B145" s="201" t="s">
        <v>166</v>
      </c>
    </row>
    <row r="146" spans="1:15">
      <c r="B146" s="195"/>
    </row>
    <row r="147" spans="1:15">
      <c r="B147" s="195" t="s">
        <v>167</v>
      </c>
    </row>
    <row r="148" spans="1:15">
      <c r="B148" s="195" t="s">
        <v>528</v>
      </c>
    </row>
    <row r="151" spans="1:15">
      <c r="B151" s="218"/>
      <c r="C151" s="218"/>
      <c r="D151" s="218"/>
      <c r="E151" s="218"/>
      <c r="F151" s="218"/>
      <c r="G151" s="218"/>
      <c r="H151" s="364"/>
      <c r="I151" s="364"/>
      <c r="J151" s="364"/>
      <c r="K151" s="218"/>
      <c r="L151" s="219"/>
      <c r="M151" s="218"/>
      <c r="N151" s="218"/>
      <c r="O151" s="218"/>
    </row>
    <row r="154" spans="1:15">
      <c r="B154" s="201" t="s">
        <v>169</v>
      </c>
    </row>
    <row r="156" spans="1:15">
      <c r="A156" s="188" t="s">
        <v>69</v>
      </c>
      <c r="B156" s="189" t="s">
        <v>140</v>
      </c>
      <c r="C156" s="189" t="s">
        <v>141</v>
      </c>
      <c r="D156" s="201" t="s">
        <v>390</v>
      </c>
    </row>
    <row r="157" spans="1:15">
      <c r="A157" s="188" t="s">
        <v>70</v>
      </c>
      <c r="B157" s="189" t="s">
        <v>142</v>
      </c>
      <c r="C157" s="189" t="s">
        <v>141</v>
      </c>
      <c r="D157" s="201" t="s">
        <v>187</v>
      </c>
    </row>
    <row r="160" spans="1:15">
      <c r="B160" s="201" t="s">
        <v>170</v>
      </c>
    </row>
    <row r="162" spans="2:15">
      <c r="B162" s="215" t="s">
        <v>145</v>
      </c>
      <c r="C162" s="215" t="s">
        <v>146</v>
      </c>
      <c r="D162" s="215" t="s">
        <v>147</v>
      </c>
      <c r="E162" s="215" t="s">
        <v>148</v>
      </c>
    </row>
    <row r="163" spans="2:15">
      <c r="B163" s="216" t="s">
        <v>390</v>
      </c>
      <c r="C163" s="216" t="s">
        <v>172</v>
      </c>
      <c r="D163" s="216" t="s">
        <v>151</v>
      </c>
      <c r="E163" s="216" t="s">
        <v>149</v>
      </c>
    </row>
    <row r="164" spans="2:15">
      <c r="B164" s="217" t="s">
        <v>106</v>
      </c>
      <c r="C164" s="217" t="s">
        <v>156</v>
      </c>
      <c r="D164" s="217" t="s">
        <v>165</v>
      </c>
      <c r="E164" s="217" t="s">
        <v>156</v>
      </c>
    </row>
    <row r="165" spans="2:15">
      <c r="B165" s="216" t="s">
        <v>200</v>
      </c>
      <c r="C165" s="216" t="s">
        <v>156</v>
      </c>
      <c r="D165" s="216" t="s">
        <v>171</v>
      </c>
      <c r="E165" s="216" t="s">
        <v>156</v>
      </c>
    </row>
    <row r="166" spans="2:15">
      <c r="B166" s="217" t="s">
        <v>187</v>
      </c>
      <c r="C166" s="217" t="s">
        <v>172</v>
      </c>
      <c r="D166" s="217" t="s">
        <v>153</v>
      </c>
      <c r="E166" s="217" t="s">
        <v>151</v>
      </c>
    </row>
    <row r="169" spans="2:15">
      <c r="B169" s="201" t="s">
        <v>173</v>
      </c>
    </row>
    <row r="170" spans="2:15">
      <c r="B170" s="195"/>
    </row>
    <row r="171" spans="2:15">
      <c r="B171" s="195" t="s">
        <v>238</v>
      </c>
    </row>
    <row r="172" spans="2:15">
      <c r="B172" s="195"/>
    </row>
    <row r="175" spans="2:15">
      <c r="B175" s="218"/>
      <c r="C175" s="218"/>
      <c r="D175" s="218"/>
      <c r="E175" s="218"/>
      <c r="F175" s="218"/>
      <c r="G175" s="218"/>
      <c r="H175" s="364"/>
      <c r="I175" s="364"/>
      <c r="J175" s="364"/>
      <c r="K175" s="218"/>
      <c r="L175" s="219"/>
      <c r="M175" s="218"/>
      <c r="N175" s="218"/>
      <c r="O175" s="218"/>
    </row>
    <row r="178" spans="1:5">
      <c r="B178" s="201" t="s">
        <v>176</v>
      </c>
    </row>
    <row r="180" spans="1:5">
      <c r="A180" s="188" t="s">
        <v>71</v>
      </c>
      <c r="B180" s="189" t="s">
        <v>140</v>
      </c>
      <c r="C180" s="189" t="s">
        <v>141</v>
      </c>
      <c r="D180" s="201" t="s">
        <v>97</v>
      </c>
    </row>
    <row r="181" spans="1:5">
      <c r="A181" s="188" t="s">
        <v>72</v>
      </c>
      <c r="B181" s="189" t="s">
        <v>142</v>
      </c>
      <c r="C181" s="189" t="s">
        <v>141</v>
      </c>
      <c r="D181" s="201" t="s">
        <v>109</v>
      </c>
    </row>
    <row r="184" spans="1:5">
      <c r="B184" s="201" t="s">
        <v>178</v>
      </c>
    </row>
    <row r="186" spans="1:5">
      <c r="B186" s="215" t="s">
        <v>145</v>
      </c>
      <c r="C186" s="215" t="s">
        <v>146</v>
      </c>
      <c r="D186" s="215" t="s">
        <v>147</v>
      </c>
      <c r="E186" s="215" t="s">
        <v>148</v>
      </c>
    </row>
    <row r="187" spans="1:5">
      <c r="B187" s="216" t="s">
        <v>97</v>
      </c>
      <c r="C187" s="216" t="s">
        <v>163</v>
      </c>
      <c r="D187" s="216" t="s">
        <v>151</v>
      </c>
      <c r="E187" s="216" t="s">
        <v>149</v>
      </c>
    </row>
    <row r="188" spans="1:5">
      <c r="B188" s="217" t="s">
        <v>391</v>
      </c>
      <c r="C188" s="217" t="s">
        <v>156</v>
      </c>
      <c r="D188" s="217" t="s">
        <v>165</v>
      </c>
      <c r="E188" s="217" t="s">
        <v>156</v>
      </c>
    </row>
    <row r="189" spans="1:5">
      <c r="B189" s="216" t="s">
        <v>109</v>
      </c>
      <c r="C189" s="216" t="s">
        <v>149</v>
      </c>
      <c r="D189" s="216" t="s">
        <v>150</v>
      </c>
      <c r="E189" s="216" t="s">
        <v>156</v>
      </c>
    </row>
    <row r="190" spans="1:5">
      <c r="B190" s="217" t="s">
        <v>193</v>
      </c>
      <c r="C190" s="217" t="s">
        <v>153</v>
      </c>
      <c r="D190" s="217" t="s">
        <v>154</v>
      </c>
      <c r="E190" s="217" t="s">
        <v>153</v>
      </c>
    </row>
    <row r="193" spans="1:15">
      <c r="B193" s="201" t="s">
        <v>182</v>
      </c>
    </row>
    <row r="194" spans="1:15">
      <c r="B194" s="195"/>
    </row>
    <row r="195" spans="1:15">
      <c r="B195" s="195" t="s">
        <v>239</v>
      </c>
    </row>
    <row r="196" spans="1:15">
      <c r="B196" s="195" t="s">
        <v>240</v>
      </c>
    </row>
    <row r="198" spans="1:15">
      <c r="K198" s="218"/>
      <c r="L198" s="219"/>
      <c r="M198" s="218"/>
      <c r="N198" s="218"/>
      <c r="O198" s="218"/>
    </row>
    <row r="199" spans="1:15">
      <c r="B199" s="218"/>
      <c r="C199" s="218"/>
      <c r="D199" s="218"/>
      <c r="E199" s="218"/>
      <c r="F199" s="218"/>
      <c r="G199" s="218"/>
      <c r="H199" s="364"/>
      <c r="I199" s="364"/>
      <c r="J199" s="364"/>
    </row>
    <row r="202" spans="1:15">
      <c r="B202" s="201" t="s">
        <v>184</v>
      </c>
    </row>
    <row r="204" spans="1:15">
      <c r="A204" s="188" t="s">
        <v>73</v>
      </c>
      <c r="B204" s="189" t="s">
        <v>140</v>
      </c>
      <c r="C204" s="189" t="s">
        <v>141</v>
      </c>
      <c r="D204" s="201" t="s">
        <v>143</v>
      </c>
    </row>
    <row r="205" spans="1:15">
      <c r="A205" s="188" t="s">
        <v>74</v>
      </c>
      <c r="B205" s="189" t="s">
        <v>142</v>
      </c>
      <c r="C205" s="189" t="s">
        <v>141</v>
      </c>
      <c r="D205" s="201" t="s">
        <v>392</v>
      </c>
    </row>
    <row r="208" spans="1:15">
      <c r="B208" s="201" t="s">
        <v>186</v>
      </c>
    </row>
    <row r="210" spans="2:15">
      <c r="B210" s="215" t="s">
        <v>145</v>
      </c>
      <c r="C210" s="215" t="s">
        <v>146</v>
      </c>
      <c r="D210" s="215" t="s">
        <v>147</v>
      </c>
      <c r="E210" s="215" t="s">
        <v>148</v>
      </c>
    </row>
    <row r="211" spans="2:15">
      <c r="B211" s="216" t="s">
        <v>209</v>
      </c>
      <c r="C211" s="216" t="s">
        <v>149</v>
      </c>
      <c r="D211" s="216" t="s">
        <v>150</v>
      </c>
      <c r="E211" s="216" t="s">
        <v>153</v>
      </c>
    </row>
    <row r="212" spans="2:15">
      <c r="B212" s="217" t="s">
        <v>392</v>
      </c>
      <c r="C212" s="217" t="s">
        <v>149</v>
      </c>
      <c r="D212" s="217" t="s">
        <v>156</v>
      </c>
      <c r="E212" s="217" t="s">
        <v>151</v>
      </c>
    </row>
    <row r="213" spans="2:15">
      <c r="B213" s="216" t="s">
        <v>143</v>
      </c>
      <c r="C213" s="216" t="s">
        <v>163</v>
      </c>
      <c r="D213" s="216" t="s">
        <v>149</v>
      </c>
      <c r="E213" s="216" t="s">
        <v>164</v>
      </c>
    </row>
    <row r="214" spans="2:15">
      <c r="B214" s="217" t="s">
        <v>210</v>
      </c>
      <c r="C214" s="217" t="s">
        <v>150</v>
      </c>
      <c r="D214" s="217" t="s">
        <v>162</v>
      </c>
      <c r="E214" s="217" t="s">
        <v>150</v>
      </c>
    </row>
    <row r="217" spans="2:15">
      <c r="B217" s="201" t="s">
        <v>189</v>
      </c>
    </row>
    <row r="218" spans="2:15">
      <c r="B218" s="195"/>
    </row>
    <row r="219" spans="2:15">
      <c r="B219" s="195" t="s">
        <v>190</v>
      </c>
    </row>
    <row r="220" spans="2:15">
      <c r="B220" s="195" t="s">
        <v>269</v>
      </c>
    </row>
    <row r="222" spans="2:15">
      <c r="K222" s="218"/>
      <c r="L222" s="219"/>
      <c r="M222" s="218"/>
      <c r="N222" s="218"/>
      <c r="O222" s="218"/>
    </row>
    <row r="223" spans="2:15">
      <c r="B223" s="218"/>
      <c r="C223" s="218"/>
      <c r="D223" s="218"/>
      <c r="E223" s="218"/>
      <c r="F223" s="218"/>
      <c r="G223" s="218"/>
      <c r="H223" s="364"/>
      <c r="I223" s="364"/>
      <c r="J223" s="364"/>
    </row>
    <row r="226" spans="1:5">
      <c r="B226" s="201" t="s">
        <v>192</v>
      </c>
    </row>
    <row r="228" spans="1:5">
      <c r="A228" s="188" t="s">
        <v>75</v>
      </c>
      <c r="B228" s="189" t="s">
        <v>140</v>
      </c>
      <c r="C228" s="189" t="s">
        <v>141</v>
      </c>
      <c r="D228" s="201" t="s">
        <v>102</v>
      </c>
    </row>
    <row r="229" spans="1:5">
      <c r="A229" s="188" t="s">
        <v>76</v>
      </c>
      <c r="B229" s="189" t="s">
        <v>142</v>
      </c>
      <c r="C229" s="189" t="s">
        <v>141</v>
      </c>
      <c r="D229" s="201" t="s">
        <v>572</v>
      </c>
    </row>
    <row r="232" spans="1:5">
      <c r="B232" s="201" t="s">
        <v>194</v>
      </c>
    </row>
    <row r="234" spans="1:5">
      <c r="B234" s="215" t="s">
        <v>145</v>
      </c>
      <c r="C234" s="215" t="s">
        <v>146</v>
      </c>
      <c r="D234" s="215" t="s">
        <v>147</v>
      </c>
      <c r="E234" s="215" t="s">
        <v>148</v>
      </c>
    </row>
    <row r="235" spans="1:5">
      <c r="B235" s="216" t="s">
        <v>102</v>
      </c>
      <c r="C235" s="216" t="s">
        <v>163</v>
      </c>
      <c r="D235" s="216" t="s">
        <v>172</v>
      </c>
      <c r="E235" s="216" t="s">
        <v>172</v>
      </c>
    </row>
    <row r="236" spans="1:5">
      <c r="B236" s="217" t="s">
        <v>572</v>
      </c>
      <c r="C236" s="217" t="s">
        <v>149</v>
      </c>
      <c r="D236" s="217" t="s">
        <v>154</v>
      </c>
      <c r="E236" s="217" t="s">
        <v>151</v>
      </c>
    </row>
    <row r="237" spans="1:5">
      <c r="B237" s="216" t="s">
        <v>394</v>
      </c>
      <c r="C237" s="216" t="s">
        <v>150</v>
      </c>
      <c r="D237" s="216" t="s">
        <v>162</v>
      </c>
      <c r="E237" s="216" t="s">
        <v>156</v>
      </c>
    </row>
    <row r="238" spans="1:5">
      <c r="B238" s="217" t="s">
        <v>108</v>
      </c>
      <c r="C238" s="217" t="s">
        <v>149</v>
      </c>
      <c r="D238" s="217" t="s">
        <v>154</v>
      </c>
      <c r="E238" s="217" t="s">
        <v>153</v>
      </c>
    </row>
    <row r="241" spans="1:15">
      <c r="B241" s="201" t="s">
        <v>195</v>
      </c>
    </row>
    <row r="242" spans="1:15">
      <c r="B242" s="195"/>
    </row>
    <row r="243" spans="1:15">
      <c r="B243" s="195" t="s">
        <v>196</v>
      </c>
    </row>
    <row r="244" spans="1:15">
      <c r="B244" s="195" t="s">
        <v>529</v>
      </c>
    </row>
    <row r="246" spans="1:15">
      <c r="K246" s="218"/>
      <c r="L246" s="219"/>
      <c r="M246" s="218"/>
      <c r="N246" s="218"/>
      <c r="O246" s="218"/>
    </row>
    <row r="247" spans="1:15">
      <c r="B247" s="218"/>
      <c r="C247" s="218"/>
      <c r="D247" s="218"/>
      <c r="E247" s="218"/>
      <c r="F247" s="218"/>
      <c r="G247" s="218"/>
      <c r="H247" s="364"/>
      <c r="I247" s="364"/>
      <c r="J247" s="364"/>
    </row>
    <row r="250" spans="1:15">
      <c r="B250" s="201" t="s">
        <v>198</v>
      </c>
    </row>
    <row r="252" spans="1:15">
      <c r="A252" s="188" t="s">
        <v>77</v>
      </c>
      <c r="B252" s="189" t="s">
        <v>140</v>
      </c>
      <c r="C252" s="189" t="s">
        <v>141</v>
      </c>
      <c r="D252" s="201" t="s">
        <v>177</v>
      </c>
    </row>
    <row r="253" spans="1:15">
      <c r="A253" s="188" t="s">
        <v>78</v>
      </c>
      <c r="B253" s="189" t="s">
        <v>142</v>
      </c>
      <c r="C253" s="189" t="s">
        <v>141</v>
      </c>
      <c r="D253" s="201" t="s">
        <v>202</v>
      </c>
    </row>
    <row r="256" spans="1:15">
      <c r="B256" s="201" t="s">
        <v>201</v>
      </c>
    </row>
    <row r="258" spans="2:10">
      <c r="B258" s="215" t="s">
        <v>145</v>
      </c>
      <c r="C258" s="215" t="s">
        <v>146</v>
      </c>
      <c r="D258" s="215" t="s">
        <v>147</v>
      </c>
      <c r="E258" s="215" t="s">
        <v>148</v>
      </c>
    </row>
    <row r="259" spans="2:10">
      <c r="B259" s="216" t="s">
        <v>177</v>
      </c>
      <c r="C259" s="216" t="s">
        <v>172</v>
      </c>
      <c r="D259" s="216" t="s">
        <v>151</v>
      </c>
      <c r="E259" s="216" t="s">
        <v>151</v>
      </c>
    </row>
    <row r="260" spans="2:10">
      <c r="B260" s="217" t="s">
        <v>202</v>
      </c>
      <c r="C260" s="217" t="s">
        <v>172</v>
      </c>
      <c r="D260" s="217" t="s">
        <v>153</v>
      </c>
      <c r="E260" s="217" t="s">
        <v>153</v>
      </c>
    </row>
    <row r="261" spans="2:10">
      <c r="B261" s="216" t="s">
        <v>181</v>
      </c>
      <c r="C261" s="216" t="s">
        <v>150</v>
      </c>
      <c r="D261" s="216" t="s">
        <v>180</v>
      </c>
      <c r="E261" s="216" t="s">
        <v>150</v>
      </c>
    </row>
    <row r="262" spans="2:10">
      <c r="B262" s="217" t="s">
        <v>32</v>
      </c>
      <c r="C262" s="217" t="s">
        <v>151</v>
      </c>
      <c r="D262" s="217" t="s">
        <v>154</v>
      </c>
      <c r="E262" s="217" t="s">
        <v>156</v>
      </c>
    </row>
    <row r="265" spans="2:10">
      <c r="B265" s="201" t="s">
        <v>203</v>
      </c>
    </row>
    <row r="266" spans="2:10">
      <c r="B266" s="195"/>
    </row>
    <row r="267" spans="2:10">
      <c r="B267" s="195" t="s">
        <v>247</v>
      </c>
    </row>
    <row r="268" spans="2:10">
      <c r="B268" s="195"/>
    </row>
    <row r="270" spans="2:10">
      <c r="B270" s="218"/>
      <c r="C270" s="218"/>
      <c r="D270" s="218"/>
      <c r="E270" s="218"/>
      <c r="F270" s="218"/>
      <c r="G270" s="218"/>
    </row>
    <row r="271" spans="2:10">
      <c r="H271" s="364"/>
      <c r="I271" s="364"/>
      <c r="J271" s="364"/>
    </row>
    <row r="274" spans="1:5">
      <c r="B274" s="201" t="s">
        <v>206</v>
      </c>
    </row>
    <row r="276" spans="1:5">
      <c r="A276" s="188" t="s">
        <v>79</v>
      </c>
      <c r="B276" s="189" t="s">
        <v>140</v>
      </c>
      <c r="C276" s="189" t="s">
        <v>141</v>
      </c>
      <c r="D276" s="201" t="s">
        <v>395</v>
      </c>
    </row>
    <row r="277" spans="1:5">
      <c r="A277" s="188" t="s">
        <v>80</v>
      </c>
      <c r="B277" s="189" t="s">
        <v>142</v>
      </c>
      <c r="C277" s="189" t="s">
        <v>141</v>
      </c>
      <c r="D277" s="201" t="s">
        <v>110</v>
      </c>
    </row>
    <row r="280" spans="1:5">
      <c r="B280" s="201" t="s">
        <v>208</v>
      </c>
    </row>
    <row r="282" spans="1:5">
      <c r="B282" s="215" t="s">
        <v>145</v>
      </c>
      <c r="C282" s="215" t="s">
        <v>146</v>
      </c>
      <c r="D282" s="215" t="s">
        <v>147</v>
      </c>
      <c r="E282" s="215" t="s">
        <v>148</v>
      </c>
    </row>
    <row r="283" spans="1:5">
      <c r="B283" s="216" t="s">
        <v>395</v>
      </c>
      <c r="C283" s="216" t="s">
        <v>163</v>
      </c>
      <c r="D283" s="216" t="s">
        <v>149</v>
      </c>
      <c r="E283" s="216" t="s">
        <v>155</v>
      </c>
    </row>
    <row r="284" spans="1:5">
      <c r="B284" s="217" t="s">
        <v>110</v>
      </c>
      <c r="C284" s="217" t="s">
        <v>149</v>
      </c>
      <c r="D284" s="217" t="s">
        <v>150</v>
      </c>
      <c r="E284" s="217" t="s">
        <v>153</v>
      </c>
    </row>
    <row r="285" spans="1:5">
      <c r="B285" s="216" t="s">
        <v>396</v>
      </c>
      <c r="C285" s="216" t="s">
        <v>149</v>
      </c>
      <c r="D285" s="216" t="s">
        <v>154</v>
      </c>
      <c r="E285" s="216" t="s">
        <v>156</v>
      </c>
    </row>
    <row r="286" spans="1:5">
      <c r="B286" s="217" t="s">
        <v>104</v>
      </c>
      <c r="C286" s="217" t="s">
        <v>150</v>
      </c>
      <c r="D286" s="217" t="s">
        <v>171</v>
      </c>
      <c r="E286" s="217" t="s">
        <v>150</v>
      </c>
    </row>
    <row r="289" spans="2:15">
      <c r="B289" s="201" t="s">
        <v>211</v>
      </c>
    </row>
    <row r="290" spans="2:15">
      <c r="B290" s="195"/>
    </row>
    <row r="291" spans="2:15">
      <c r="B291" s="195" t="s">
        <v>212</v>
      </c>
    </row>
    <row r="292" spans="2:15">
      <c r="B292" s="195" t="s">
        <v>258</v>
      </c>
    </row>
    <row r="294" spans="2:15">
      <c r="K294" s="218"/>
      <c r="L294" s="219"/>
      <c r="M294" s="218"/>
      <c r="N294" s="218"/>
      <c r="O294" s="218"/>
    </row>
    <row r="295" spans="2:15">
      <c r="B295" s="218"/>
      <c r="C295" s="218"/>
      <c r="D295" s="218"/>
      <c r="E295" s="218"/>
      <c r="F295" s="218"/>
      <c r="G295" s="218"/>
      <c r="H295" s="364"/>
      <c r="I295" s="364"/>
      <c r="J295" s="364"/>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5.xml><?xml version="1.0" encoding="utf-8"?>
<worksheet xmlns="http://schemas.openxmlformats.org/spreadsheetml/2006/main" xmlns:r="http://schemas.openxmlformats.org/officeDocument/2006/relationships">
  <sheetPr>
    <tabColor rgb="FFFFC000"/>
  </sheetPr>
  <dimension ref="A1:U324"/>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59"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266</v>
      </c>
      <c r="L1" s="194"/>
      <c r="P1" s="193">
        <f>SUM(P14:P101)+E11+H11+L7+L11+Q11</f>
        <v>425</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Spanje</v>
      </c>
      <c r="E3" s="222">
        <f t="shared" ref="E3:E10" si="3">IF(ISNA(MATCH(D3,teams_achtste,0)),0,10)</f>
        <v>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Japan</v>
      </c>
      <c r="C4" s="222">
        <f t="shared" si="1"/>
        <v>0</v>
      </c>
      <c r="D4" s="224" t="str">
        <f t="shared" si="2"/>
        <v>Uruguay</v>
      </c>
      <c r="E4" s="222">
        <f t="shared" si="3"/>
        <v>10</v>
      </c>
      <c r="F4" s="339" t="s">
        <v>450</v>
      </c>
      <c r="G4" s="195" t="str">
        <f>G88</f>
        <v>Japan</v>
      </c>
      <c r="H4" s="222">
        <f t="shared" si="4"/>
        <v>0</v>
      </c>
      <c r="I4" s="339" t="s">
        <v>458</v>
      </c>
      <c r="J4" s="195" t="str">
        <f>G94</f>
        <v>Frankrijk</v>
      </c>
      <c r="L4" s="222">
        <f>IF(ISNA(MATCH(J4,teams_halve,0)),0,20)</f>
        <v>0</v>
      </c>
      <c r="Q4" s="224"/>
    </row>
    <row r="5" spans="1:21" s="195" customFormat="1" ht="15" customHeight="1">
      <c r="B5" s="224" t="str">
        <f t="shared" si="0"/>
        <v>Nederland</v>
      </c>
      <c r="C5" s="222">
        <f t="shared" si="1"/>
        <v>10</v>
      </c>
      <c r="D5" s="224" t="str">
        <f t="shared" si="2"/>
        <v>Mexico</v>
      </c>
      <c r="E5" s="222">
        <f t="shared" si="3"/>
        <v>10</v>
      </c>
      <c r="F5" s="339" t="s">
        <v>451</v>
      </c>
      <c r="G5" s="195" t="str">
        <f>E90</f>
        <v>Nederland</v>
      </c>
      <c r="H5" s="222">
        <f t="shared" si="4"/>
        <v>15</v>
      </c>
      <c r="I5" s="339" t="s">
        <v>459</v>
      </c>
      <c r="J5" s="195" t="str">
        <f>E95</f>
        <v>Italië</v>
      </c>
      <c r="L5" s="222">
        <f>IF(ISNA(MATCH(J5,teams_halve,0)),0,20)</f>
        <v>0</v>
      </c>
    </row>
    <row r="6" spans="1:21" s="195" customFormat="1" ht="15" customHeight="1">
      <c r="B6" s="224" t="str">
        <f t="shared" si="0"/>
        <v>Italië</v>
      </c>
      <c r="C6" s="222">
        <f t="shared" si="1"/>
        <v>0</v>
      </c>
      <c r="D6" s="224" t="str">
        <f t="shared" si="2"/>
        <v>Colombia</v>
      </c>
      <c r="E6" s="222">
        <f t="shared" si="3"/>
        <v>10</v>
      </c>
      <c r="F6" s="339" t="s">
        <v>452</v>
      </c>
      <c r="G6" s="195" t="str">
        <f>G90</f>
        <v>Italië</v>
      </c>
      <c r="H6" s="222">
        <f t="shared" si="4"/>
        <v>0</v>
      </c>
      <c r="I6" s="339" t="s">
        <v>460</v>
      </c>
      <c r="J6" s="195" t="str">
        <f>G95</f>
        <v>Argentinië</v>
      </c>
      <c r="L6" s="222">
        <f>IF(ISNA(MATCH(J6,teams_halve,0)),0,20)</f>
        <v>20</v>
      </c>
    </row>
    <row r="7" spans="1:21" s="195" customFormat="1" ht="15" customHeight="1">
      <c r="B7" s="224" t="str">
        <f t="shared" si="0"/>
        <v>Frankrijk</v>
      </c>
      <c r="C7" s="222">
        <f t="shared" si="1"/>
        <v>10</v>
      </c>
      <c r="D7" s="224" t="str">
        <f t="shared" si="2"/>
        <v>Bosnië en Herzegovina</v>
      </c>
      <c r="E7" s="222">
        <f t="shared" si="3"/>
        <v>0</v>
      </c>
      <c r="F7" s="339" t="s">
        <v>453</v>
      </c>
      <c r="G7" s="195" t="str">
        <f>E89</f>
        <v>Frankrijk</v>
      </c>
      <c r="H7" s="222">
        <f t="shared" si="4"/>
        <v>15</v>
      </c>
      <c r="I7" s="339"/>
      <c r="J7" s="198" t="s">
        <v>83</v>
      </c>
      <c r="K7" s="199"/>
      <c r="L7" s="225">
        <f>SUM(L3:L6)</f>
        <v>40</v>
      </c>
    </row>
    <row r="8" spans="1:21" s="195" customFormat="1" ht="15" customHeight="1">
      <c r="B8" s="224" t="str">
        <f t="shared" si="0"/>
        <v>Duitsland</v>
      </c>
      <c r="C8" s="222">
        <f t="shared" si="1"/>
        <v>10</v>
      </c>
      <c r="D8" s="224" t="str">
        <f t="shared" si="2"/>
        <v>Rusland</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Zwitserland</v>
      </c>
      <c r="E9" s="222">
        <f t="shared" si="3"/>
        <v>10</v>
      </c>
      <c r="F9" s="339" t="s">
        <v>455</v>
      </c>
      <c r="G9" s="195" t="str">
        <f>E91</f>
        <v>Argentinië</v>
      </c>
      <c r="H9" s="222">
        <f t="shared" si="4"/>
        <v>15</v>
      </c>
      <c r="I9" s="339" t="s">
        <v>461</v>
      </c>
      <c r="J9" s="195" t="str">
        <f>E101</f>
        <v>Brazilië</v>
      </c>
      <c r="L9" s="222">
        <f>IF(ISNA(MATCH(J9,teams_fin,0)),0,30)</f>
        <v>0</v>
      </c>
      <c r="P9" s="444" t="str">
        <f>E98</f>
        <v>Frankrijk</v>
      </c>
      <c r="Q9" s="222">
        <f>IF(ISNA(MATCH(P9,teams_troost,0)),0,25)</f>
        <v>0</v>
      </c>
    </row>
    <row r="10" spans="1:21" s="195" customFormat="1" ht="15" customHeight="1">
      <c r="B10" s="224" t="str">
        <f t="shared" si="0"/>
        <v>België</v>
      </c>
      <c r="C10" s="222">
        <f t="shared" si="1"/>
        <v>10</v>
      </c>
      <c r="D10" s="224" t="str">
        <f t="shared" si="2"/>
        <v>Portugal</v>
      </c>
      <c r="E10" s="222">
        <f t="shared" si="3"/>
        <v>0</v>
      </c>
      <c r="F10" s="339" t="s">
        <v>456</v>
      </c>
      <c r="G10" s="195" t="str">
        <f>G91</f>
        <v>Portugal</v>
      </c>
      <c r="H10" s="222">
        <f t="shared" si="4"/>
        <v>0</v>
      </c>
      <c r="I10" s="339" t="s">
        <v>462</v>
      </c>
      <c r="J10" s="195" t="str">
        <f>G101</f>
        <v>Argentinië</v>
      </c>
      <c r="L10" s="222">
        <f>IF(ISNA(MATCH(J10,teams_fin,0)),0,30)</f>
        <v>30</v>
      </c>
      <c r="P10" s="444" t="str">
        <f>G98</f>
        <v>Italië</v>
      </c>
      <c r="Q10" s="222">
        <f>IF(ISNA(MATCH(P10,teams_troost,0)),0,25)</f>
        <v>0</v>
      </c>
    </row>
    <row r="11" spans="1:21" s="195" customFormat="1" ht="15" customHeight="1">
      <c r="D11" s="198" t="s">
        <v>89</v>
      </c>
      <c r="E11" s="225">
        <f>SUM(C3:E10)</f>
        <v>100</v>
      </c>
      <c r="G11" s="198" t="s">
        <v>82</v>
      </c>
      <c r="H11" s="225">
        <f>SUM(H3:H10)</f>
        <v>75</v>
      </c>
      <c r="J11" s="198" t="s">
        <v>90</v>
      </c>
      <c r="K11" s="199"/>
      <c r="L11" s="225">
        <f>SUM(L9:L10)</f>
        <v>30</v>
      </c>
      <c r="P11" s="199"/>
      <c r="Q11" s="225">
        <f>SUM(Q9:Q10)</f>
        <v>0</v>
      </c>
    </row>
    <row r="12" spans="1:21">
      <c r="B12" s="201" t="s">
        <v>19</v>
      </c>
      <c r="C12" s="201"/>
      <c r="D12" s="339" t="s">
        <v>463</v>
      </c>
      <c r="E12" s="202" t="s">
        <v>102</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72" t="s">
        <v>93</v>
      </c>
      <c r="I13" s="372"/>
      <c r="J13" s="372"/>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73">
        <v>1</v>
      </c>
      <c r="I14" s="373" t="s">
        <v>29</v>
      </c>
      <c r="J14" s="373">
        <v>0</v>
      </c>
      <c r="K14" s="212" t="str">
        <f t="shared" ref="K14:K76"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73">
        <v>2</v>
      </c>
      <c r="I15" s="373" t="s">
        <v>29</v>
      </c>
      <c r="J15" s="373">
        <v>1</v>
      </c>
      <c r="K15" s="212" t="str">
        <f t="shared" si="5"/>
        <v>1</v>
      </c>
      <c r="L15" s="210" t="str">
        <f>VLOOKUP($B15,Invulblad!$A$11:$S$103,13,0)</f>
        <v>1</v>
      </c>
      <c r="M15" s="211">
        <f>IF(L15&lt;&gt;"",VLOOKUP($B15,Invulblad!$A$11:$S$103,7,0),"")</f>
        <v>1</v>
      </c>
      <c r="N15" s="209" t="s">
        <v>29</v>
      </c>
      <c r="O15" s="211">
        <f>IF(L15&lt;&gt;"",VLOOKUP($B15,Invulblad!$A$11:$S$103,9,0),"")</f>
        <v>0</v>
      </c>
      <c r="P15" s="212">
        <f t="shared" si="6"/>
        <v>5</v>
      </c>
    </row>
    <row r="16" spans="1:21">
      <c r="A16" s="188">
        <v>3</v>
      </c>
      <c r="B16" s="195">
        <v>17</v>
      </c>
      <c r="C16" s="332">
        <v>41807</v>
      </c>
      <c r="D16" s="333">
        <v>0.875</v>
      </c>
      <c r="E16" s="189" t="s">
        <v>557</v>
      </c>
      <c r="F16" s="189" t="s">
        <v>29</v>
      </c>
      <c r="G16" s="189" t="s">
        <v>96</v>
      </c>
      <c r="H16" s="373">
        <v>1</v>
      </c>
      <c r="I16" s="373" t="s">
        <v>29</v>
      </c>
      <c r="J16" s="373">
        <v>1</v>
      </c>
      <c r="K16" s="212">
        <f t="shared" si="5"/>
        <v>3</v>
      </c>
      <c r="L16" s="210">
        <f>VLOOKUP($B16,Invulblad!$A$11:$S$103,13,0)</f>
        <v>3</v>
      </c>
      <c r="M16" s="211">
        <f>IF(L16&lt;&gt;"",VLOOKUP($B16,Invulblad!$A$11:$S$103,7,0),"")</f>
        <v>0</v>
      </c>
      <c r="N16" s="209" t="s">
        <v>29</v>
      </c>
      <c r="O16" s="211">
        <f>IF(L16&lt;&gt;"",VLOOKUP($B16,Invulblad!$A$11:$S$103,9,0),"")</f>
        <v>0</v>
      </c>
      <c r="P16" s="212">
        <f t="shared" si="6"/>
        <v>5</v>
      </c>
    </row>
    <row r="17" spans="1:16">
      <c r="A17" s="188">
        <v>4</v>
      </c>
      <c r="B17" s="195">
        <v>18</v>
      </c>
      <c r="C17" s="332">
        <v>41809</v>
      </c>
      <c r="D17" s="333">
        <v>0</v>
      </c>
      <c r="E17" s="189" t="s">
        <v>121</v>
      </c>
      <c r="F17" s="189" t="s">
        <v>29</v>
      </c>
      <c r="G17" s="189" t="s">
        <v>558</v>
      </c>
      <c r="H17" s="373">
        <v>0</v>
      </c>
      <c r="I17" s="373" t="s">
        <v>29</v>
      </c>
      <c r="J17" s="373">
        <v>0</v>
      </c>
      <c r="K17" s="212">
        <f t="shared" si="5"/>
        <v>3</v>
      </c>
      <c r="L17" s="210">
        <f>VLOOKUP($B17,Invulblad!$A$11:$S$103,13,0)</f>
        <v>2</v>
      </c>
      <c r="M17" s="211">
        <f>IF(L17&lt;&gt;"",VLOOKUP($B17,Invulblad!$A$11:$S$103,7,0),"")</f>
        <v>0</v>
      </c>
      <c r="N17" s="209" t="s">
        <v>29</v>
      </c>
      <c r="O17" s="211">
        <f>IF(L17&lt;&gt;"",VLOOKUP($B17,Invulblad!$A$11:$S$103,9,0),"")</f>
        <v>4</v>
      </c>
      <c r="P17" s="212">
        <f t="shared" si="6"/>
        <v>0</v>
      </c>
    </row>
    <row r="18" spans="1:16">
      <c r="A18" s="188">
        <v>5</v>
      </c>
      <c r="B18" s="195">
        <v>33</v>
      </c>
      <c r="C18" s="332">
        <v>41813</v>
      </c>
      <c r="D18" s="333">
        <v>0.91666666666666663</v>
      </c>
      <c r="E18" s="189" t="s">
        <v>121</v>
      </c>
      <c r="F18" s="189" t="s">
        <v>29</v>
      </c>
      <c r="G18" s="189" t="s">
        <v>559</v>
      </c>
      <c r="H18" s="373">
        <v>0</v>
      </c>
      <c r="I18" s="373" t="s">
        <v>29</v>
      </c>
      <c r="J18" s="373">
        <v>3</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73">
        <v>0</v>
      </c>
      <c r="I19" s="373" t="s">
        <v>29</v>
      </c>
      <c r="J19" s="373">
        <v>2</v>
      </c>
      <c r="K19" s="212">
        <f t="shared" si="5"/>
        <v>2</v>
      </c>
      <c r="L19" s="210">
        <f>VLOOKUP($B19,Invulblad!$A$11:$S$103,13,0)</f>
        <v>2</v>
      </c>
      <c r="M19" s="211">
        <f>IF(L19&lt;&gt;"",VLOOKUP($B19,Invulblad!$A$11:$S$103,7,0),"")</f>
        <v>1</v>
      </c>
      <c r="N19" s="209" t="s">
        <v>29</v>
      </c>
      <c r="O19" s="211">
        <f>IF(L19&lt;&gt;"",VLOOKUP($B19,Invulblad!$A$11:$S$103,9,0),"")</f>
        <v>3</v>
      </c>
      <c r="P19" s="212">
        <f t="shared" si="6"/>
        <v>5</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72" t="s">
        <v>93</v>
      </c>
      <c r="I21" s="372"/>
      <c r="J21" s="372"/>
      <c r="K21" s="213"/>
      <c r="L21" s="210"/>
      <c r="M21" s="211"/>
      <c r="N21" s="201"/>
      <c r="O21" s="211"/>
    </row>
    <row r="22" spans="1:16">
      <c r="A22" s="188">
        <v>9</v>
      </c>
      <c r="B22" s="195">
        <v>3</v>
      </c>
      <c r="C22" s="332">
        <v>41803</v>
      </c>
      <c r="D22" s="333">
        <v>0.875</v>
      </c>
      <c r="E22" s="189" t="s">
        <v>129</v>
      </c>
      <c r="F22" s="189" t="s">
        <v>29</v>
      </c>
      <c r="G22" s="189" t="s">
        <v>122</v>
      </c>
      <c r="H22" s="360">
        <v>1</v>
      </c>
      <c r="I22" s="373" t="s">
        <v>29</v>
      </c>
      <c r="J22" s="360">
        <v>1</v>
      </c>
      <c r="K22" s="212">
        <f t="shared" si="5"/>
        <v>3</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0">
        <v>1</v>
      </c>
      <c r="I23" s="373" t="s">
        <v>29</v>
      </c>
      <c r="J23" s="360">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0">
        <v>1</v>
      </c>
      <c r="I24" s="373" t="s">
        <v>29</v>
      </c>
      <c r="J24" s="360">
        <v>1</v>
      </c>
      <c r="K24" s="212">
        <f t="shared" si="5"/>
        <v>3</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0">
        <v>0</v>
      </c>
      <c r="I25" s="373" t="s">
        <v>29</v>
      </c>
      <c r="J25" s="360">
        <v>2</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0">
        <v>1</v>
      </c>
      <c r="I26" s="373" t="s">
        <v>29</v>
      </c>
      <c r="J26" s="360">
        <v>2</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0">
        <v>1</v>
      </c>
      <c r="I27" s="373" t="s">
        <v>29</v>
      </c>
      <c r="J27" s="360">
        <v>0</v>
      </c>
      <c r="K27" s="212" t="str">
        <f t="shared" si="5"/>
        <v>1</v>
      </c>
      <c r="L27" s="210" t="str">
        <f>VLOOKUP($B27,Invulblad!$A$11:$S$103,13,0)</f>
        <v>1</v>
      </c>
      <c r="M27" s="211">
        <f>IF(L27&lt;&gt;"",VLOOKUP($B27,Invulblad!$A$11:$S$103,7,0),"")</f>
        <v>2</v>
      </c>
      <c r="N27" s="209" t="s">
        <v>29</v>
      </c>
      <c r="O27" s="211">
        <f>IF(L27&lt;&gt;"",VLOOKUP($B27,Invulblad!$A$11:$S$103,9,0),"")</f>
        <v>0</v>
      </c>
      <c r="P27" s="212">
        <f t="shared" si="7"/>
        <v>5</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72" t="s">
        <v>93</v>
      </c>
      <c r="I29" s="372"/>
      <c r="J29" s="372"/>
      <c r="K29" s="213"/>
      <c r="L29" s="210"/>
      <c r="M29" s="211"/>
      <c r="N29" s="209"/>
      <c r="O29" s="211"/>
    </row>
    <row r="30" spans="1:16">
      <c r="A30" s="188">
        <v>17</v>
      </c>
      <c r="B30" s="195">
        <v>5</v>
      </c>
      <c r="C30" s="332">
        <v>41804</v>
      </c>
      <c r="D30" s="333">
        <v>0.75</v>
      </c>
      <c r="E30" s="189" t="s">
        <v>428</v>
      </c>
      <c r="F30" s="189" t="s">
        <v>29</v>
      </c>
      <c r="G30" s="189" t="s">
        <v>105</v>
      </c>
      <c r="H30" s="373">
        <v>1</v>
      </c>
      <c r="I30" s="373" t="s">
        <v>488</v>
      </c>
      <c r="J30" s="373">
        <v>1</v>
      </c>
      <c r="K30" s="212">
        <f t="shared" si="5"/>
        <v>3</v>
      </c>
      <c r="L30" s="210" t="str">
        <f>VLOOKUP($B30,Invulblad!$A$11:$S$103,13,0)</f>
        <v>1</v>
      </c>
      <c r="M30" s="211">
        <f>IF(L30&lt;&gt;"",VLOOKUP($B30,Invulblad!$A$11:$S$103,7,0),"")</f>
        <v>3</v>
      </c>
      <c r="N30" s="209" t="s">
        <v>29</v>
      </c>
      <c r="O30" s="211">
        <f>IF(L30&lt;&gt;"",VLOOKUP($B30,Invulblad!$A$11:$S$103,9,0),"")</f>
        <v>0</v>
      </c>
      <c r="P30" s="212">
        <f t="shared" ref="P30:P35" si="8">IF(L30&lt;&gt;"",IF(AND(M30=H30,O30=J30),10,IF(K30=L30,5,0)),"")</f>
        <v>0</v>
      </c>
    </row>
    <row r="31" spans="1:16">
      <c r="A31" s="188">
        <v>18</v>
      </c>
      <c r="B31" s="195">
        <v>6</v>
      </c>
      <c r="C31" s="332">
        <v>41805</v>
      </c>
      <c r="D31" s="333">
        <v>0.125</v>
      </c>
      <c r="E31" s="189" t="s">
        <v>123</v>
      </c>
      <c r="F31" s="189" t="s">
        <v>29</v>
      </c>
      <c r="G31" s="189" t="s">
        <v>120</v>
      </c>
      <c r="H31" s="373">
        <v>1</v>
      </c>
      <c r="I31" s="373" t="s">
        <v>488</v>
      </c>
      <c r="J31" s="373">
        <v>2</v>
      </c>
      <c r="K31" s="212">
        <f t="shared" si="5"/>
        <v>2</v>
      </c>
      <c r="L31" s="210" t="str">
        <f>VLOOKUP($B31,Invulblad!$A$11:$S$103,13,0)</f>
        <v>1</v>
      </c>
      <c r="M31" s="211">
        <f>IF(L31&lt;&gt;"",VLOOKUP($B31,Invulblad!$A$11:$S$103,7,0),"")</f>
        <v>2</v>
      </c>
      <c r="N31" s="209" t="s">
        <v>29</v>
      </c>
      <c r="O31" s="211">
        <f>IF(L31&lt;&gt;"",VLOOKUP($B31,Invulblad!$A$11:$S$103,9,0),"")</f>
        <v>1</v>
      </c>
      <c r="P31" s="212">
        <f t="shared" si="8"/>
        <v>0</v>
      </c>
    </row>
    <row r="32" spans="1:16">
      <c r="A32" s="188">
        <v>19</v>
      </c>
      <c r="B32" s="195">
        <v>21</v>
      </c>
      <c r="C32" s="332">
        <v>41809</v>
      </c>
      <c r="D32" s="333">
        <v>0.75</v>
      </c>
      <c r="E32" s="189" t="s">
        <v>428</v>
      </c>
      <c r="F32" s="189" t="s">
        <v>29</v>
      </c>
      <c r="G32" s="189" t="s">
        <v>125</v>
      </c>
      <c r="H32" s="373">
        <v>2</v>
      </c>
      <c r="I32" s="373" t="s">
        <v>488</v>
      </c>
      <c r="J32" s="373">
        <v>0</v>
      </c>
      <c r="K32" s="212" t="str">
        <f t="shared" si="5"/>
        <v>1</v>
      </c>
      <c r="L32" s="210" t="str">
        <f>VLOOKUP($B32,Invulblad!$A$11:$S$103,13,0)</f>
        <v>1</v>
      </c>
      <c r="M32" s="211">
        <f>IF(L32&lt;&gt;"",VLOOKUP($B32,Invulblad!$A$11:$S$103,7,0),"")</f>
        <v>2</v>
      </c>
      <c r="N32" s="209" t="s">
        <v>29</v>
      </c>
      <c r="O32" s="211">
        <f>IF(L32&lt;&gt;"",VLOOKUP($B32,Invulblad!$A$11:$S$103,9,0),"")</f>
        <v>1</v>
      </c>
      <c r="P32" s="212">
        <f t="shared" si="8"/>
        <v>5</v>
      </c>
    </row>
    <row r="33" spans="1:16">
      <c r="A33" s="188">
        <v>20</v>
      </c>
      <c r="B33" s="195">
        <v>22</v>
      </c>
      <c r="C33" s="332">
        <v>41810</v>
      </c>
      <c r="D33" s="333">
        <v>0</v>
      </c>
      <c r="E33" s="189" t="s">
        <v>118</v>
      </c>
      <c r="F33" s="189" t="s">
        <v>29</v>
      </c>
      <c r="G33" s="189" t="s">
        <v>105</v>
      </c>
      <c r="H33" s="373">
        <v>2</v>
      </c>
      <c r="I33" s="373" t="s">
        <v>488</v>
      </c>
      <c r="J33" s="373">
        <v>1</v>
      </c>
      <c r="K33" s="212" t="str">
        <f t="shared" si="5"/>
        <v>1</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73">
        <v>1</v>
      </c>
      <c r="I34" s="373" t="s">
        <v>488</v>
      </c>
      <c r="J34" s="373">
        <v>1</v>
      </c>
      <c r="K34" s="212">
        <f t="shared" si="5"/>
        <v>3</v>
      </c>
      <c r="L34" s="210">
        <f>VLOOKUP($B34,Invulblad!$A$11:$S$103,13,0)</f>
        <v>2</v>
      </c>
      <c r="M34" s="211">
        <f>IF(L34&lt;&gt;"",VLOOKUP($B34,Invulblad!$A$11:$S$103,7,0),"")</f>
        <v>1</v>
      </c>
      <c r="N34" s="209" t="s">
        <v>29</v>
      </c>
      <c r="O34" s="211">
        <f>IF(L34&lt;&gt;"",VLOOKUP($B34,Invulblad!$A$11:$S$103,9,0),"")</f>
        <v>4</v>
      </c>
      <c r="P34" s="212">
        <f t="shared" si="8"/>
        <v>0</v>
      </c>
    </row>
    <row r="35" spans="1:16">
      <c r="A35" s="188">
        <v>22</v>
      </c>
      <c r="B35" s="195">
        <v>38</v>
      </c>
      <c r="C35" s="332">
        <v>41814</v>
      </c>
      <c r="D35" s="333">
        <v>0.91666666666666663</v>
      </c>
      <c r="E35" s="189" t="s">
        <v>233</v>
      </c>
      <c r="F35" s="189" t="s">
        <v>29</v>
      </c>
      <c r="G35" s="189" t="s">
        <v>125</v>
      </c>
      <c r="H35" s="373">
        <v>1</v>
      </c>
      <c r="I35" s="373" t="s">
        <v>488</v>
      </c>
      <c r="J35" s="373">
        <v>0</v>
      </c>
      <c r="K35" s="212" t="str">
        <f t="shared" si="5"/>
        <v>1</v>
      </c>
      <c r="L35" s="210" t="str">
        <f>VLOOKUP($B35,Invulblad!$A$11:$S$103,13,0)</f>
        <v>1</v>
      </c>
      <c r="M35" s="211">
        <f>IF(L35&lt;&gt;"",VLOOKUP($B35,Invulblad!$A$11:$S$103,7,0),"")</f>
        <v>2</v>
      </c>
      <c r="N35" s="209" t="s">
        <v>29</v>
      </c>
      <c r="O35" s="211">
        <f>IF(L35&lt;&gt;"",VLOOKUP($B35,Invulblad!$A$11:$S$103,9,0),"")</f>
        <v>1</v>
      </c>
      <c r="P35" s="212">
        <f t="shared" si="8"/>
        <v>5</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72" t="s">
        <v>93</v>
      </c>
      <c r="I37" s="372"/>
      <c r="J37" s="372"/>
      <c r="K37" s="213"/>
      <c r="L37" s="210"/>
      <c r="M37" s="211"/>
      <c r="N37" s="209"/>
      <c r="O37" s="211"/>
    </row>
    <row r="38" spans="1:16">
      <c r="A38" s="188">
        <v>25</v>
      </c>
      <c r="B38" s="195">
        <v>7</v>
      </c>
      <c r="C38" s="332">
        <v>41804</v>
      </c>
      <c r="D38" s="333">
        <v>0.875</v>
      </c>
      <c r="E38" s="189" t="s">
        <v>231</v>
      </c>
      <c r="F38" s="189" t="s">
        <v>29</v>
      </c>
      <c r="G38" s="189" t="s">
        <v>430</v>
      </c>
      <c r="H38" s="360">
        <v>2</v>
      </c>
      <c r="I38" s="360" t="s">
        <v>488</v>
      </c>
      <c r="J38" s="360">
        <v>0</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0">
        <v>1</v>
      </c>
      <c r="I39" s="360" t="s">
        <v>488</v>
      </c>
      <c r="J39" s="360">
        <v>2</v>
      </c>
      <c r="K39" s="212">
        <f t="shared" si="5"/>
        <v>2</v>
      </c>
      <c r="L39" s="210">
        <f>VLOOKUP($B39,Invulblad!$A$11:$S$103,13,0)</f>
        <v>2</v>
      </c>
      <c r="M39" s="211">
        <f>IF(L39&lt;&gt;"",VLOOKUP($B39,Invulblad!$A$11:$S$103,7,0),"")</f>
        <v>1</v>
      </c>
      <c r="N39" s="209" t="s">
        <v>29</v>
      </c>
      <c r="O39" s="211">
        <f>IF(L39&lt;&gt;"",VLOOKUP($B39,Invulblad!$A$11:$S$103,9,0),"")</f>
        <v>2</v>
      </c>
      <c r="P39" s="212">
        <f t="shared" si="9"/>
        <v>10</v>
      </c>
    </row>
    <row r="40" spans="1:16">
      <c r="A40" s="188">
        <v>27</v>
      </c>
      <c r="B40" s="195">
        <v>23</v>
      </c>
      <c r="C40" s="332">
        <v>41809</v>
      </c>
      <c r="D40" s="333">
        <v>0.875</v>
      </c>
      <c r="E40" s="189" t="s">
        <v>231</v>
      </c>
      <c r="F40" s="189" t="s">
        <v>29</v>
      </c>
      <c r="G40" s="189" t="s">
        <v>112</v>
      </c>
      <c r="H40" s="360">
        <v>1</v>
      </c>
      <c r="I40" s="360" t="s">
        <v>488</v>
      </c>
      <c r="J40" s="360">
        <v>1</v>
      </c>
      <c r="K40" s="212">
        <f t="shared" si="5"/>
        <v>3</v>
      </c>
      <c r="L40" s="210" t="str">
        <f>VLOOKUP($B40,Invulblad!$A$11:$S$103,13,0)</f>
        <v>1</v>
      </c>
      <c r="M40" s="211">
        <f>IF(L40&lt;&gt;"",VLOOKUP($B40,Invulblad!$A$11:$S$103,7,0),"")</f>
        <v>2</v>
      </c>
      <c r="N40" s="209" t="s">
        <v>29</v>
      </c>
      <c r="O40" s="211">
        <f>IF(L40&lt;&gt;"",VLOOKUP($B40,Invulblad!$A$11:$S$103,9,0),"")</f>
        <v>1</v>
      </c>
      <c r="P40" s="212">
        <f t="shared" si="9"/>
        <v>0</v>
      </c>
    </row>
    <row r="41" spans="1:16">
      <c r="A41" s="188">
        <v>28</v>
      </c>
      <c r="B41" s="195">
        <v>24</v>
      </c>
      <c r="C41" s="332">
        <v>41810</v>
      </c>
      <c r="D41" s="333">
        <v>0.75</v>
      </c>
      <c r="E41" s="189" t="s">
        <v>564</v>
      </c>
      <c r="F41" s="189" t="s">
        <v>29</v>
      </c>
      <c r="G41" s="189" t="s">
        <v>430</v>
      </c>
      <c r="H41" s="360">
        <v>1</v>
      </c>
      <c r="I41" s="360" t="s">
        <v>488</v>
      </c>
      <c r="J41" s="360">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0">
        <v>0</v>
      </c>
      <c r="I42" s="360" t="s">
        <v>488</v>
      </c>
      <c r="J42" s="360">
        <v>0</v>
      </c>
      <c r="K42" s="212">
        <f t="shared" si="5"/>
        <v>3</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0">
        <v>1</v>
      </c>
      <c r="I43" s="360" t="s">
        <v>488</v>
      </c>
      <c r="J43" s="360">
        <v>3</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72" t="s">
        <v>93</v>
      </c>
      <c r="I45" s="372"/>
      <c r="J45" s="372"/>
      <c r="K45" s="213"/>
      <c r="L45" s="210"/>
      <c r="M45" s="211"/>
      <c r="N45" s="209"/>
      <c r="O45" s="211"/>
    </row>
    <row r="46" spans="1:16">
      <c r="A46" s="188">
        <v>33</v>
      </c>
      <c r="B46" s="195">
        <v>9</v>
      </c>
      <c r="C46" s="332">
        <v>41805</v>
      </c>
      <c r="D46" s="333">
        <v>0.75</v>
      </c>
      <c r="E46" s="189" t="s">
        <v>134</v>
      </c>
      <c r="F46" s="189" t="s">
        <v>29</v>
      </c>
      <c r="G46" s="189" t="s">
        <v>434</v>
      </c>
      <c r="H46" s="360">
        <v>1</v>
      </c>
      <c r="I46" s="360" t="s">
        <v>488</v>
      </c>
      <c r="J46" s="360">
        <v>0</v>
      </c>
      <c r="K46" s="212" t="str">
        <f t="shared" si="5"/>
        <v>1</v>
      </c>
      <c r="L46" s="210" t="str">
        <f>VLOOKUP($B46,Invulblad!$A$11:$S$103,13,0)</f>
        <v>1</v>
      </c>
      <c r="M46" s="211">
        <f>IF(L46&lt;&gt;"",VLOOKUP($B46,Invulblad!$A$11:$S$103,7,0),"")</f>
        <v>2</v>
      </c>
      <c r="N46" s="209" t="s">
        <v>29</v>
      </c>
      <c r="O46" s="211">
        <f>IF(L46&lt;&gt;"",VLOOKUP($B46,Invulblad!$A$11:$S$103,9,0),"")</f>
        <v>1</v>
      </c>
      <c r="P46" s="212">
        <f t="shared" ref="P46:P51" si="10">IF(L46&lt;&gt;"",IF(AND(M46=H46,O46=J46),10,IF(K46=L46,5,0)),"")</f>
        <v>5</v>
      </c>
    </row>
    <row r="47" spans="1:16">
      <c r="A47" s="188">
        <v>34</v>
      </c>
      <c r="B47" s="195">
        <v>10</v>
      </c>
      <c r="C47" s="332">
        <v>41805</v>
      </c>
      <c r="D47" s="333">
        <v>0.875</v>
      </c>
      <c r="E47" s="189" t="s">
        <v>100</v>
      </c>
      <c r="F47" s="189" t="s">
        <v>29</v>
      </c>
      <c r="G47" s="189" t="s">
        <v>132</v>
      </c>
      <c r="H47" s="360">
        <v>3</v>
      </c>
      <c r="I47" s="360" t="s">
        <v>488</v>
      </c>
      <c r="J47" s="360">
        <v>0</v>
      </c>
      <c r="K47" s="212" t="str">
        <f t="shared" si="5"/>
        <v>1</v>
      </c>
      <c r="L47" s="210" t="str">
        <f>VLOOKUP($B47,Invulblad!$A$11:$S$103,13,0)</f>
        <v>1</v>
      </c>
      <c r="M47" s="211">
        <f>IF(L47&lt;&gt;"",VLOOKUP($B47,Invulblad!$A$11:$S$103,7,0),"")</f>
        <v>3</v>
      </c>
      <c r="N47" s="209" t="s">
        <v>29</v>
      </c>
      <c r="O47" s="211">
        <f>IF(L47&lt;&gt;"",VLOOKUP($B47,Invulblad!$A$11:$S$103,9,0),"")</f>
        <v>0</v>
      </c>
      <c r="P47" s="212">
        <f t="shared" si="10"/>
        <v>10</v>
      </c>
    </row>
    <row r="48" spans="1:16">
      <c r="A48" s="188">
        <v>35</v>
      </c>
      <c r="B48" s="195">
        <v>25</v>
      </c>
      <c r="C48" s="332">
        <v>41810</v>
      </c>
      <c r="D48" s="333">
        <v>0.875</v>
      </c>
      <c r="E48" s="189" t="s">
        <v>134</v>
      </c>
      <c r="F48" s="189" t="s">
        <v>29</v>
      </c>
      <c r="G48" s="189" t="s">
        <v>98</v>
      </c>
      <c r="H48" s="360">
        <v>1</v>
      </c>
      <c r="I48" s="360" t="s">
        <v>488</v>
      </c>
      <c r="J48" s="360">
        <v>1</v>
      </c>
      <c r="K48" s="212">
        <f t="shared" si="5"/>
        <v>3</v>
      </c>
      <c r="L48" s="210">
        <f>VLOOKUP($B48,Invulblad!$A$11:$S$103,13,0)</f>
        <v>2</v>
      </c>
      <c r="M48" s="211">
        <f>IF(L48&lt;&gt;"",VLOOKUP($B48,Invulblad!$A$11:$S$103,7,0),"")</f>
        <v>2</v>
      </c>
      <c r="N48" s="209" t="s">
        <v>29</v>
      </c>
      <c r="O48" s="211">
        <f>IF(L48&lt;&gt;"",VLOOKUP($B48,Invulblad!$A$11:$S$103,9,0),"")</f>
        <v>5</v>
      </c>
      <c r="P48" s="212">
        <f t="shared" si="10"/>
        <v>0</v>
      </c>
    </row>
    <row r="49" spans="1:16">
      <c r="A49" s="188">
        <v>36</v>
      </c>
      <c r="B49" s="195">
        <v>26</v>
      </c>
      <c r="C49" s="332">
        <v>41811</v>
      </c>
      <c r="D49" s="333">
        <v>0</v>
      </c>
      <c r="E49" s="189" t="s">
        <v>127</v>
      </c>
      <c r="F49" s="189" t="s">
        <v>29</v>
      </c>
      <c r="G49" s="189" t="s">
        <v>434</v>
      </c>
      <c r="H49" s="360">
        <v>2</v>
      </c>
      <c r="I49" s="360" t="s">
        <v>488</v>
      </c>
      <c r="J49" s="360">
        <v>2</v>
      </c>
      <c r="K49" s="212">
        <f t="shared" si="5"/>
        <v>3</v>
      </c>
      <c r="L49" s="210">
        <f>VLOOKUP($B49,Invulblad!$A$11:$S$103,13,0)</f>
        <v>2</v>
      </c>
      <c r="M49" s="211">
        <f>IF(L49&lt;&gt;"",VLOOKUP($B49,Invulblad!$A$11:$S$103,7,0),"")</f>
        <v>1</v>
      </c>
      <c r="N49" s="209" t="s">
        <v>29</v>
      </c>
      <c r="O49" s="211">
        <f>IF(L49&lt;&gt;"",VLOOKUP($B49,Invulblad!$A$11:$S$103,9,0),"")</f>
        <v>2</v>
      </c>
      <c r="P49" s="212">
        <f t="shared" si="10"/>
        <v>0</v>
      </c>
    </row>
    <row r="50" spans="1:16">
      <c r="A50" s="188">
        <v>37</v>
      </c>
      <c r="B50" s="195">
        <v>41</v>
      </c>
      <c r="C50" s="332">
        <v>41815</v>
      </c>
      <c r="D50" s="333">
        <v>0.91666666666666663</v>
      </c>
      <c r="E50" s="189" t="s">
        <v>127</v>
      </c>
      <c r="F50" s="189" t="s">
        <v>29</v>
      </c>
      <c r="G50" s="189" t="s">
        <v>130</v>
      </c>
      <c r="H50" s="360">
        <v>0</v>
      </c>
      <c r="I50" s="360" t="s">
        <v>488</v>
      </c>
      <c r="J50" s="360">
        <v>1</v>
      </c>
      <c r="K50" s="212">
        <f t="shared" si="5"/>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0">
        <v>0</v>
      </c>
      <c r="I51" s="360" t="s">
        <v>488</v>
      </c>
      <c r="J51" s="360">
        <v>2</v>
      </c>
      <c r="K51" s="212">
        <f t="shared" si="5"/>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367"/>
      <c r="I52" s="367"/>
      <c r="J52" s="367"/>
      <c r="K52" s="213" t="str">
        <f t="shared" si="5"/>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72" t="s">
        <v>93</v>
      </c>
      <c r="I53" s="372"/>
      <c r="J53" s="372"/>
      <c r="K53" s="213"/>
      <c r="L53" s="210"/>
      <c r="M53" s="211"/>
      <c r="N53" s="209"/>
      <c r="O53" s="211"/>
    </row>
    <row r="54" spans="1:16">
      <c r="A54" s="188">
        <v>41</v>
      </c>
      <c r="B54" s="195">
        <v>11</v>
      </c>
      <c r="C54" s="332">
        <v>41806</v>
      </c>
      <c r="D54" s="333">
        <v>0</v>
      </c>
      <c r="E54" s="189" t="s">
        <v>565</v>
      </c>
      <c r="F54" s="189" t="s">
        <v>29</v>
      </c>
      <c r="G54" s="189" t="s">
        <v>566</v>
      </c>
      <c r="H54" s="360">
        <v>1</v>
      </c>
      <c r="I54" s="360" t="s">
        <v>488</v>
      </c>
      <c r="J54" s="360">
        <v>1</v>
      </c>
      <c r="K54" s="212">
        <f t="shared" si="5"/>
        <v>3</v>
      </c>
      <c r="L54" s="210" t="str">
        <f>VLOOKUP($B54,Invulblad!$A$11:$S$103,13,0)</f>
        <v>1</v>
      </c>
      <c r="M54" s="211">
        <f>IF(L54&lt;&gt;"",VLOOKUP($B54,Invulblad!$A$11:$S$103,7,0),"")</f>
        <v>2</v>
      </c>
      <c r="N54" s="209" t="s">
        <v>29</v>
      </c>
      <c r="O54" s="211">
        <f>IF(L54&lt;&gt;"",VLOOKUP($B54,Invulblad!$A$11:$S$103,9,0),"")</f>
        <v>1</v>
      </c>
      <c r="P54" s="212">
        <f t="shared" ref="P54:P59" si="11">IF(L54&lt;&gt;"",IF(AND(M54=H54,O54=J54),10,IF(K54=L54,5,0)),"")</f>
        <v>0</v>
      </c>
    </row>
    <row r="55" spans="1:16">
      <c r="A55" s="188">
        <v>42</v>
      </c>
      <c r="B55" s="195">
        <v>12</v>
      </c>
      <c r="C55" s="332">
        <v>41806</v>
      </c>
      <c r="D55" s="333">
        <v>0.875</v>
      </c>
      <c r="E55" s="189" t="s">
        <v>438</v>
      </c>
      <c r="F55" s="189" t="s">
        <v>29</v>
      </c>
      <c r="G55" s="189" t="s">
        <v>103</v>
      </c>
      <c r="H55" s="360">
        <v>1</v>
      </c>
      <c r="I55" s="360" t="s">
        <v>488</v>
      </c>
      <c r="J55" s="360">
        <v>0</v>
      </c>
      <c r="K55" s="212" t="str">
        <f t="shared" si="5"/>
        <v>1</v>
      </c>
      <c r="L55" s="210">
        <f>VLOOKUP($B55,Invulblad!$A$11:$S$103,13,0)</f>
        <v>3</v>
      </c>
      <c r="M55" s="211">
        <f>IF(L55&lt;&gt;"",VLOOKUP($B55,Invulblad!$A$11:$S$103,7,0),"")</f>
        <v>0</v>
      </c>
      <c r="N55" s="209" t="s">
        <v>29</v>
      </c>
      <c r="O55" s="211">
        <f>IF(L55&lt;&gt;"",VLOOKUP($B55,Invulblad!$A$11:$S$103,9,0),"")</f>
        <v>0</v>
      </c>
      <c r="P55" s="212">
        <f t="shared" si="11"/>
        <v>0</v>
      </c>
    </row>
    <row r="56" spans="1:16">
      <c r="A56" s="188">
        <v>43</v>
      </c>
      <c r="B56" s="195">
        <v>27</v>
      </c>
      <c r="C56" s="332">
        <v>41811</v>
      </c>
      <c r="D56" s="333">
        <v>0.75</v>
      </c>
      <c r="E56" s="189" t="s">
        <v>565</v>
      </c>
      <c r="F56" s="189" t="s">
        <v>29</v>
      </c>
      <c r="G56" s="189" t="s">
        <v>439</v>
      </c>
      <c r="H56" s="360">
        <v>3</v>
      </c>
      <c r="I56" s="360" t="s">
        <v>488</v>
      </c>
      <c r="J56" s="360">
        <v>1</v>
      </c>
      <c r="K56" s="212" t="str">
        <f t="shared" si="5"/>
        <v>1</v>
      </c>
      <c r="L56" s="210" t="str">
        <f>VLOOKUP($B56,Invulblad!$A$11:$S$103,13,0)</f>
        <v>1</v>
      </c>
      <c r="M56" s="211">
        <f>IF(L56&lt;&gt;"",VLOOKUP($B56,Invulblad!$A$11:$S$103,7,0),"")</f>
        <v>1</v>
      </c>
      <c r="N56" s="209" t="s">
        <v>29</v>
      </c>
      <c r="O56" s="211">
        <f>IF(L56&lt;&gt;"",VLOOKUP($B56,Invulblad!$A$11:$S$103,9,0),"")</f>
        <v>0</v>
      </c>
      <c r="P56" s="212">
        <f t="shared" si="11"/>
        <v>5</v>
      </c>
    </row>
    <row r="57" spans="1:16">
      <c r="A57" s="188">
        <v>44</v>
      </c>
      <c r="B57" s="195">
        <v>28</v>
      </c>
      <c r="C57" s="332">
        <v>41812</v>
      </c>
      <c r="D57" s="333">
        <v>0</v>
      </c>
      <c r="E57" s="189" t="s">
        <v>234</v>
      </c>
      <c r="F57" s="189" t="s">
        <v>29</v>
      </c>
      <c r="G57" s="189" t="s">
        <v>566</v>
      </c>
      <c r="H57" s="360">
        <v>0</v>
      </c>
      <c r="I57" s="360" t="s">
        <v>488</v>
      </c>
      <c r="J57" s="360">
        <v>2</v>
      </c>
      <c r="K57" s="212">
        <f t="shared" si="5"/>
        <v>2</v>
      </c>
      <c r="L57" s="210" t="str">
        <f>VLOOKUP($B57,Invulblad!$A$11:$S$103,13,0)</f>
        <v>1</v>
      </c>
      <c r="M57" s="211">
        <f>IF(L57&lt;&gt;"",VLOOKUP($B57,Invulblad!$A$11:$S$103,7,0),"")</f>
        <v>1</v>
      </c>
      <c r="N57" s="209" t="s">
        <v>29</v>
      </c>
      <c r="O57" s="211">
        <f>IF(L57&lt;&gt;"",VLOOKUP($B57,Invulblad!$A$11:$S$103,9,0),"")</f>
        <v>0</v>
      </c>
      <c r="P57" s="212">
        <f t="shared" si="11"/>
        <v>0</v>
      </c>
    </row>
    <row r="58" spans="1:16">
      <c r="A58" s="188">
        <v>45</v>
      </c>
      <c r="B58" s="195">
        <v>43</v>
      </c>
      <c r="C58" s="332">
        <v>41815</v>
      </c>
      <c r="D58" s="333">
        <v>0.75</v>
      </c>
      <c r="E58" s="189" t="s">
        <v>234</v>
      </c>
      <c r="F58" s="189" t="s">
        <v>29</v>
      </c>
      <c r="G58" s="189" t="s">
        <v>567</v>
      </c>
      <c r="H58" s="360">
        <v>0</v>
      </c>
      <c r="I58" s="360" t="s">
        <v>488</v>
      </c>
      <c r="J58" s="360">
        <v>3</v>
      </c>
      <c r="K58" s="212">
        <f t="shared" si="5"/>
        <v>2</v>
      </c>
      <c r="L58" s="210">
        <f>VLOOKUP($B58,Invulblad!$A$11:$S$103,13,0)</f>
        <v>2</v>
      </c>
      <c r="M58" s="211">
        <f>IF(L58&lt;&gt;"",VLOOKUP($B58,Invulblad!$A$11:$S$103,7,0),"")</f>
        <v>2</v>
      </c>
      <c r="N58" s="209" t="s">
        <v>29</v>
      </c>
      <c r="O58" s="211">
        <f>IF(L58&lt;&gt;"",VLOOKUP($B58,Invulblad!$A$11:$S$103,9,0),"")</f>
        <v>3</v>
      </c>
      <c r="P58" s="212">
        <f t="shared" si="11"/>
        <v>5</v>
      </c>
    </row>
    <row r="59" spans="1:16">
      <c r="A59" s="188">
        <v>46</v>
      </c>
      <c r="B59" s="195">
        <v>44</v>
      </c>
      <c r="C59" s="332">
        <v>41815</v>
      </c>
      <c r="D59" s="333">
        <v>0.75</v>
      </c>
      <c r="E59" s="189" t="s">
        <v>568</v>
      </c>
      <c r="F59" s="189" t="s">
        <v>29</v>
      </c>
      <c r="G59" s="189" t="s">
        <v>439</v>
      </c>
      <c r="H59" s="360">
        <v>2</v>
      </c>
      <c r="I59" s="360" t="s">
        <v>488</v>
      </c>
      <c r="J59" s="360">
        <v>0</v>
      </c>
      <c r="K59" s="212" t="str">
        <f t="shared" si="5"/>
        <v>1</v>
      </c>
      <c r="L59" s="210" t="str">
        <f>VLOOKUP($B59,Invulblad!$A$11:$S$103,13,0)</f>
        <v>1</v>
      </c>
      <c r="M59" s="211">
        <f>IF(L59&lt;&gt;"",VLOOKUP($B59,Invulblad!$A$11:$S$103,7,0),"")</f>
        <v>3</v>
      </c>
      <c r="N59" s="209" t="s">
        <v>29</v>
      </c>
      <c r="O59" s="211">
        <f>IF(L59&lt;&gt;"",VLOOKUP($B59,Invulblad!$A$11:$S$103,9,0),"")</f>
        <v>1</v>
      </c>
      <c r="P59" s="212">
        <f t="shared" si="11"/>
        <v>5</v>
      </c>
    </row>
    <row r="60" spans="1:16">
      <c r="A60" s="188">
        <v>47</v>
      </c>
      <c r="B60" s="201" t="s">
        <v>36</v>
      </c>
      <c r="H60" s="367"/>
      <c r="I60" s="367"/>
      <c r="J60" s="367"/>
      <c r="K60" s="213" t="str">
        <f t="shared" si="5"/>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72" t="s">
        <v>93</v>
      </c>
      <c r="I61" s="372"/>
      <c r="J61" s="372"/>
      <c r="K61" s="213"/>
      <c r="L61" s="210"/>
      <c r="M61" s="211"/>
      <c r="N61" s="209"/>
      <c r="O61" s="211"/>
    </row>
    <row r="62" spans="1:16">
      <c r="A62" s="188">
        <v>49</v>
      </c>
      <c r="B62" s="195">
        <v>13</v>
      </c>
      <c r="C62" s="332">
        <v>41806</v>
      </c>
      <c r="D62" s="333">
        <v>0.75</v>
      </c>
      <c r="E62" s="189" t="s">
        <v>113</v>
      </c>
      <c r="F62" s="189" t="s">
        <v>29</v>
      </c>
      <c r="G62" s="189" t="s">
        <v>124</v>
      </c>
      <c r="H62" s="360">
        <v>1</v>
      </c>
      <c r="I62" s="360" t="s">
        <v>488</v>
      </c>
      <c r="J62" s="360">
        <v>1</v>
      </c>
      <c r="K62" s="212">
        <f t="shared" si="5"/>
        <v>3</v>
      </c>
      <c r="L62" s="210" t="str">
        <f>VLOOKUP($B62,Invulblad!$A$11:$S$103,13,0)</f>
        <v>1</v>
      </c>
      <c r="M62" s="211">
        <f>IF(L62&lt;&gt;"",VLOOKUP($B62,Invulblad!$A$11:$S$103,7,0),"")</f>
        <v>4</v>
      </c>
      <c r="N62" s="209" t="s">
        <v>29</v>
      </c>
      <c r="O62" s="211">
        <f>IF(L62&lt;&gt;"",VLOOKUP($B62,Invulblad!$A$11:$S$103,9,0),"")</f>
        <v>0</v>
      </c>
      <c r="P62" s="212">
        <f t="shared" ref="P62:P67" si="12">IF(L62&lt;&gt;"",IF(AND(M62=H62,O62=J62),10,IF(K62=L62,5,0)),"")</f>
        <v>0</v>
      </c>
    </row>
    <row r="63" spans="1:16">
      <c r="A63" s="188">
        <v>50</v>
      </c>
      <c r="B63" s="195">
        <v>14</v>
      </c>
      <c r="C63" s="332">
        <v>41807</v>
      </c>
      <c r="D63" s="333">
        <v>0</v>
      </c>
      <c r="E63" s="189" t="s">
        <v>115</v>
      </c>
      <c r="F63" s="189" t="s">
        <v>29</v>
      </c>
      <c r="G63" s="189" t="s">
        <v>577</v>
      </c>
      <c r="H63" s="360">
        <v>0</v>
      </c>
      <c r="I63" s="360" t="s">
        <v>488</v>
      </c>
      <c r="J63" s="360">
        <v>0</v>
      </c>
      <c r="K63" s="212">
        <f t="shared" si="5"/>
        <v>3</v>
      </c>
      <c r="L63" s="210">
        <f>VLOOKUP($B63,Invulblad!$A$11:$S$103,13,0)</f>
        <v>2</v>
      </c>
      <c r="M63" s="211">
        <f>IF(L63&lt;&gt;"",VLOOKUP($B63,Invulblad!$A$11:$S$103,7,0),"")</f>
        <v>1</v>
      </c>
      <c r="N63" s="209" t="s">
        <v>29</v>
      </c>
      <c r="O63" s="211">
        <f>IF(L63&lt;&gt;"",VLOOKUP($B63,Invulblad!$A$11:$S$103,9,0),"")</f>
        <v>2</v>
      </c>
      <c r="P63" s="212">
        <f t="shared" si="12"/>
        <v>0</v>
      </c>
    </row>
    <row r="64" spans="1:16">
      <c r="A64" s="188">
        <v>51</v>
      </c>
      <c r="B64" s="195">
        <v>29</v>
      </c>
      <c r="C64" s="332">
        <v>41811</v>
      </c>
      <c r="D64" s="333">
        <v>0.875</v>
      </c>
      <c r="E64" s="189" t="s">
        <v>113</v>
      </c>
      <c r="F64" s="189" t="s">
        <v>29</v>
      </c>
      <c r="G64" s="189" t="s">
        <v>114</v>
      </c>
      <c r="H64" s="360">
        <v>2</v>
      </c>
      <c r="I64" s="360" t="s">
        <v>488</v>
      </c>
      <c r="J64" s="360">
        <v>1</v>
      </c>
      <c r="K64" s="212" t="str">
        <f t="shared" si="5"/>
        <v>1</v>
      </c>
      <c r="L64" s="210">
        <f>VLOOKUP($B64,Invulblad!$A$11:$S$103,13,0)</f>
        <v>3</v>
      </c>
      <c r="M64" s="211">
        <f>IF(L64&lt;&gt;"",VLOOKUP($B64,Invulblad!$A$11:$S$103,7,0),"")</f>
        <v>2</v>
      </c>
      <c r="N64" s="209" t="s">
        <v>29</v>
      </c>
      <c r="O64" s="211">
        <f>IF(L64&lt;&gt;"",VLOOKUP($B64,Invulblad!$A$11:$S$103,9,0),"")</f>
        <v>2</v>
      </c>
      <c r="P64" s="212">
        <f t="shared" si="12"/>
        <v>0</v>
      </c>
    </row>
    <row r="65" spans="1:16">
      <c r="A65" s="188">
        <v>52</v>
      </c>
      <c r="B65" s="195">
        <v>30</v>
      </c>
      <c r="C65" s="332">
        <v>41813</v>
      </c>
      <c r="D65" s="333">
        <v>0</v>
      </c>
      <c r="E65" s="189" t="s">
        <v>578</v>
      </c>
      <c r="F65" s="189" t="s">
        <v>29</v>
      </c>
      <c r="G65" s="189" t="s">
        <v>124</v>
      </c>
      <c r="H65" s="360">
        <v>0</v>
      </c>
      <c r="I65" s="360" t="s">
        <v>488</v>
      </c>
      <c r="J65" s="360">
        <v>1</v>
      </c>
      <c r="K65" s="212">
        <f t="shared" si="5"/>
        <v>2</v>
      </c>
      <c r="L65" s="210">
        <f>VLOOKUP($B65,Invulblad!$A$11:$S$103,13,0)</f>
        <v>3</v>
      </c>
      <c r="M65" s="211">
        <f>IF(L65&lt;&gt;"",VLOOKUP($B65,Invulblad!$A$11:$S$103,7,0),"")</f>
        <v>2</v>
      </c>
      <c r="N65" s="209" t="s">
        <v>29</v>
      </c>
      <c r="O65" s="211">
        <f>IF(L65&lt;&gt;"",VLOOKUP($B65,Invulblad!$A$11:$S$103,9,0),"")</f>
        <v>2</v>
      </c>
      <c r="P65" s="212">
        <f t="shared" si="12"/>
        <v>0</v>
      </c>
    </row>
    <row r="66" spans="1:16">
      <c r="A66" s="188">
        <v>53</v>
      </c>
      <c r="B66" s="195">
        <v>45</v>
      </c>
      <c r="C66" s="332">
        <v>41816</v>
      </c>
      <c r="D66" s="333">
        <v>0.75</v>
      </c>
      <c r="E66" s="189" t="s">
        <v>578</v>
      </c>
      <c r="F66" s="189" t="s">
        <v>29</v>
      </c>
      <c r="G66" s="189" t="s">
        <v>116</v>
      </c>
      <c r="H66" s="360">
        <v>2</v>
      </c>
      <c r="I66" s="360" t="s">
        <v>488</v>
      </c>
      <c r="J66" s="360">
        <v>3</v>
      </c>
      <c r="K66" s="212">
        <f t="shared" si="5"/>
        <v>2</v>
      </c>
      <c r="L66" s="210">
        <f>VLOOKUP($B66,Invulblad!$A$11:$S$103,13,0)</f>
        <v>2</v>
      </c>
      <c r="M66" s="211">
        <f>IF(L66&lt;&gt;"",VLOOKUP($B66,Invulblad!$A$11:$S$103,7,0),"")</f>
        <v>0</v>
      </c>
      <c r="N66" s="209" t="s">
        <v>29</v>
      </c>
      <c r="O66" s="211">
        <f>IF(L66&lt;&gt;"",VLOOKUP($B66,Invulblad!$A$11:$S$103,9,0),"")</f>
        <v>1</v>
      </c>
      <c r="P66" s="212">
        <f t="shared" si="12"/>
        <v>5</v>
      </c>
    </row>
    <row r="67" spans="1:16">
      <c r="A67" s="188">
        <v>54</v>
      </c>
      <c r="B67" s="195">
        <v>46</v>
      </c>
      <c r="C67" s="332">
        <v>41816</v>
      </c>
      <c r="D67" s="333">
        <v>0.75</v>
      </c>
      <c r="E67" s="189" t="s">
        <v>126</v>
      </c>
      <c r="F67" s="189" t="s">
        <v>29</v>
      </c>
      <c r="G67" s="189" t="s">
        <v>114</v>
      </c>
      <c r="H67" s="360">
        <v>2</v>
      </c>
      <c r="I67" s="360" t="s">
        <v>488</v>
      </c>
      <c r="J67" s="360">
        <v>1</v>
      </c>
      <c r="K67" s="212" t="str">
        <f t="shared" si="5"/>
        <v>1</v>
      </c>
      <c r="L67" s="210" t="str">
        <f>VLOOKUP($B67,Invulblad!$A$11:$S$103,13,0)</f>
        <v>1</v>
      </c>
      <c r="M67" s="211">
        <f>IF(L67&lt;&gt;"",VLOOKUP($B67,Invulblad!$A$11:$S$103,7,0),"")</f>
        <v>2</v>
      </c>
      <c r="N67" s="209" t="s">
        <v>29</v>
      </c>
      <c r="O67" s="211">
        <f>IF(L67&lt;&gt;"",VLOOKUP($B67,Invulblad!$A$11:$S$103,9,0),"")</f>
        <v>1</v>
      </c>
      <c r="P67" s="212">
        <f t="shared" si="12"/>
        <v>10</v>
      </c>
    </row>
    <row r="68" spans="1:16">
      <c r="A68" s="188">
        <v>55</v>
      </c>
      <c r="B68" s="201" t="s">
        <v>37</v>
      </c>
      <c r="H68" s="367"/>
      <c r="I68" s="367"/>
      <c r="J68" s="367"/>
      <c r="K68" s="213" t="str">
        <f t="shared" si="5"/>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72" t="s">
        <v>93</v>
      </c>
      <c r="I69" s="372"/>
      <c r="J69" s="372"/>
      <c r="K69" s="213"/>
      <c r="L69" s="210"/>
      <c r="M69" s="211"/>
      <c r="N69" s="209"/>
      <c r="O69" s="211"/>
    </row>
    <row r="70" spans="1:16">
      <c r="A70" s="188">
        <v>57</v>
      </c>
      <c r="B70" s="195">
        <v>15</v>
      </c>
      <c r="C70" s="332">
        <v>41807</v>
      </c>
      <c r="D70" s="333">
        <v>0.75</v>
      </c>
      <c r="E70" s="189" t="s">
        <v>569</v>
      </c>
      <c r="F70" s="189" t="s">
        <v>29</v>
      </c>
      <c r="G70" s="189" t="s">
        <v>111</v>
      </c>
      <c r="H70" s="360">
        <v>2</v>
      </c>
      <c r="I70" s="360" t="s">
        <v>488</v>
      </c>
      <c r="J70" s="360">
        <v>0</v>
      </c>
      <c r="K70" s="212" t="str">
        <f t="shared" si="5"/>
        <v>1</v>
      </c>
      <c r="L70" s="210" t="str">
        <f>VLOOKUP($B70,Invulblad!$A$11:$S$103,13,0)</f>
        <v>1</v>
      </c>
      <c r="M70" s="211">
        <f>IF(L70&lt;&gt;"",VLOOKUP($B70,Invulblad!$A$11:$S$103,7,0),"")</f>
        <v>2</v>
      </c>
      <c r="N70" s="209" t="s">
        <v>29</v>
      </c>
      <c r="O70" s="211">
        <f>IF(L70&lt;&gt;"",VLOOKUP($B70,Invulblad!$A$11:$S$103,9,0),"")</f>
        <v>1</v>
      </c>
      <c r="P70" s="212">
        <f t="shared" ref="P70:P75" si="13">IF(L70&lt;&gt;"",IF(AND(M70=H70,O70=J70),10,IF(K70=L70,5,0)),"")</f>
        <v>5</v>
      </c>
    </row>
    <row r="71" spans="1:16">
      <c r="A71" s="188">
        <v>58</v>
      </c>
      <c r="B71" s="195">
        <v>16</v>
      </c>
      <c r="C71" s="332">
        <v>41808</v>
      </c>
      <c r="D71" s="333">
        <v>0</v>
      </c>
      <c r="E71" s="189" t="s">
        <v>445</v>
      </c>
      <c r="F71" s="189" t="s">
        <v>29</v>
      </c>
      <c r="G71" s="189" t="s">
        <v>107</v>
      </c>
      <c r="H71" s="360">
        <v>1</v>
      </c>
      <c r="I71" s="360" t="s">
        <v>488</v>
      </c>
      <c r="J71" s="360">
        <v>0</v>
      </c>
      <c r="K71" s="212" t="str">
        <f t="shared" si="5"/>
        <v>1</v>
      </c>
      <c r="L71" s="210">
        <f>VLOOKUP($B71,Invulblad!$A$11:$S$103,13,0)</f>
        <v>3</v>
      </c>
      <c r="M71" s="211">
        <f>IF(L71&lt;&gt;"",VLOOKUP($B71,Invulblad!$A$11:$S$103,7,0),"")</f>
        <v>1</v>
      </c>
      <c r="N71" s="209" t="s">
        <v>29</v>
      </c>
      <c r="O71" s="211">
        <f>IF(L71&lt;&gt;"",VLOOKUP($B71,Invulblad!$A$11:$S$103,9,0),"")</f>
        <v>1</v>
      </c>
      <c r="P71" s="212">
        <f t="shared" si="13"/>
        <v>0</v>
      </c>
    </row>
    <row r="72" spans="1:16">
      <c r="A72" s="188">
        <v>59</v>
      </c>
      <c r="B72" s="195">
        <v>31</v>
      </c>
      <c r="C72" s="332">
        <v>41812</v>
      </c>
      <c r="D72" s="333">
        <v>0.75</v>
      </c>
      <c r="E72" s="189" t="s">
        <v>569</v>
      </c>
      <c r="F72" s="189" t="s">
        <v>29</v>
      </c>
      <c r="G72" s="189" t="s">
        <v>446</v>
      </c>
      <c r="H72" s="360">
        <v>1</v>
      </c>
      <c r="I72" s="360" t="s">
        <v>488</v>
      </c>
      <c r="J72" s="360">
        <v>1</v>
      </c>
      <c r="K72" s="212">
        <f t="shared" si="5"/>
        <v>3</v>
      </c>
      <c r="L72" s="210" t="str">
        <f>VLOOKUP($B72,Invulblad!$A$11:$S$103,13,0)</f>
        <v>1</v>
      </c>
      <c r="M72" s="211">
        <f>IF(L72&lt;&gt;"",VLOOKUP($B72,Invulblad!$A$11:$S$103,7,0),"")</f>
        <v>1</v>
      </c>
      <c r="N72" s="209" t="s">
        <v>29</v>
      </c>
      <c r="O72" s="211">
        <f>IF(L72&lt;&gt;"",VLOOKUP($B72,Invulblad!$A$11:$S$103,9,0),"")</f>
        <v>0</v>
      </c>
      <c r="P72" s="212">
        <f t="shared" si="13"/>
        <v>0</v>
      </c>
    </row>
    <row r="73" spans="1:16">
      <c r="A73" s="188">
        <v>60</v>
      </c>
      <c r="B73" s="195">
        <v>32</v>
      </c>
      <c r="C73" s="332">
        <v>41812</v>
      </c>
      <c r="D73" s="333">
        <v>0.875</v>
      </c>
      <c r="E73" s="189" t="s">
        <v>232</v>
      </c>
      <c r="F73" s="189" t="s">
        <v>29</v>
      </c>
      <c r="G73" s="189" t="s">
        <v>111</v>
      </c>
      <c r="H73" s="360">
        <v>0</v>
      </c>
      <c r="I73" s="360" t="s">
        <v>488</v>
      </c>
      <c r="J73" s="360">
        <v>0</v>
      </c>
      <c r="K73" s="212">
        <f t="shared" si="5"/>
        <v>3</v>
      </c>
      <c r="L73" s="210">
        <f>VLOOKUP($B73,Invulblad!$A$11:$S$103,13,0)</f>
        <v>2</v>
      </c>
      <c r="M73" s="211">
        <f>IF(L73&lt;&gt;"",VLOOKUP($B73,Invulblad!$A$11:$S$103,7,0),"")</f>
        <v>2</v>
      </c>
      <c r="N73" s="209" t="s">
        <v>29</v>
      </c>
      <c r="O73" s="211">
        <f>IF(L73&lt;&gt;"",VLOOKUP($B73,Invulblad!$A$11:$S$103,9,0),"")</f>
        <v>4</v>
      </c>
      <c r="P73" s="212">
        <f t="shared" si="13"/>
        <v>0</v>
      </c>
    </row>
    <row r="74" spans="1:16">
      <c r="A74" s="188">
        <v>61</v>
      </c>
      <c r="B74" s="195">
        <v>47</v>
      </c>
      <c r="C74" s="332">
        <v>41816</v>
      </c>
      <c r="D74" s="333">
        <v>0.91666666666666663</v>
      </c>
      <c r="E74" s="189" t="s">
        <v>232</v>
      </c>
      <c r="F74" s="189" t="s">
        <v>29</v>
      </c>
      <c r="G74" s="189" t="s">
        <v>570</v>
      </c>
      <c r="H74" s="360">
        <v>0</v>
      </c>
      <c r="I74" s="360" t="s">
        <v>488</v>
      </c>
      <c r="J74" s="360">
        <v>1</v>
      </c>
      <c r="K74" s="212">
        <f t="shared" si="5"/>
        <v>2</v>
      </c>
      <c r="L74" s="210">
        <f>VLOOKUP($B74,Invulblad!$A$11:$S$103,13,0)</f>
        <v>2</v>
      </c>
      <c r="M74" s="211">
        <f>IF(L74&lt;&gt;"",VLOOKUP($B74,Invulblad!$A$11:$S$103,7,0),"")</f>
        <v>0</v>
      </c>
      <c r="N74" s="209" t="s">
        <v>29</v>
      </c>
      <c r="O74" s="211">
        <f>IF(L74&lt;&gt;"",VLOOKUP($B74,Invulblad!$A$11:$S$103,9,0),"")</f>
        <v>1</v>
      </c>
      <c r="P74" s="212">
        <f t="shared" si="13"/>
        <v>10</v>
      </c>
    </row>
    <row r="75" spans="1:16">
      <c r="A75" s="188">
        <v>62</v>
      </c>
      <c r="B75" s="195">
        <v>48</v>
      </c>
      <c r="C75" s="332">
        <v>41816</v>
      </c>
      <c r="D75" s="333">
        <v>0.91666666666666663</v>
      </c>
      <c r="E75" s="189" t="s">
        <v>236</v>
      </c>
      <c r="F75" s="189" t="s">
        <v>29</v>
      </c>
      <c r="G75" s="189" t="s">
        <v>446</v>
      </c>
      <c r="H75" s="360">
        <v>0</v>
      </c>
      <c r="I75" s="360" t="s">
        <v>488</v>
      </c>
      <c r="J75" s="360">
        <v>1</v>
      </c>
      <c r="K75" s="212">
        <f t="shared" si="5"/>
        <v>2</v>
      </c>
      <c r="L75" s="210">
        <f>VLOOKUP($B75,Invulblad!$A$11:$S$103,13,0)</f>
        <v>3</v>
      </c>
      <c r="M75" s="211">
        <f>IF(L75&lt;&gt;"",VLOOKUP($B75,Invulblad!$A$11:$S$103,7,0),"")</f>
        <v>1</v>
      </c>
      <c r="N75" s="209" t="s">
        <v>29</v>
      </c>
      <c r="O75" s="211">
        <f>IF(L75&lt;&gt;"",VLOOKUP($B75,Invulblad!$A$11:$S$103,9,0),"")</f>
        <v>1</v>
      </c>
      <c r="P75" s="212">
        <f t="shared" si="13"/>
        <v>0</v>
      </c>
    </row>
    <row r="76" spans="1:16">
      <c r="A76" s="188">
        <v>63</v>
      </c>
      <c r="B76" s="201" t="s">
        <v>86</v>
      </c>
      <c r="H76" s="367"/>
      <c r="I76" s="367"/>
      <c r="J76" s="367"/>
      <c r="K76" s="213" t="str">
        <f t="shared" si="5"/>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72" t="s">
        <v>93</v>
      </c>
      <c r="I77" s="372"/>
      <c r="J77" s="372"/>
      <c r="K77" s="213"/>
      <c r="L77" s="210"/>
      <c r="M77" s="211"/>
      <c r="N77" s="209"/>
      <c r="O77" s="211"/>
    </row>
    <row r="78" spans="1:16">
      <c r="A78" s="188">
        <v>65</v>
      </c>
      <c r="B78" s="195">
        <v>49</v>
      </c>
      <c r="C78" s="332">
        <v>41818</v>
      </c>
      <c r="D78" s="333">
        <v>0.75</v>
      </c>
      <c r="E78" s="189" t="s">
        <v>199</v>
      </c>
      <c r="F78" s="189" t="s">
        <v>29</v>
      </c>
      <c r="G78" s="189" t="s">
        <v>138</v>
      </c>
      <c r="H78" s="360">
        <v>2</v>
      </c>
      <c r="I78" s="360" t="s">
        <v>488</v>
      </c>
      <c r="J78" s="360">
        <v>1</v>
      </c>
      <c r="K78" s="212" t="str">
        <f t="shared" ref="K78:K101" si="14">IF(AND(H78="",J78=""),"",IF(OR(H78="",J78=""),"FOUT",IF(H78&gt;J78,"1",IF(H78=J78,3,2))))</f>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187</v>
      </c>
      <c r="F79" s="189" t="s">
        <v>29</v>
      </c>
      <c r="G79" s="189" t="s">
        <v>97</v>
      </c>
      <c r="H79" s="360">
        <v>2</v>
      </c>
      <c r="I79" s="360" t="s">
        <v>488</v>
      </c>
      <c r="J79" s="360">
        <v>1</v>
      </c>
      <c r="K79" s="212" t="str">
        <f t="shared" si="14"/>
        <v>1</v>
      </c>
      <c r="L79" s="210" t="str">
        <f>VLOOKUP($B79,Invulblad!$A$11:$S$103,13,0)</f>
        <v>1</v>
      </c>
      <c r="M79" s="211">
        <f>IF(L79&lt;&gt;"",VLOOKUP($B79,Invulblad!$A$11:$S$103,7,0),"")</f>
        <v>2</v>
      </c>
      <c r="N79" s="209" t="s">
        <v>29</v>
      </c>
      <c r="O79" s="211">
        <f>IF(L79&lt;&gt;"",VLOOKUP($B79,Invulblad!$A$11:$S$103,9,0),"")</f>
        <v>0</v>
      </c>
      <c r="P79" s="212">
        <f t="shared" si="15"/>
        <v>5</v>
      </c>
    </row>
    <row r="80" spans="1:16">
      <c r="A80" s="188">
        <v>67</v>
      </c>
      <c r="B80" s="195">
        <v>51</v>
      </c>
      <c r="C80" s="332">
        <v>41819</v>
      </c>
      <c r="D80" s="333">
        <v>0.75</v>
      </c>
      <c r="E80" s="189" t="s">
        <v>135</v>
      </c>
      <c r="F80" s="189" t="s">
        <v>29</v>
      </c>
      <c r="G80" s="189" t="s">
        <v>152</v>
      </c>
      <c r="H80" s="360">
        <v>1</v>
      </c>
      <c r="I80" s="360" t="s">
        <v>488</v>
      </c>
      <c r="J80" s="360">
        <v>0</v>
      </c>
      <c r="K80" s="212" t="str">
        <f t="shared" si="14"/>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193</v>
      </c>
      <c r="F81" s="189" t="s">
        <v>29</v>
      </c>
      <c r="G81" s="189" t="s">
        <v>390</v>
      </c>
      <c r="H81" s="360">
        <v>2</v>
      </c>
      <c r="I81" s="360" t="s">
        <v>488</v>
      </c>
      <c r="J81" s="360">
        <v>1</v>
      </c>
      <c r="K81" s="212" t="str">
        <f t="shared" si="14"/>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143</v>
      </c>
      <c r="F82" s="189" t="s">
        <v>29</v>
      </c>
      <c r="G82" s="189" t="s">
        <v>572</v>
      </c>
      <c r="H82" s="360">
        <v>2</v>
      </c>
      <c r="I82" s="360" t="s">
        <v>488</v>
      </c>
      <c r="J82" s="360">
        <v>1</v>
      </c>
      <c r="K82" s="212" t="str">
        <f t="shared" si="14"/>
        <v>1</v>
      </c>
      <c r="L82" s="210" t="str">
        <f>VLOOKUP($B82,Invulblad!$A$11:$S$103,13,0)</f>
        <v>1</v>
      </c>
      <c r="M82" s="211">
        <f>IF(L82&lt;&gt;"",VLOOKUP($B82,Invulblad!$A$11:$S$103,7,0),"")</f>
        <v>2</v>
      </c>
      <c r="N82" s="209" t="s">
        <v>29</v>
      </c>
      <c r="O82" s="211">
        <f>IF(L82&lt;&gt;"",VLOOKUP($B82,Invulblad!$A$11:$S$103,9,0),"")</f>
        <v>0</v>
      </c>
      <c r="P82" s="212">
        <f t="shared" si="15"/>
        <v>5</v>
      </c>
    </row>
    <row r="83" spans="1:16">
      <c r="A83" s="188">
        <v>70</v>
      </c>
      <c r="B83" s="195">
        <v>54</v>
      </c>
      <c r="C83" s="332">
        <v>41820</v>
      </c>
      <c r="D83" s="333">
        <v>0.91666666666666663</v>
      </c>
      <c r="E83" s="189" t="s">
        <v>177</v>
      </c>
      <c r="F83" s="189" t="s">
        <v>29</v>
      </c>
      <c r="G83" s="189" t="s">
        <v>396</v>
      </c>
      <c r="H83" s="360">
        <v>2</v>
      </c>
      <c r="I83" s="360" t="s">
        <v>488</v>
      </c>
      <c r="J83" s="360">
        <v>1</v>
      </c>
      <c r="K83" s="212" t="str">
        <f t="shared" si="14"/>
        <v>1</v>
      </c>
      <c r="L83" s="210" t="str">
        <f>VLOOKUP($B83,Invulblad!$A$11:$S$103,13,0)</f>
        <v>1</v>
      </c>
      <c r="M83" s="211">
        <f>IF(L83&lt;&gt;"",VLOOKUP($B83,Invulblad!$A$11:$S$103,7,0),"")</f>
        <v>2</v>
      </c>
      <c r="N83" s="209" t="s">
        <v>29</v>
      </c>
      <c r="O83" s="211">
        <f>IF(L83&lt;&gt;"",VLOOKUP($B83,Invulblad!$A$11:$S$103,9,0),"")</f>
        <v>1</v>
      </c>
      <c r="P83" s="212">
        <f t="shared" si="15"/>
        <v>10</v>
      </c>
    </row>
    <row r="84" spans="1:16">
      <c r="A84" s="188">
        <v>71</v>
      </c>
      <c r="B84" s="195">
        <v>55</v>
      </c>
      <c r="C84" s="332">
        <v>41821</v>
      </c>
      <c r="D84" s="333">
        <v>0.75</v>
      </c>
      <c r="E84" s="189" t="s">
        <v>102</v>
      </c>
      <c r="F84" s="189" t="s">
        <v>29</v>
      </c>
      <c r="G84" s="189" t="s">
        <v>209</v>
      </c>
      <c r="H84" s="360">
        <v>2</v>
      </c>
      <c r="I84" s="360" t="s">
        <v>488</v>
      </c>
      <c r="J84" s="360">
        <v>0</v>
      </c>
      <c r="K84" s="212" t="str">
        <f t="shared" si="14"/>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395</v>
      </c>
      <c r="F85" s="189" t="s">
        <v>29</v>
      </c>
      <c r="G85" s="189" t="s">
        <v>202</v>
      </c>
      <c r="H85" s="360">
        <v>0</v>
      </c>
      <c r="I85" s="360" t="s">
        <v>488</v>
      </c>
      <c r="J85" s="360">
        <v>1</v>
      </c>
      <c r="K85" s="212">
        <f t="shared" si="14"/>
        <v>2</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si="14"/>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72" t="s">
        <v>93</v>
      </c>
      <c r="I87" s="372"/>
      <c r="J87" s="372"/>
      <c r="K87" s="213"/>
      <c r="L87" s="210"/>
      <c r="M87" s="211"/>
      <c r="N87" s="209"/>
      <c r="O87" s="211"/>
    </row>
    <row r="88" spans="1:16">
      <c r="A88" s="188">
        <v>75</v>
      </c>
      <c r="B88" s="195">
        <v>57</v>
      </c>
      <c r="C88" s="332">
        <v>41824</v>
      </c>
      <c r="D88" s="333">
        <v>0.91666666666666663</v>
      </c>
      <c r="E88" s="189" t="s">
        <v>199</v>
      </c>
      <c r="F88" s="189" t="s">
        <v>29</v>
      </c>
      <c r="G88" s="189" t="s">
        <v>187</v>
      </c>
      <c r="H88" s="373">
        <v>2</v>
      </c>
      <c r="I88" s="373" t="s">
        <v>29</v>
      </c>
      <c r="J88" s="373">
        <v>1</v>
      </c>
      <c r="K88" s="212" t="str">
        <f t="shared" si="14"/>
        <v>1</v>
      </c>
      <c r="L88" s="210" t="str">
        <f>VLOOKUP($B88,Invulblad!$A$11:$S$103,13,0)</f>
        <v>1</v>
      </c>
      <c r="M88" s="211">
        <f>IF(L88&lt;&gt;"",VLOOKUP($B88,Invulblad!$A$11:$S$103,7,0),"")</f>
        <v>2</v>
      </c>
      <c r="N88" s="209" t="s">
        <v>29</v>
      </c>
      <c r="O88" s="211">
        <f>IF(L88&lt;&gt;"",VLOOKUP($B88,Invulblad!$A$11:$S$103,9,0),"")</f>
        <v>1</v>
      </c>
      <c r="P88" s="212">
        <f>IF(L88&lt;&gt;"",IF(AND(M88=H88,O88=J88),10,IF(K88=L88,5,0)),"")</f>
        <v>10</v>
      </c>
    </row>
    <row r="89" spans="1:16">
      <c r="A89" s="188">
        <v>76</v>
      </c>
      <c r="B89" s="195">
        <v>58</v>
      </c>
      <c r="C89" s="332">
        <v>41824</v>
      </c>
      <c r="D89" s="333">
        <v>0.75</v>
      </c>
      <c r="E89" s="189" t="s">
        <v>143</v>
      </c>
      <c r="F89" s="189" t="s">
        <v>29</v>
      </c>
      <c r="G89" s="189" t="s">
        <v>177</v>
      </c>
      <c r="H89" s="373">
        <v>1</v>
      </c>
      <c r="I89" s="373" t="s">
        <v>29</v>
      </c>
      <c r="J89" s="373">
        <v>1</v>
      </c>
      <c r="K89" s="212">
        <f t="shared" si="14"/>
        <v>3</v>
      </c>
      <c r="L89" s="210">
        <f>VLOOKUP($B89,Invulblad!$A$11:$S$103,13,0)</f>
        <v>2</v>
      </c>
      <c r="M89" s="211">
        <f>IF(L89&lt;&gt;"",VLOOKUP($B89,Invulblad!$A$11:$S$103,7,0),"")</f>
        <v>0</v>
      </c>
      <c r="N89" s="209" t="s">
        <v>29</v>
      </c>
      <c r="O89" s="211">
        <f>IF(L89&lt;&gt;"",VLOOKUP($B89,Invulblad!$A$11:$S$103,9,0),"")</f>
        <v>1</v>
      </c>
      <c r="P89" s="212">
        <f>IF(L89&lt;&gt;"",IF(AND(M89=H89,O89=J89),10,IF(K89=L89,5,0)),"")</f>
        <v>0</v>
      </c>
    </row>
    <row r="90" spans="1:16">
      <c r="A90" s="188">
        <v>77</v>
      </c>
      <c r="B90" s="195">
        <v>59</v>
      </c>
      <c r="C90" s="332">
        <v>41825</v>
      </c>
      <c r="D90" s="333">
        <v>0.91666666666666663</v>
      </c>
      <c r="E90" s="189" t="s">
        <v>135</v>
      </c>
      <c r="F90" s="189" t="s">
        <v>29</v>
      </c>
      <c r="G90" s="189" t="s">
        <v>193</v>
      </c>
      <c r="H90" s="373">
        <v>0</v>
      </c>
      <c r="I90" s="373" t="s">
        <v>29</v>
      </c>
      <c r="J90" s="373">
        <v>1</v>
      </c>
      <c r="K90" s="212">
        <f t="shared" si="14"/>
        <v>2</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202</v>
      </c>
      <c r="H91" s="373">
        <v>2</v>
      </c>
      <c r="I91" s="373" t="s">
        <v>29</v>
      </c>
      <c r="J91" s="373">
        <v>1</v>
      </c>
      <c r="K91" s="212" t="str">
        <f t="shared" si="14"/>
        <v>1</v>
      </c>
      <c r="L91" s="210"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H92" s="367"/>
      <c r="I92" s="367"/>
      <c r="J92" s="367"/>
      <c r="K92" s="213" t="str">
        <f t="shared" si="14"/>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72" t="s">
        <v>93</v>
      </c>
      <c r="I93" s="372"/>
      <c r="J93" s="372"/>
      <c r="K93" s="213"/>
      <c r="L93" s="210"/>
      <c r="M93" s="211"/>
      <c r="O93" s="211"/>
    </row>
    <row r="94" spans="1:16">
      <c r="A94" s="188">
        <v>81</v>
      </c>
      <c r="B94" s="195">
        <v>61</v>
      </c>
      <c r="C94" s="332"/>
      <c r="D94" s="333"/>
      <c r="E94" s="189" t="s">
        <v>199</v>
      </c>
      <c r="F94" s="189" t="s">
        <v>29</v>
      </c>
      <c r="G94" s="189" t="s">
        <v>143</v>
      </c>
      <c r="H94" s="373">
        <v>3</v>
      </c>
      <c r="I94" s="373" t="s">
        <v>29</v>
      </c>
      <c r="J94" s="373">
        <v>1</v>
      </c>
      <c r="K94" s="212" t="str">
        <f t="shared" si="14"/>
        <v>1</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c r="D95" s="333"/>
      <c r="E95" s="189" t="s">
        <v>193</v>
      </c>
      <c r="F95" s="189" t="s">
        <v>29</v>
      </c>
      <c r="G95" s="189" t="s">
        <v>102</v>
      </c>
      <c r="H95" s="373">
        <v>1</v>
      </c>
      <c r="I95" s="373" t="s">
        <v>29</v>
      </c>
      <c r="J95" s="373">
        <v>1</v>
      </c>
      <c r="K95" s="212">
        <f t="shared" si="14"/>
        <v>3</v>
      </c>
      <c r="L95" s="210">
        <f>VLOOKUP($B95,Invulblad!$A$11:$S$103,13,0)</f>
        <v>3</v>
      </c>
      <c r="M95" s="211">
        <f>IF(L95&lt;&gt;"",VLOOKUP($B95,Invulblad!$A$11:$S$103,7,0),"")</f>
        <v>0</v>
      </c>
      <c r="N95" s="209" t="s">
        <v>29</v>
      </c>
      <c r="O95" s="211">
        <f>IF(L95&lt;&gt;"",VLOOKUP($B95,Invulblad!$A$11:$S$103,9,0),"")</f>
        <v>0</v>
      </c>
      <c r="P95" s="212">
        <f>IF(L95&lt;&gt;"",IF(AND(M95=H95,O95=J95),10,IF(K95=L95,5,0)),"")</f>
        <v>5</v>
      </c>
    </row>
    <row r="96" spans="1:16">
      <c r="A96" s="188">
        <v>83</v>
      </c>
      <c r="B96" s="201"/>
      <c r="H96" s="367"/>
      <c r="I96" s="367"/>
      <c r="J96" s="367"/>
      <c r="K96" s="213" t="str">
        <f t="shared" si="14"/>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72" t="s">
        <v>93</v>
      </c>
      <c r="I97" s="372"/>
      <c r="J97" s="372"/>
      <c r="K97" s="213"/>
      <c r="L97" s="210"/>
      <c r="M97" s="211"/>
      <c r="N97" s="209"/>
      <c r="O97" s="211"/>
    </row>
    <row r="98" spans="1:16">
      <c r="A98" s="188">
        <v>85</v>
      </c>
      <c r="B98" s="195">
        <v>63</v>
      </c>
      <c r="C98" s="332"/>
      <c r="D98" s="333"/>
      <c r="E98" s="189" t="s">
        <v>143</v>
      </c>
      <c r="F98" s="189" t="s">
        <v>29</v>
      </c>
      <c r="G98" s="189" t="s">
        <v>193</v>
      </c>
      <c r="H98" s="373">
        <v>1</v>
      </c>
      <c r="I98" s="373" t="s">
        <v>29</v>
      </c>
      <c r="J98" s="373">
        <v>0</v>
      </c>
      <c r="K98" s="212" t="str">
        <f t="shared" si="14"/>
        <v>1</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c r="H99" s="367"/>
      <c r="I99" s="367"/>
      <c r="J99" s="367"/>
      <c r="K99" s="213" t="str">
        <f t="shared" si="14"/>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72" t="s">
        <v>93</v>
      </c>
      <c r="I100" s="372"/>
      <c r="J100" s="372"/>
      <c r="K100" s="213"/>
      <c r="L100" s="210"/>
      <c r="M100" s="211"/>
      <c r="N100" s="209"/>
      <c r="O100" s="211"/>
    </row>
    <row r="101" spans="1:16">
      <c r="A101" s="188">
        <v>88</v>
      </c>
      <c r="B101" s="195">
        <v>64</v>
      </c>
      <c r="C101" s="332">
        <v>41833</v>
      </c>
      <c r="D101" s="333">
        <v>0.875</v>
      </c>
      <c r="E101" s="189" t="s">
        <v>199</v>
      </c>
      <c r="F101" s="189" t="s">
        <v>29</v>
      </c>
      <c r="G101" s="189" t="s">
        <v>102</v>
      </c>
      <c r="H101" s="373">
        <v>1</v>
      </c>
      <c r="I101" s="373" t="s">
        <v>29</v>
      </c>
      <c r="J101" s="373">
        <v>1</v>
      </c>
      <c r="K101" s="212">
        <f t="shared" si="14"/>
        <v>3</v>
      </c>
      <c r="L101" s="210" t="str">
        <f>VLOOKUP($B101,Invulblad!$A$11:$S$103,13,0)</f>
        <v>1</v>
      </c>
      <c r="M101" s="211">
        <f>IF(L101&lt;&gt;"",VLOOKUP($B101,Invulblad!$A$11:$S$103,7,0),"")</f>
        <v>1</v>
      </c>
      <c r="N101" s="209" t="s">
        <v>29</v>
      </c>
      <c r="O101" s="211">
        <f>IF(L101&lt;&gt;"",VLOOKUP($B101,Invulblad!$A$11:$S$103,9,0),"")</f>
        <v>0</v>
      </c>
      <c r="P101" s="212">
        <f>IF(L101&lt;&gt;"",IF(AND(M101=H101,O101=J101),10,IF(K101=L101,5,0)),"")</f>
        <v>0</v>
      </c>
    </row>
    <row r="102" spans="1:16">
      <c r="B102" s="208" t="s">
        <v>517</v>
      </c>
      <c r="C102" s="208"/>
      <c r="D102" s="208"/>
      <c r="E102" s="208"/>
      <c r="F102" s="208"/>
      <c r="G102" s="208"/>
      <c r="H102" s="363"/>
      <c r="I102" s="363"/>
      <c r="J102" s="363"/>
      <c r="K102" s="208"/>
      <c r="L102" s="214"/>
      <c r="M102" s="211"/>
      <c r="N102" s="209"/>
      <c r="O102" s="211"/>
    </row>
    <row r="103" spans="1:16">
      <c r="H103" s="360"/>
      <c r="I103" s="360"/>
      <c r="J103" s="360"/>
      <c r="M103" s="211"/>
      <c r="N103" s="209"/>
      <c r="O103" s="211"/>
    </row>
    <row r="104" spans="1:16">
      <c r="H104" s="360"/>
      <c r="I104" s="360"/>
      <c r="J104" s="360"/>
      <c r="M104" s="211"/>
      <c r="N104" s="209"/>
      <c r="O104" s="211"/>
    </row>
    <row r="105" spans="1:16">
      <c r="H105" s="360"/>
      <c r="I105" s="360"/>
      <c r="J105" s="360"/>
      <c r="M105" s="211"/>
      <c r="N105" s="209"/>
      <c r="O105" s="211"/>
    </row>
    <row r="106" spans="1:16">
      <c r="B106" s="201" t="s">
        <v>139</v>
      </c>
      <c r="H106" s="360"/>
      <c r="I106" s="360"/>
      <c r="J106" s="360"/>
      <c r="M106" s="211"/>
      <c r="N106" s="209"/>
      <c r="O106" s="211"/>
    </row>
    <row r="107" spans="1:16">
      <c r="B107" s="201"/>
      <c r="H107" s="360"/>
      <c r="I107" s="360"/>
      <c r="J107" s="360"/>
    </row>
    <row r="108" spans="1:16">
      <c r="A108" s="188" t="s">
        <v>65</v>
      </c>
      <c r="B108" s="189" t="s">
        <v>140</v>
      </c>
      <c r="C108" s="189" t="s">
        <v>141</v>
      </c>
      <c r="D108" s="201" t="s">
        <v>199</v>
      </c>
      <c r="H108" s="360"/>
      <c r="I108" s="360"/>
      <c r="J108" s="360"/>
      <c r="M108" s="211"/>
      <c r="N108" s="209"/>
      <c r="O108" s="211"/>
    </row>
    <row r="109" spans="1:16">
      <c r="A109" s="188" t="s">
        <v>66</v>
      </c>
      <c r="B109" s="189" t="s">
        <v>142</v>
      </c>
      <c r="C109" s="189" t="s">
        <v>141</v>
      </c>
      <c r="D109" s="201" t="s">
        <v>152</v>
      </c>
      <c r="H109" s="360"/>
      <c r="I109" s="360"/>
      <c r="J109" s="360"/>
    </row>
    <row r="110" spans="1:16">
      <c r="H110" s="360"/>
      <c r="I110" s="360"/>
      <c r="J110" s="360"/>
    </row>
    <row r="111" spans="1:16">
      <c r="H111" s="360"/>
      <c r="I111" s="360"/>
      <c r="J111" s="360"/>
    </row>
    <row r="112" spans="1:16">
      <c r="B112" s="201" t="s">
        <v>144</v>
      </c>
      <c r="H112" s="360"/>
      <c r="I112" s="360"/>
      <c r="J112" s="360"/>
    </row>
    <row r="113" spans="2:15" ht="15.75" thickBot="1">
      <c r="H113" s="360"/>
      <c r="I113" s="360"/>
      <c r="J113" s="360"/>
    </row>
    <row r="114" spans="2:15" ht="15.75" thickBot="1">
      <c r="B114" s="215" t="s">
        <v>145</v>
      </c>
      <c r="C114" s="215" t="s">
        <v>146</v>
      </c>
      <c r="D114" s="215" t="s">
        <v>147</v>
      </c>
      <c r="E114" s="215" t="s">
        <v>148</v>
      </c>
      <c r="H114" s="360"/>
      <c r="I114" s="360"/>
      <c r="J114" s="360"/>
    </row>
    <row r="115" spans="2:15" ht="15.75" thickBot="1">
      <c r="B115" s="216" t="s">
        <v>199</v>
      </c>
      <c r="C115" s="216" t="s">
        <v>172</v>
      </c>
      <c r="D115" s="216" t="s">
        <v>149</v>
      </c>
      <c r="E115" s="216" t="s">
        <v>155</v>
      </c>
      <c r="H115" s="360"/>
      <c r="I115" s="360"/>
      <c r="J115" s="360"/>
    </row>
    <row r="116" spans="2:15" ht="15.75" thickBot="1">
      <c r="B116" s="217" t="s">
        <v>389</v>
      </c>
      <c r="C116" s="217" t="s">
        <v>156</v>
      </c>
      <c r="D116" s="217" t="s">
        <v>171</v>
      </c>
      <c r="E116" s="217" t="s">
        <v>150</v>
      </c>
      <c r="H116" s="360"/>
      <c r="I116" s="360"/>
      <c r="J116" s="360"/>
    </row>
    <row r="117" spans="2:15" ht="15.75" thickBot="1">
      <c r="B117" s="216" t="s">
        <v>152</v>
      </c>
      <c r="C117" s="216" t="s">
        <v>172</v>
      </c>
      <c r="D117" s="216" t="s">
        <v>151</v>
      </c>
      <c r="E117" s="216" t="s">
        <v>155</v>
      </c>
      <c r="H117" s="360"/>
      <c r="I117" s="360"/>
      <c r="J117" s="360"/>
    </row>
    <row r="118" spans="2:15" ht="15.75" thickBot="1">
      <c r="B118" s="217" t="s">
        <v>185</v>
      </c>
      <c r="C118" s="217" t="s">
        <v>156</v>
      </c>
      <c r="D118" s="217" t="s">
        <v>180</v>
      </c>
      <c r="E118" s="217" t="s">
        <v>156</v>
      </c>
      <c r="H118" s="360"/>
      <c r="I118" s="360"/>
      <c r="J118" s="360"/>
    </row>
    <row r="119" spans="2:15">
      <c r="H119" s="360"/>
      <c r="I119" s="360"/>
      <c r="J119" s="360"/>
    </row>
    <row r="120" spans="2:15">
      <c r="H120" s="360"/>
      <c r="I120" s="360"/>
      <c r="J120" s="360"/>
    </row>
    <row r="121" spans="2:15">
      <c r="B121" s="201" t="s">
        <v>157</v>
      </c>
      <c r="H121" s="360"/>
      <c r="I121" s="360"/>
      <c r="J121" s="360"/>
    </row>
    <row r="122" spans="2:15">
      <c r="B122" s="195"/>
      <c r="H122" s="360"/>
      <c r="I122" s="360"/>
      <c r="J122" s="360"/>
    </row>
    <row r="123" spans="2:15">
      <c r="B123" s="195" t="s">
        <v>245</v>
      </c>
      <c r="H123" s="360"/>
      <c r="I123" s="360"/>
      <c r="J123" s="360"/>
    </row>
    <row r="124" spans="2:15">
      <c r="B124" s="195"/>
      <c r="H124" s="360"/>
      <c r="I124" s="360"/>
      <c r="J124" s="360"/>
    </row>
    <row r="125" spans="2:15">
      <c r="H125" s="360"/>
      <c r="I125" s="360"/>
      <c r="J125" s="360"/>
    </row>
    <row r="126" spans="2:15">
      <c r="H126" s="360"/>
      <c r="I126" s="360"/>
      <c r="J126" s="360"/>
    </row>
    <row r="127" spans="2:15">
      <c r="B127" s="218"/>
      <c r="C127" s="218"/>
      <c r="D127" s="218"/>
      <c r="E127" s="218"/>
      <c r="F127" s="218"/>
      <c r="G127" s="218"/>
      <c r="H127" s="361"/>
      <c r="I127" s="361"/>
      <c r="J127" s="361"/>
      <c r="K127" s="218"/>
      <c r="L127" s="219"/>
      <c r="M127" s="218"/>
      <c r="N127" s="218"/>
      <c r="O127" s="218"/>
    </row>
    <row r="128" spans="2:15">
      <c r="H128" s="360"/>
      <c r="I128" s="360"/>
      <c r="J128" s="360"/>
    </row>
    <row r="129" spans="1:10">
      <c r="H129" s="360"/>
      <c r="I129" s="360"/>
      <c r="J129" s="360"/>
    </row>
    <row r="130" spans="1:10">
      <c r="B130" s="201" t="s">
        <v>160</v>
      </c>
      <c r="H130" s="360"/>
      <c r="I130" s="360"/>
      <c r="J130" s="360"/>
    </row>
    <row r="131" spans="1:10">
      <c r="H131" s="360"/>
      <c r="I131" s="360"/>
      <c r="J131" s="360"/>
    </row>
    <row r="132" spans="1:10">
      <c r="A132" s="227" t="s">
        <v>67</v>
      </c>
      <c r="B132" s="189" t="s">
        <v>140</v>
      </c>
      <c r="C132" s="189" t="s">
        <v>141</v>
      </c>
      <c r="D132" s="201" t="s">
        <v>135</v>
      </c>
      <c r="H132" s="360"/>
      <c r="I132" s="360"/>
      <c r="J132" s="360"/>
    </row>
    <row r="133" spans="1:10">
      <c r="A133" s="188" t="s">
        <v>68</v>
      </c>
      <c r="B133" s="189" t="s">
        <v>142</v>
      </c>
      <c r="C133" s="189" t="s">
        <v>141</v>
      </c>
      <c r="D133" s="201" t="s">
        <v>138</v>
      </c>
      <c r="H133" s="360"/>
      <c r="I133" s="360"/>
      <c r="J133" s="360"/>
    </row>
    <row r="134" spans="1:10">
      <c r="H134" s="360"/>
      <c r="I134" s="360"/>
      <c r="J134" s="360"/>
    </row>
    <row r="135" spans="1:10">
      <c r="H135" s="360"/>
      <c r="I135" s="360"/>
      <c r="J135" s="360"/>
    </row>
    <row r="136" spans="1:10">
      <c r="B136" s="201" t="s">
        <v>161</v>
      </c>
      <c r="H136" s="360"/>
      <c r="I136" s="360"/>
      <c r="J136" s="360"/>
    </row>
    <row r="137" spans="1:10" ht="15.75" thickBot="1">
      <c r="H137" s="360"/>
      <c r="I137" s="360"/>
      <c r="J137" s="360"/>
    </row>
    <row r="138" spans="1:10" ht="15.75" thickBot="1">
      <c r="B138" s="215" t="s">
        <v>145</v>
      </c>
      <c r="C138" s="215" t="s">
        <v>146</v>
      </c>
      <c r="D138" s="215" t="s">
        <v>147</v>
      </c>
      <c r="E138" s="215" t="s">
        <v>148</v>
      </c>
      <c r="H138" s="360"/>
      <c r="I138" s="360"/>
      <c r="J138" s="360"/>
    </row>
    <row r="139" spans="1:10" ht="15.75" thickBot="1">
      <c r="B139" s="216" t="s">
        <v>138</v>
      </c>
      <c r="C139" s="216" t="s">
        <v>155</v>
      </c>
      <c r="D139" s="216" t="s">
        <v>156</v>
      </c>
      <c r="E139" s="216" t="s">
        <v>149</v>
      </c>
      <c r="H139" s="360"/>
      <c r="I139" s="360"/>
      <c r="J139" s="360"/>
    </row>
    <row r="140" spans="1:10" ht="15.75" thickBot="1">
      <c r="B140" s="217" t="s">
        <v>135</v>
      </c>
      <c r="C140" s="217" t="s">
        <v>172</v>
      </c>
      <c r="D140" s="217" t="s">
        <v>151</v>
      </c>
      <c r="E140" s="217" t="s">
        <v>149</v>
      </c>
      <c r="H140" s="360"/>
      <c r="I140" s="360"/>
      <c r="J140" s="360"/>
    </row>
    <row r="141" spans="1:10" ht="15.75" thickBot="1">
      <c r="B141" s="216" t="s">
        <v>207</v>
      </c>
      <c r="C141" s="216" t="s">
        <v>149</v>
      </c>
      <c r="D141" s="216" t="s">
        <v>150</v>
      </c>
      <c r="E141" s="216" t="s">
        <v>153</v>
      </c>
      <c r="H141" s="360"/>
      <c r="I141" s="360"/>
      <c r="J141" s="360"/>
    </row>
    <row r="142" spans="1:10" ht="15.75" thickBot="1">
      <c r="B142" s="217" t="s">
        <v>179</v>
      </c>
      <c r="C142" s="217" t="s">
        <v>150</v>
      </c>
      <c r="D142" s="217" t="s">
        <v>180</v>
      </c>
      <c r="E142" s="217" t="s">
        <v>156</v>
      </c>
      <c r="H142" s="360"/>
      <c r="I142" s="360"/>
      <c r="J142" s="360"/>
    </row>
    <row r="143" spans="1:10">
      <c r="H143" s="360"/>
      <c r="I143" s="360"/>
      <c r="J143" s="360"/>
    </row>
    <row r="144" spans="1:10">
      <c r="H144" s="360"/>
      <c r="I144" s="360"/>
      <c r="J144" s="360"/>
    </row>
    <row r="145" spans="1:15">
      <c r="B145" s="201" t="s">
        <v>166</v>
      </c>
      <c r="H145" s="360"/>
      <c r="I145" s="360"/>
      <c r="J145" s="360"/>
    </row>
    <row r="146" spans="1:15">
      <c r="B146" s="195"/>
      <c r="H146" s="360"/>
      <c r="I146" s="360"/>
      <c r="J146" s="360"/>
    </row>
    <row r="147" spans="1:15">
      <c r="B147" s="195" t="s">
        <v>167</v>
      </c>
      <c r="H147" s="360"/>
      <c r="I147" s="360"/>
      <c r="J147" s="360"/>
    </row>
    <row r="148" spans="1:15">
      <c r="B148" s="195" t="s">
        <v>168</v>
      </c>
      <c r="H148" s="360"/>
      <c r="I148" s="360"/>
      <c r="J148" s="360"/>
    </row>
    <row r="149" spans="1:15">
      <c r="H149" s="360"/>
      <c r="I149" s="360"/>
      <c r="J149" s="360"/>
    </row>
    <row r="150" spans="1:15">
      <c r="H150" s="360"/>
      <c r="I150" s="360"/>
      <c r="J150" s="360"/>
    </row>
    <row r="151" spans="1:15">
      <c r="B151" s="218"/>
      <c r="C151" s="218"/>
      <c r="D151" s="218"/>
      <c r="E151" s="218"/>
      <c r="F151" s="218"/>
      <c r="G151" s="218"/>
      <c r="H151" s="361"/>
      <c r="I151" s="361"/>
      <c r="J151" s="361"/>
      <c r="K151" s="218"/>
      <c r="L151" s="219"/>
      <c r="M151" s="218"/>
      <c r="N151" s="218"/>
      <c r="O151" s="218"/>
    </row>
    <row r="152" spans="1:15">
      <c r="H152" s="360"/>
      <c r="I152" s="360"/>
      <c r="J152" s="360"/>
    </row>
    <row r="153" spans="1:15">
      <c r="H153" s="360"/>
      <c r="I153" s="360"/>
      <c r="J153" s="360"/>
    </row>
    <row r="154" spans="1:15">
      <c r="B154" s="201" t="s">
        <v>169</v>
      </c>
      <c r="H154" s="360"/>
      <c r="I154" s="360"/>
      <c r="J154" s="360"/>
    </row>
    <row r="155" spans="1:15">
      <c r="H155" s="360"/>
      <c r="I155" s="360"/>
      <c r="J155" s="360"/>
    </row>
    <row r="156" spans="1:15">
      <c r="A156" s="188" t="s">
        <v>69</v>
      </c>
      <c r="B156" s="189" t="s">
        <v>140</v>
      </c>
      <c r="C156" s="189" t="s">
        <v>141</v>
      </c>
      <c r="D156" s="201" t="s">
        <v>187</v>
      </c>
      <c r="H156" s="360"/>
      <c r="I156" s="360"/>
      <c r="J156" s="360"/>
    </row>
    <row r="157" spans="1:15">
      <c r="A157" s="188" t="s">
        <v>70</v>
      </c>
      <c r="B157" s="189" t="s">
        <v>142</v>
      </c>
      <c r="C157" s="189" t="s">
        <v>141</v>
      </c>
      <c r="D157" s="201" t="s">
        <v>390</v>
      </c>
      <c r="H157" s="360"/>
      <c r="I157" s="360"/>
      <c r="J157" s="360"/>
    </row>
    <row r="158" spans="1:15">
      <c r="H158" s="360"/>
      <c r="I158" s="360"/>
      <c r="J158" s="360"/>
    </row>
    <row r="159" spans="1:15">
      <c r="H159" s="360"/>
      <c r="I159" s="360"/>
      <c r="J159" s="360"/>
    </row>
    <row r="160" spans="1:15">
      <c r="B160" s="201" t="s">
        <v>170</v>
      </c>
      <c r="H160" s="360"/>
      <c r="I160" s="360"/>
      <c r="J160" s="360"/>
    </row>
    <row r="161" spans="2:15" ht="15.75" thickBot="1">
      <c r="H161" s="360"/>
      <c r="I161" s="360"/>
      <c r="J161" s="360"/>
    </row>
    <row r="162" spans="2:15" ht="15.75" thickBot="1">
      <c r="B162" s="215" t="s">
        <v>145</v>
      </c>
      <c r="C162" s="215" t="s">
        <v>146</v>
      </c>
      <c r="D162" s="215" t="s">
        <v>147</v>
      </c>
      <c r="E162" s="215" t="s">
        <v>148</v>
      </c>
      <c r="H162" s="360"/>
      <c r="I162" s="360"/>
      <c r="J162" s="360"/>
    </row>
    <row r="163" spans="2:15" ht="15.75" thickBot="1">
      <c r="B163" s="216" t="s">
        <v>390</v>
      </c>
      <c r="C163" s="216" t="s">
        <v>155</v>
      </c>
      <c r="D163" s="216" t="s">
        <v>153</v>
      </c>
      <c r="E163" s="216" t="s">
        <v>149</v>
      </c>
      <c r="H163" s="360"/>
      <c r="I163" s="360"/>
      <c r="J163" s="360"/>
    </row>
    <row r="164" spans="2:15" ht="15.75" thickBot="1">
      <c r="B164" s="217" t="s">
        <v>106</v>
      </c>
      <c r="C164" s="217" t="s">
        <v>149</v>
      </c>
      <c r="D164" s="217" t="s">
        <v>150</v>
      </c>
      <c r="E164" s="217" t="s">
        <v>151</v>
      </c>
      <c r="H164" s="360"/>
      <c r="I164" s="360"/>
      <c r="J164" s="360"/>
    </row>
    <row r="165" spans="2:15" ht="15.75" thickBot="1">
      <c r="B165" s="216" t="s">
        <v>200</v>
      </c>
      <c r="C165" s="216" t="s">
        <v>150</v>
      </c>
      <c r="D165" s="216" t="s">
        <v>180</v>
      </c>
      <c r="E165" s="216" t="s">
        <v>156</v>
      </c>
      <c r="H165" s="360"/>
      <c r="I165" s="360"/>
      <c r="J165" s="360"/>
    </row>
    <row r="166" spans="2:15" ht="15.75" thickBot="1">
      <c r="B166" s="217" t="s">
        <v>187</v>
      </c>
      <c r="C166" s="217" t="s">
        <v>172</v>
      </c>
      <c r="D166" s="217" t="s">
        <v>153</v>
      </c>
      <c r="E166" s="217" t="s">
        <v>155</v>
      </c>
      <c r="H166" s="360"/>
      <c r="I166" s="360"/>
      <c r="J166" s="360"/>
    </row>
    <row r="167" spans="2:15">
      <c r="H167" s="360"/>
      <c r="I167" s="360"/>
      <c r="J167" s="360"/>
    </row>
    <row r="168" spans="2:15">
      <c r="H168" s="360"/>
      <c r="I168" s="360"/>
      <c r="J168" s="360"/>
    </row>
    <row r="169" spans="2:15">
      <c r="B169" s="201" t="s">
        <v>173</v>
      </c>
      <c r="H169" s="360"/>
      <c r="I169" s="360"/>
      <c r="J169" s="360"/>
    </row>
    <row r="170" spans="2:15">
      <c r="B170" s="195"/>
      <c r="H170" s="360"/>
      <c r="I170" s="360"/>
      <c r="J170" s="360"/>
    </row>
    <row r="171" spans="2:15">
      <c r="B171" s="195" t="s">
        <v>174</v>
      </c>
      <c r="H171" s="360"/>
      <c r="I171" s="360"/>
      <c r="J171" s="360"/>
    </row>
    <row r="172" spans="2:15">
      <c r="B172" s="195" t="s">
        <v>175</v>
      </c>
      <c r="H172" s="360"/>
      <c r="I172" s="360"/>
      <c r="J172" s="360"/>
    </row>
    <row r="173" spans="2:15">
      <c r="H173" s="360"/>
      <c r="I173" s="360"/>
      <c r="J173" s="360"/>
    </row>
    <row r="174" spans="2:15">
      <c r="H174" s="360"/>
      <c r="I174" s="360"/>
      <c r="J174" s="360"/>
    </row>
    <row r="175" spans="2:15">
      <c r="B175" s="218"/>
      <c r="C175" s="218"/>
      <c r="D175" s="218"/>
      <c r="E175" s="218"/>
      <c r="F175" s="218"/>
      <c r="G175" s="218"/>
      <c r="H175" s="361"/>
      <c r="I175" s="361"/>
      <c r="J175" s="361"/>
      <c r="K175" s="218"/>
      <c r="L175" s="219"/>
      <c r="M175" s="218"/>
      <c r="N175" s="218"/>
      <c r="O175" s="218"/>
    </row>
    <row r="176" spans="2:15">
      <c r="H176" s="360"/>
      <c r="I176" s="360"/>
      <c r="J176" s="360"/>
    </row>
    <row r="177" spans="1:10">
      <c r="H177" s="360"/>
      <c r="I177" s="360"/>
      <c r="J177" s="360"/>
    </row>
    <row r="178" spans="1:10">
      <c r="B178" s="201" t="s">
        <v>176</v>
      </c>
      <c r="H178" s="360"/>
      <c r="I178" s="360"/>
      <c r="J178" s="360"/>
    </row>
    <row r="179" spans="1:10">
      <c r="H179" s="360"/>
      <c r="I179" s="360"/>
      <c r="J179" s="360"/>
    </row>
    <row r="180" spans="1:10">
      <c r="A180" s="188" t="s">
        <v>71</v>
      </c>
      <c r="B180" s="189" t="s">
        <v>140</v>
      </c>
      <c r="C180" s="189" t="s">
        <v>141</v>
      </c>
      <c r="D180" s="201" t="s">
        <v>193</v>
      </c>
      <c r="H180" s="360"/>
      <c r="I180" s="360"/>
      <c r="J180" s="360"/>
    </row>
    <row r="181" spans="1:10">
      <c r="A181" s="188" t="s">
        <v>72</v>
      </c>
      <c r="B181" s="189" t="s">
        <v>142</v>
      </c>
      <c r="C181" s="189" t="s">
        <v>141</v>
      </c>
      <c r="D181" s="201" t="s">
        <v>97</v>
      </c>
      <c r="H181" s="360"/>
      <c r="I181" s="360"/>
      <c r="J181" s="360"/>
    </row>
    <row r="182" spans="1:10">
      <c r="H182" s="360"/>
      <c r="I182" s="360"/>
      <c r="J182" s="360"/>
    </row>
    <row r="183" spans="1:10">
      <c r="H183" s="360"/>
      <c r="I183" s="360"/>
      <c r="J183" s="360"/>
    </row>
    <row r="184" spans="1:10">
      <c r="B184" s="201" t="s">
        <v>178</v>
      </c>
      <c r="H184" s="360"/>
      <c r="I184" s="360"/>
      <c r="J184" s="360"/>
    </row>
    <row r="185" spans="1:10" ht="15.75" thickBot="1">
      <c r="H185" s="360"/>
      <c r="I185" s="360"/>
      <c r="J185" s="360"/>
    </row>
    <row r="186" spans="1:10" ht="15.75" thickBot="1">
      <c r="B186" s="215" t="s">
        <v>145</v>
      </c>
      <c r="C186" s="215" t="s">
        <v>146</v>
      </c>
      <c r="D186" s="215" t="s">
        <v>147</v>
      </c>
      <c r="E186" s="215" t="s">
        <v>148</v>
      </c>
      <c r="H186" s="360"/>
      <c r="I186" s="360"/>
      <c r="J186" s="360"/>
    </row>
    <row r="187" spans="1:10" ht="15.75" thickBot="1">
      <c r="B187" s="216" t="s">
        <v>97</v>
      </c>
      <c r="C187" s="216" t="s">
        <v>155</v>
      </c>
      <c r="D187" s="216" t="s">
        <v>153</v>
      </c>
      <c r="E187" s="216" t="s">
        <v>151</v>
      </c>
      <c r="H187" s="360"/>
      <c r="I187" s="360"/>
      <c r="J187" s="360"/>
    </row>
    <row r="188" spans="1:10" ht="15.75" thickBot="1">
      <c r="B188" s="217" t="s">
        <v>391</v>
      </c>
      <c r="C188" s="217" t="s">
        <v>150</v>
      </c>
      <c r="D188" s="217" t="s">
        <v>162</v>
      </c>
      <c r="E188" s="217" t="s">
        <v>156</v>
      </c>
      <c r="H188" s="360"/>
      <c r="I188" s="360"/>
      <c r="J188" s="360"/>
    </row>
    <row r="189" spans="1:10" ht="15.75" thickBot="1">
      <c r="B189" s="216" t="s">
        <v>109</v>
      </c>
      <c r="C189" s="216" t="s">
        <v>149</v>
      </c>
      <c r="D189" s="216" t="s">
        <v>156</v>
      </c>
      <c r="E189" s="216" t="s">
        <v>155</v>
      </c>
      <c r="H189" s="360"/>
      <c r="I189" s="360"/>
      <c r="J189" s="360"/>
    </row>
    <row r="190" spans="1:10" ht="15.75" thickBot="1">
      <c r="B190" s="217" t="s">
        <v>193</v>
      </c>
      <c r="C190" s="217" t="s">
        <v>172</v>
      </c>
      <c r="D190" s="217" t="s">
        <v>153</v>
      </c>
      <c r="E190" s="217" t="s">
        <v>151</v>
      </c>
      <c r="H190" s="360"/>
      <c r="I190" s="360"/>
      <c r="J190" s="360"/>
    </row>
    <row r="191" spans="1:10">
      <c r="H191" s="360"/>
      <c r="I191" s="360"/>
      <c r="J191" s="360"/>
    </row>
    <row r="192" spans="1:10">
      <c r="H192" s="360"/>
      <c r="I192" s="360"/>
      <c r="J192" s="360"/>
    </row>
    <row r="193" spans="1:15">
      <c r="B193" s="201" t="s">
        <v>182</v>
      </c>
      <c r="H193" s="360"/>
      <c r="I193" s="360"/>
      <c r="J193" s="360"/>
    </row>
    <row r="194" spans="1:15">
      <c r="B194" s="195"/>
      <c r="H194" s="360"/>
      <c r="I194" s="360"/>
      <c r="J194" s="360"/>
    </row>
    <row r="195" spans="1:15">
      <c r="B195" s="195" t="s">
        <v>239</v>
      </c>
      <c r="H195" s="360"/>
      <c r="I195" s="360"/>
      <c r="J195" s="360"/>
    </row>
    <row r="196" spans="1:15">
      <c r="B196" s="195" t="s">
        <v>240</v>
      </c>
      <c r="H196" s="360"/>
      <c r="I196" s="360"/>
      <c r="J196" s="360"/>
    </row>
    <row r="197" spans="1:15">
      <c r="H197" s="360"/>
      <c r="I197" s="360"/>
      <c r="J197" s="360"/>
    </row>
    <row r="198" spans="1:15">
      <c r="H198" s="360"/>
      <c r="I198" s="360"/>
      <c r="J198" s="360"/>
      <c r="K198" s="218"/>
      <c r="L198" s="219"/>
      <c r="M198" s="218"/>
      <c r="N198" s="218"/>
      <c r="O198" s="218"/>
    </row>
    <row r="199" spans="1:15">
      <c r="B199" s="218"/>
      <c r="C199" s="218"/>
      <c r="D199" s="218"/>
      <c r="E199" s="218"/>
      <c r="F199" s="218"/>
      <c r="G199" s="218"/>
      <c r="H199" s="361"/>
      <c r="I199" s="361"/>
      <c r="J199" s="361"/>
    </row>
    <row r="200" spans="1:15">
      <c r="H200" s="360"/>
      <c r="I200" s="360"/>
      <c r="J200" s="360"/>
    </row>
    <row r="201" spans="1:15">
      <c r="H201" s="360"/>
      <c r="I201" s="360"/>
      <c r="J201" s="360"/>
    </row>
    <row r="202" spans="1:15">
      <c r="B202" s="201" t="s">
        <v>184</v>
      </c>
      <c r="H202" s="360"/>
      <c r="I202" s="360"/>
      <c r="J202" s="360"/>
    </row>
    <row r="203" spans="1:15">
      <c r="H203" s="360"/>
      <c r="I203" s="360"/>
      <c r="J203" s="360"/>
    </row>
    <row r="204" spans="1:15">
      <c r="A204" s="188" t="s">
        <v>73</v>
      </c>
      <c r="B204" s="189" t="s">
        <v>140</v>
      </c>
      <c r="C204" s="189" t="s">
        <v>141</v>
      </c>
      <c r="D204" s="201" t="s">
        <v>143</v>
      </c>
      <c r="H204" s="360"/>
      <c r="I204" s="360"/>
      <c r="J204" s="360"/>
    </row>
    <row r="205" spans="1:15">
      <c r="A205" s="188" t="s">
        <v>74</v>
      </c>
      <c r="B205" s="189" t="s">
        <v>142</v>
      </c>
      <c r="C205" s="189" t="s">
        <v>141</v>
      </c>
      <c r="D205" s="201" t="s">
        <v>209</v>
      </c>
      <c r="H205" s="360"/>
      <c r="I205" s="360"/>
      <c r="J205" s="360"/>
    </row>
    <row r="206" spans="1:15">
      <c r="H206" s="360"/>
      <c r="I206" s="360"/>
      <c r="J206" s="360"/>
    </row>
    <row r="207" spans="1:15">
      <c r="H207" s="360"/>
      <c r="I207" s="360"/>
      <c r="J207" s="360"/>
    </row>
    <row r="208" spans="1:15">
      <c r="B208" s="201" t="s">
        <v>186</v>
      </c>
      <c r="H208" s="360"/>
      <c r="I208" s="360"/>
      <c r="J208" s="360"/>
    </row>
    <row r="209" spans="2:15" ht="15.75" thickBot="1">
      <c r="H209" s="360"/>
      <c r="I209" s="360"/>
      <c r="J209" s="360"/>
    </row>
    <row r="210" spans="2:15" ht="15.75" thickBot="1">
      <c r="B210" s="215" t="s">
        <v>145</v>
      </c>
      <c r="C210" s="215" t="s">
        <v>146</v>
      </c>
      <c r="D210" s="215" t="s">
        <v>147</v>
      </c>
      <c r="E210" s="215" t="s">
        <v>148</v>
      </c>
      <c r="H210" s="360"/>
      <c r="I210" s="360"/>
      <c r="J210" s="360"/>
    </row>
    <row r="211" spans="2:15" ht="15.75" thickBot="1">
      <c r="B211" s="216" t="s">
        <v>209</v>
      </c>
      <c r="C211" s="216" t="s">
        <v>172</v>
      </c>
      <c r="D211" s="216" t="s">
        <v>153</v>
      </c>
      <c r="E211" s="216" t="s">
        <v>151</v>
      </c>
      <c r="H211" s="360"/>
      <c r="I211" s="360"/>
      <c r="J211" s="360"/>
    </row>
    <row r="212" spans="2:15" ht="15.75" thickBot="1">
      <c r="B212" s="217" t="s">
        <v>392</v>
      </c>
      <c r="C212" s="217" t="s">
        <v>156</v>
      </c>
      <c r="D212" s="217" t="s">
        <v>171</v>
      </c>
      <c r="E212" s="217" t="s">
        <v>153</v>
      </c>
      <c r="H212" s="360"/>
      <c r="I212" s="360"/>
      <c r="J212" s="360"/>
    </row>
    <row r="213" spans="2:15" ht="15.75" thickBot="1">
      <c r="B213" s="216" t="s">
        <v>143</v>
      </c>
      <c r="C213" s="216" t="s">
        <v>172</v>
      </c>
      <c r="D213" s="216" t="s">
        <v>155</v>
      </c>
      <c r="E213" s="216" t="s">
        <v>164</v>
      </c>
      <c r="H213" s="360"/>
      <c r="I213" s="360"/>
      <c r="J213" s="360"/>
    </row>
    <row r="214" spans="2:15" ht="15.75" thickBot="1">
      <c r="B214" s="217" t="s">
        <v>210</v>
      </c>
      <c r="C214" s="217" t="s">
        <v>156</v>
      </c>
      <c r="D214" s="217" t="s">
        <v>180</v>
      </c>
      <c r="E214" s="217" t="s">
        <v>153</v>
      </c>
      <c r="H214" s="360"/>
      <c r="I214" s="360"/>
      <c r="J214" s="360"/>
    </row>
    <row r="215" spans="2:15">
      <c r="H215" s="360"/>
      <c r="I215" s="360"/>
      <c r="J215" s="360"/>
    </row>
    <row r="216" spans="2:15">
      <c r="H216" s="360"/>
      <c r="I216" s="360"/>
      <c r="J216" s="360"/>
    </row>
    <row r="217" spans="2:15">
      <c r="B217" s="201" t="s">
        <v>189</v>
      </c>
      <c r="H217" s="360"/>
      <c r="I217" s="360"/>
      <c r="J217" s="360"/>
    </row>
    <row r="218" spans="2:15">
      <c r="B218" s="195"/>
      <c r="H218" s="360"/>
      <c r="I218" s="360"/>
      <c r="J218" s="360"/>
    </row>
    <row r="219" spans="2:15">
      <c r="B219" s="195" t="s">
        <v>524</v>
      </c>
      <c r="H219" s="360"/>
      <c r="I219" s="360"/>
      <c r="J219" s="360"/>
    </row>
    <row r="220" spans="2:15">
      <c r="B220" s="195"/>
      <c r="H220" s="360"/>
      <c r="I220" s="360"/>
      <c r="J220" s="360"/>
    </row>
    <row r="221" spans="2:15">
      <c r="H221" s="360"/>
      <c r="I221" s="360"/>
      <c r="J221" s="360"/>
    </row>
    <row r="222" spans="2:15">
      <c r="H222" s="360"/>
      <c r="I222" s="360"/>
      <c r="J222" s="360"/>
      <c r="K222" s="218"/>
      <c r="L222" s="219"/>
      <c r="M222" s="218"/>
      <c r="N222" s="218"/>
      <c r="O222" s="218"/>
    </row>
    <row r="223" spans="2:15">
      <c r="B223" s="218"/>
      <c r="C223" s="218"/>
      <c r="D223" s="218"/>
      <c r="E223" s="218"/>
      <c r="F223" s="218"/>
      <c r="G223" s="218"/>
      <c r="H223" s="361"/>
      <c r="I223" s="361"/>
      <c r="J223" s="361"/>
    </row>
    <row r="224" spans="2:15">
      <c r="H224" s="360"/>
      <c r="I224" s="360"/>
      <c r="J224" s="360"/>
    </row>
    <row r="225" spans="1:10">
      <c r="H225" s="360"/>
      <c r="I225" s="360"/>
      <c r="J225" s="360"/>
    </row>
    <row r="226" spans="1:10">
      <c r="B226" s="201" t="s">
        <v>192</v>
      </c>
      <c r="H226" s="360"/>
      <c r="I226" s="360"/>
      <c r="J226" s="360"/>
    </row>
    <row r="227" spans="1:10">
      <c r="H227" s="360"/>
      <c r="I227" s="360"/>
      <c r="J227" s="360"/>
    </row>
    <row r="228" spans="1:10">
      <c r="A228" s="188" t="s">
        <v>75</v>
      </c>
      <c r="B228" s="189" t="s">
        <v>140</v>
      </c>
      <c r="C228" s="189" t="s">
        <v>141</v>
      </c>
      <c r="D228" s="201" t="s">
        <v>102</v>
      </c>
      <c r="H228" s="360"/>
      <c r="I228" s="360"/>
      <c r="J228" s="360"/>
    </row>
    <row r="229" spans="1:10">
      <c r="A229" s="188" t="s">
        <v>76</v>
      </c>
      <c r="B229" s="189" t="s">
        <v>142</v>
      </c>
      <c r="C229" s="189" t="s">
        <v>141</v>
      </c>
      <c r="D229" s="201" t="s">
        <v>572</v>
      </c>
      <c r="H229" s="360"/>
      <c r="I229" s="360"/>
      <c r="J229" s="360"/>
    </row>
    <row r="230" spans="1:10">
      <c r="H230" s="360"/>
      <c r="I230" s="360"/>
      <c r="J230" s="360"/>
    </row>
    <row r="231" spans="1:10">
      <c r="H231" s="360"/>
      <c r="I231" s="360"/>
      <c r="J231" s="360"/>
    </row>
    <row r="232" spans="1:10">
      <c r="B232" s="201" t="s">
        <v>194</v>
      </c>
      <c r="H232" s="360"/>
      <c r="I232" s="360"/>
      <c r="J232" s="360"/>
    </row>
    <row r="233" spans="1:10" ht="15.75" thickBot="1">
      <c r="H233" s="360"/>
      <c r="I233" s="360"/>
      <c r="J233" s="360"/>
    </row>
    <row r="234" spans="1:10" ht="15.75" thickBot="1">
      <c r="B234" s="215" t="s">
        <v>145</v>
      </c>
      <c r="C234" s="215" t="s">
        <v>146</v>
      </c>
      <c r="D234" s="215" t="s">
        <v>147</v>
      </c>
      <c r="E234" s="215" t="s">
        <v>148</v>
      </c>
      <c r="H234" s="360"/>
      <c r="I234" s="360"/>
      <c r="J234" s="360"/>
    </row>
    <row r="235" spans="1:10" ht="15.75" thickBot="1">
      <c r="B235" s="216" t="s">
        <v>102</v>
      </c>
      <c r="C235" s="216" t="s">
        <v>172</v>
      </c>
      <c r="D235" s="216" t="s">
        <v>155</v>
      </c>
      <c r="E235" s="216" t="s">
        <v>172</v>
      </c>
      <c r="H235" s="360"/>
      <c r="I235" s="360"/>
      <c r="J235" s="360"/>
    </row>
    <row r="236" spans="1:10" ht="15.75" thickBot="1">
      <c r="B236" s="217" t="s">
        <v>572</v>
      </c>
      <c r="C236" s="217" t="s">
        <v>172</v>
      </c>
      <c r="D236" s="217" t="s">
        <v>149</v>
      </c>
      <c r="E236" s="217" t="s">
        <v>155</v>
      </c>
      <c r="H236" s="360"/>
      <c r="I236" s="360"/>
      <c r="J236" s="360"/>
    </row>
    <row r="237" spans="1:10" ht="15.75" thickBot="1">
      <c r="B237" s="216" t="s">
        <v>394</v>
      </c>
      <c r="C237" s="216" t="s">
        <v>151</v>
      </c>
      <c r="D237" s="216" t="s">
        <v>171</v>
      </c>
      <c r="E237" s="216" t="s">
        <v>153</v>
      </c>
      <c r="H237" s="360"/>
      <c r="I237" s="360"/>
      <c r="J237" s="360"/>
    </row>
    <row r="238" spans="1:10" ht="15.75" thickBot="1">
      <c r="B238" s="217" t="s">
        <v>108</v>
      </c>
      <c r="C238" s="217" t="s">
        <v>150</v>
      </c>
      <c r="D238" s="217" t="s">
        <v>241</v>
      </c>
      <c r="E238" s="217" t="s">
        <v>150</v>
      </c>
      <c r="H238" s="360"/>
      <c r="I238" s="360"/>
      <c r="J238" s="360"/>
    </row>
    <row r="239" spans="1:10">
      <c r="H239" s="360"/>
      <c r="I239" s="360"/>
      <c r="J239" s="360"/>
    </row>
    <row r="240" spans="1:10">
      <c r="H240" s="360"/>
      <c r="I240" s="360"/>
      <c r="J240" s="360"/>
    </row>
    <row r="241" spans="1:15">
      <c r="B241" s="201" t="s">
        <v>195</v>
      </c>
      <c r="H241" s="360"/>
      <c r="I241" s="360"/>
      <c r="J241" s="360"/>
    </row>
    <row r="242" spans="1:15">
      <c r="B242" s="195"/>
      <c r="H242" s="360"/>
      <c r="I242" s="360"/>
      <c r="J242" s="360"/>
    </row>
    <row r="243" spans="1:15">
      <c r="B243" s="195" t="s">
        <v>242</v>
      </c>
      <c r="H243" s="360"/>
      <c r="I243" s="360"/>
      <c r="J243" s="360"/>
    </row>
    <row r="244" spans="1:15">
      <c r="B244" s="195"/>
      <c r="H244" s="360"/>
      <c r="I244" s="360"/>
      <c r="J244" s="360"/>
    </row>
    <row r="245" spans="1:15">
      <c r="H245" s="360"/>
      <c r="I245" s="360"/>
      <c r="J245" s="360"/>
    </row>
    <row r="246" spans="1:15">
      <c r="H246" s="360"/>
      <c r="I246" s="360"/>
      <c r="J246" s="360"/>
      <c r="K246" s="218"/>
      <c r="L246" s="219"/>
      <c r="M246" s="218"/>
      <c r="N246" s="218"/>
      <c r="O246" s="218"/>
    </row>
    <row r="247" spans="1:15">
      <c r="B247" s="218"/>
      <c r="C247" s="218"/>
      <c r="D247" s="218"/>
      <c r="E247" s="218"/>
      <c r="F247" s="218"/>
      <c r="G247" s="218"/>
      <c r="H247" s="361"/>
      <c r="I247" s="361"/>
      <c r="J247" s="361"/>
    </row>
    <row r="248" spans="1:15">
      <c r="H248" s="360"/>
      <c r="I248" s="360"/>
      <c r="J248" s="360"/>
    </row>
    <row r="249" spans="1:15">
      <c r="H249" s="360"/>
      <c r="I249" s="360"/>
      <c r="J249" s="360"/>
    </row>
    <row r="250" spans="1:15">
      <c r="B250" s="201" t="s">
        <v>198</v>
      </c>
      <c r="H250" s="360"/>
      <c r="I250" s="360"/>
      <c r="J250" s="360"/>
    </row>
    <row r="251" spans="1:15">
      <c r="H251" s="360"/>
      <c r="I251" s="360"/>
      <c r="J251" s="360"/>
    </row>
    <row r="252" spans="1:15">
      <c r="A252" s="188" t="s">
        <v>77</v>
      </c>
      <c r="B252" s="189" t="s">
        <v>140</v>
      </c>
      <c r="C252" s="189" t="s">
        <v>141</v>
      </c>
      <c r="D252" s="201" t="s">
        <v>177</v>
      </c>
      <c r="H252" s="360"/>
      <c r="I252" s="360"/>
      <c r="J252" s="360"/>
    </row>
    <row r="253" spans="1:15">
      <c r="A253" s="188" t="s">
        <v>78</v>
      </c>
      <c r="B253" s="189" t="s">
        <v>142</v>
      </c>
      <c r="C253" s="189" t="s">
        <v>141</v>
      </c>
      <c r="D253" s="201" t="s">
        <v>202</v>
      </c>
      <c r="H253" s="360"/>
      <c r="I253" s="360"/>
      <c r="J253" s="360"/>
    </row>
    <row r="254" spans="1:15">
      <c r="H254" s="360"/>
      <c r="I254" s="360"/>
      <c r="J254" s="360"/>
    </row>
    <row r="255" spans="1:15">
      <c r="H255" s="360"/>
      <c r="I255" s="360"/>
      <c r="J255" s="360"/>
    </row>
    <row r="256" spans="1:15">
      <c r="B256" s="201" t="s">
        <v>201</v>
      </c>
      <c r="H256" s="360"/>
      <c r="I256" s="360"/>
      <c r="J256" s="360"/>
    </row>
    <row r="257" spans="2:10" ht="15.75" thickBot="1">
      <c r="H257" s="360"/>
      <c r="I257" s="360"/>
      <c r="J257" s="360"/>
    </row>
    <row r="258" spans="2:10" ht="15.75" thickBot="1">
      <c r="B258" s="215" t="s">
        <v>145</v>
      </c>
      <c r="C258" s="215" t="s">
        <v>146</v>
      </c>
      <c r="D258" s="215" t="s">
        <v>147</v>
      </c>
      <c r="E258" s="215" t="s">
        <v>148</v>
      </c>
      <c r="H258" s="360"/>
      <c r="I258" s="360"/>
      <c r="J258" s="360"/>
    </row>
    <row r="259" spans="2:10" ht="15.75" thickBot="1">
      <c r="B259" s="216" t="s">
        <v>177</v>
      </c>
      <c r="C259" s="216" t="s">
        <v>172</v>
      </c>
      <c r="D259" s="216" t="s">
        <v>153</v>
      </c>
      <c r="E259" s="216" t="s">
        <v>164</v>
      </c>
      <c r="H259" s="360"/>
      <c r="I259" s="360"/>
      <c r="J259" s="360"/>
    </row>
    <row r="260" spans="2:10" ht="15.75" thickBot="1">
      <c r="B260" s="217" t="s">
        <v>202</v>
      </c>
      <c r="C260" s="217" t="s">
        <v>172</v>
      </c>
      <c r="D260" s="217" t="s">
        <v>153</v>
      </c>
      <c r="E260" s="217" t="s">
        <v>149</v>
      </c>
      <c r="H260" s="360"/>
      <c r="I260" s="360"/>
      <c r="J260" s="360"/>
    </row>
    <row r="261" spans="2:10" ht="15.75" thickBot="1">
      <c r="B261" s="216" t="s">
        <v>181</v>
      </c>
      <c r="C261" s="216" t="s">
        <v>156</v>
      </c>
      <c r="D261" s="216" t="s">
        <v>165</v>
      </c>
      <c r="E261" s="216" t="s">
        <v>153</v>
      </c>
      <c r="H261" s="360"/>
      <c r="I261" s="360"/>
      <c r="J261" s="360"/>
    </row>
    <row r="262" spans="2:10" ht="15.75" thickBot="1">
      <c r="B262" s="217" t="s">
        <v>32</v>
      </c>
      <c r="C262" s="217" t="s">
        <v>156</v>
      </c>
      <c r="D262" s="217" t="s">
        <v>165</v>
      </c>
      <c r="E262" s="217" t="s">
        <v>153</v>
      </c>
      <c r="H262" s="360"/>
      <c r="I262" s="360"/>
      <c r="J262" s="360"/>
    </row>
    <row r="263" spans="2:10">
      <c r="H263" s="360"/>
      <c r="I263" s="360"/>
      <c r="J263" s="360"/>
    </row>
    <row r="264" spans="2:10">
      <c r="H264" s="360"/>
      <c r="I264" s="360"/>
      <c r="J264" s="360"/>
    </row>
    <row r="265" spans="2:10">
      <c r="B265" s="201" t="s">
        <v>203</v>
      </c>
      <c r="H265" s="360"/>
      <c r="I265" s="360"/>
      <c r="J265" s="360"/>
    </row>
    <row r="266" spans="2:10">
      <c r="B266" s="195"/>
      <c r="H266" s="360"/>
      <c r="I266" s="360"/>
      <c r="J266" s="360"/>
    </row>
    <row r="267" spans="2:10">
      <c r="B267" s="195" t="s">
        <v>257</v>
      </c>
      <c r="H267" s="360"/>
      <c r="I267" s="360"/>
      <c r="J267" s="360"/>
    </row>
    <row r="268" spans="2:10">
      <c r="B268" s="195"/>
      <c r="H268" s="360"/>
      <c r="I268" s="360"/>
      <c r="J268" s="360"/>
    </row>
    <row r="269" spans="2:10">
      <c r="H269" s="360"/>
      <c r="I269" s="360"/>
      <c r="J269" s="360"/>
    </row>
    <row r="270" spans="2:10">
      <c r="B270" s="218"/>
      <c r="C270" s="218"/>
      <c r="D270" s="218"/>
      <c r="E270" s="218"/>
      <c r="F270" s="218"/>
      <c r="G270" s="218"/>
      <c r="H270" s="360"/>
      <c r="I270" s="360"/>
      <c r="J270" s="360"/>
    </row>
    <row r="271" spans="2:10">
      <c r="H271" s="361"/>
      <c r="I271" s="361"/>
      <c r="J271" s="361"/>
    </row>
    <row r="272" spans="2:10">
      <c r="H272" s="360"/>
      <c r="I272" s="360"/>
      <c r="J272" s="360"/>
    </row>
    <row r="273" spans="1:10">
      <c r="H273" s="360"/>
      <c r="I273" s="360"/>
      <c r="J273" s="360"/>
    </row>
    <row r="274" spans="1:10">
      <c r="B274" s="201" t="s">
        <v>206</v>
      </c>
      <c r="H274" s="360"/>
      <c r="I274" s="360"/>
      <c r="J274" s="360"/>
    </row>
    <row r="275" spans="1:10">
      <c r="H275" s="360"/>
      <c r="I275" s="360"/>
      <c r="J275" s="360"/>
    </row>
    <row r="276" spans="1:10">
      <c r="A276" s="188" t="s">
        <v>79</v>
      </c>
      <c r="B276" s="189" t="s">
        <v>140</v>
      </c>
      <c r="C276" s="189" t="s">
        <v>141</v>
      </c>
      <c r="D276" s="201" t="s">
        <v>395</v>
      </c>
      <c r="H276" s="360"/>
      <c r="I276" s="360"/>
      <c r="J276" s="360"/>
    </row>
    <row r="277" spans="1:10">
      <c r="A277" s="188" t="s">
        <v>80</v>
      </c>
      <c r="B277" s="189" t="s">
        <v>142</v>
      </c>
      <c r="C277" s="189" t="s">
        <v>141</v>
      </c>
      <c r="D277" s="201" t="s">
        <v>396</v>
      </c>
      <c r="H277" s="360"/>
      <c r="I277" s="360"/>
      <c r="J277" s="360"/>
    </row>
    <row r="278" spans="1:10">
      <c r="H278" s="360"/>
      <c r="I278" s="360"/>
      <c r="J278" s="360"/>
    </row>
    <row r="279" spans="1:10">
      <c r="H279" s="360"/>
      <c r="I279" s="360"/>
      <c r="J279" s="360"/>
    </row>
    <row r="280" spans="1:10">
      <c r="B280" s="201" t="s">
        <v>208</v>
      </c>
      <c r="H280" s="360"/>
      <c r="I280" s="360"/>
      <c r="J280" s="360"/>
    </row>
    <row r="281" spans="1:10" ht="15.75" thickBot="1">
      <c r="H281" s="360"/>
      <c r="I281" s="360"/>
      <c r="J281" s="360"/>
    </row>
    <row r="282" spans="1:10" ht="15.75" thickBot="1">
      <c r="B282" s="215" t="s">
        <v>145</v>
      </c>
      <c r="C282" s="215" t="s">
        <v>146</v>
      </c>
      <c r="D282" s="215" t="s">
        <v>147</v>
      </c>
      <c r="E282" s="215" t="s">
        <v>148</v>
      </c>
      <c r="H282" s="360"/>
      <c r="I282" s="360"/>
      <c r="J282" s="360"/>
    </row>
    <row r="283" spans="1:10" ht="15.75" thickBot="1">
      <c r="B283" s="216" t="s">
        <v>395</v>
      </c>
      <c r="C283" s="216" t="s">
        <v>172</v>
      </c>
      <c r="D283" s="216" t="s">
        <v>151</v>
      </c>
      <c r="E283" s="216" t="s">
        <v>149</v>
      </c>
      <c r="H283" s="360"/>
      <c r="I283" s="360"/>
      <c r="J283" s="360"/>
    </row>
    <row r="284" spans="1:10" ht="15.75" thickBot="1">
      <c r="B284" s="217" t="s">
        <v>110</v>
      </c>
      <c r="C284" s="217" t="s">
        <v>156</v>
      </c>
      <c r="D284" s="217" t="s">
        <v>171</v>
      </c>
      <c r="E284" s="217" t="s">
        <v>150</v>
      </c>
      <c r="H284" s="360"/>
      <c r="I284" s="360"/>
      <c r="J284" s="360"/>
    </row>
    <row r="285" spans="1:10" ht="15.75" thickBot="1">
      <c r="B285" s="216" t="s">
        <v>396</v>
      </c>
      <c r="C285" s="216" t="s">
        <v>172</v>
      </c>
      <c r="D285" s="216" t="s">
        <v>153</v>
      </c>
      <c r="E285" s="216" t="s">
        <v>151</v>
      </c>
      <c r="H285" s="360"/>
      <c r="I285" s="360"/>
      <c r="J285" s="360"/>
    </row>
    <row r="286" spans="1:10" ht="15.75" thickBot="1">
      <c r="B286" s="217" t="s">
        <v>104</v>
      </c>
      <c r="C286" s="217" t="s">
        <v>156</v>
      </c>
      <c r="D286" s="217" t="s">
        <v>165</v>
      </c>
      <c r="E286" s="217" t="s">
        <v>150</v>
      </c>
      <c r="H286" s="360"/>
      <c r="I286" s="360"/>
      <c r="J286" s="360"/>
    </row>
    <row r="287" spans="1:10">
      <c r="H287" s="360"/>
      <c r="I287" s="360"/>
      <c r="J287" s="360"/>
    </row>
    <row r="288" spans="1:10">
      <c r="H288" s="360"/>
      <c r="I288" s="360"/>
      <c r="J288" s="360"/>
    </row>
    <row r="289" spans="2:15">
      <c r="B289" s="201" t="s">
        <v>211</v>
      </c>
      <c r="H289" s="360"/>
      <c r="I289" s="360"/>
      <c r="J289" s="360"/>
    </row>
    <row r="290" spans="2:15">
      <c r="B290" s="195"/>
      <c r="H290" s="360"/>
      <c r="I290" s="360"/>
      <c r="J290" s="360"/>
    </row>
    <row r="291" spans="2:15">
      <c r="B291" s="195" t="s">
        <v>267</v>
      </c>
      <c r="H291" s="360"/>
      <c r="I291" s="360"/>
      <c r="J291" s="360"/>
    </row>
    <row r="292" spans="2:15">
      <c r="H292" s="360"/>
      <c r="I292" s="360"/>
      <c r="J292" s="360"/>
    </row>
    <row r="293" spans="2:15">
      <c r="H293" s="360"/>
      <c r="I293" s="360"/>
      <c r="J293" s="360"/>
    </row>
    <row r="294" spans="2:15">
      <c r="B294" s="218"/>
      <c r="C294" s="218"/>
      <c r="D294" s="218"/>
      <c r="E294" s="218"/>
      <c r="F294" s="218"/>
      <c r="G294" s="218"/>
      <c r="H294" s="360"/>
      <c r="I294" s="360"/>
      <c r="J294" s="360"/>
      <c r="K294" s="218"/>
      <c r="L294" s="219"/>
      <c r="M294" s="218"/>
      <c r="N294" s="218"/>
      <c r="O294" s="218"/>
    </row>
    <row r="295" spans="2:15">
      <c r="H295" s="361"/>
      <c r="I295" s="361"/>
      <c r="J295" s="361"/>
    </row>
    <row r="299" spans="2:15">
      <c r="B299" s="189" t="s">
        <v>214</v>
      </c>
    </row>
    <row r="300" spans="2:15">
      <c r="H300" s="363"/>
      <c r="I300" s="363"/>
      <c r="J300" s="363"/>
    </row>
    <row r="301" spans="2:15">
      <c r="B301" s="220" t="s">
        <v>573</v>
      </c>
    </row>
    <row r="302" spans="2:15">
      <c r="B302" s="220"/>
    </row>
    <row r="304" spans="2:15">
      <c r="B304" s="220" t="s">
        <v>574</v>
      </c>
    </row>
    <row r="305" spans="2:2">
      <c r="B305" s="220"/>
    </row>
    <row r="307" spans="2:2">
      <c r="B307" s="195"/>
    </row>
    <row r="308" spans="2:2">
      <c r="B308" s="204" t="s">
        <v>215</v>
      </c>
    </row>
    <row r="309" spans="2:2">
      <c r="B309" s="221" t="s">
        <v>216</v>
      </c>
    </row>
    <row r="310" spans="2:2">
      <c r="B310" s="221" t="s">
        <v>217</v>
      </c>
    </row>
    <row r="311" spans="2:2">
      <c r="B311" s="221" t="s">
        <v>218</v>
      </c>
    </row>
    <row r="312" spans="2:2">
      <c r="B312" s="221" t="s">
        <v>219</v>
      </c>
    </row>
    <row r="313" spans="2:2">
      <c r="B313" s="204" t="s">
        <v>220</v>
      </c>
    </row>
    <row r="314" spans="2:2">
      <c r="B314" s="221" t="s">
        <v>221</v>
      </c>
    </row>
    <row r="315" spans="2:2">
      <c r="B315" s="221" t="s">
        <v>222</v>
      </c>
    </row>
    <row r="316" spans="2:2">
      <c r="B316" s="221" t="s">
        <v>223</v>
      </c>
    </row>
    <row r="317" spans="2:2">
      <c r="B317" s="204" t="s">
        <v>224</v>
      </c>
    </row>
    <row r="318" spans="2:2">
      <c r="B318" s="221" t="s">
        <v>225</v>
      </c>
    </row>
    <row r="319" spans="2:2">
      <c r="B319" s="221" t="s">
        <v>226</v>
      </c>
    </row>
    <row r="320" spans="2:2">
      <c r="B320" s="221" t="s">
        <v>227</v>
      </c>
    </row>
    <row r="321" spans="2:2">
      <c r="B321" s="204" t="s">
        <v>228</v>
      </c>
    </row>
    <row r="322" spans="2:2">
      <c r="B322" s="221" t="s">
        <v>229</v>
      </c>
    </row>
    <row r="324" spans="2:2">
      <c r="B324"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6.xml><?xml version="1.0" encoding="utf-8"?>
<worksheet xmlns="http://schemas.openxmlformats.org/spreadsheetml/2006/main" xmlns:r="http://schemas.openxmlformats.org/officeDocument/2006/relationships">
  <sheetPr>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5.5703125" style="228" customWidth="1"/>
    <col min="12" max="12" width="3.28515625" style="229" customWidth="1"/>
    <col min="13" max="13" width="3.7109375" style="189" customWidth="1"/>
    <col min="14" max="14" width="2" style="189" customWidth="1"/>
    <col min="15" max="15" width="3.42578125" style="189" customWidth="1"/>
    <col min="16" max="16" width="7.42578125" style="189" customWidth="1"/>
    <col min="17" max="16384" width="9.140625" style="189"/>
  </cols>
  <sheetData>
    <row r="1" spans="1:21" s="193" customFormat="1" ht="21">
      <c r="A1" s="191"/>
      <c r="B1" s="192" t="s">
        <v>496</v>
      </c>
      <c r="K1" s="230"/>
      <c r="L1" s="231"/>
      <c r="P1" s="193">
        <f>SUM(P14:P101)+E11+H11+L7+L11+Q11</f>
        <v>470</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Nederland</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Colombia</v>
      </c>
      <c r="C4" s="222">
        <f t="shared" si="1"/>
        <v>10</v>
      </c>
      <c r="D4" s="224" t="str">
        <f t="shared" si="2"/>
        <v>Uruguay</v>
      </c>
      <c r="E4" s="222">
        <f t="shared" si="3"/>
        <v>10</v>
      </c>
      <c r="F4" s="339" t="s">
        <v>450</v>
      </c>
      <c r="G4" s="195" t="str">
        <f>G88</f>
        <v>Uruguay</v>
      </c>
      <c r="H4" s="222">
        <f t="shared" si="4"/>
        <v>0</v>
      </c>
      <c r="I4" s="339" t="s">
        <v>458</v>
      </c>
      <c r="J4" s="195" t="str">
        <f>G94</f>
        <v>Duitsland</v>
      </c>
      <c r="L4" s="222">
        <f>IF(ISNA(MATCH(J4,teams_halve,0)),0,20)</f>
        <v>20</v>
      </c>
      <c r="Q4" s="224"/>
    </row>
    <row r="5" spans="1:21" s="195" customFormat="1" ht="15" customHeight="1">
      <c r="B5" s="224" t="str">
        <f t="shared" si="0"/>
        <v>Spanje</v>
      </c>
      <c r="C5" s="222">
        <f t="shared" si="1"/>
        <v>0</v>
      </c>
      <c r="D5" s="224" t="str">
        <f t="shared" si="2"/>
        <v>Mexico</v>
      </c>
      <c r="E5" s="222">
        <f t="shared" si="3"/>
        <v>10</v>
      </c>
      <c r="F5" s="339" t="s">
        <v>451</v>
      </c>
      <c r="G5" s="195" t="str">
        <f>E90</f>
        <v>Spanje</v>
      </c>
      <c r="H5" s="222">
        <f t="shared" si="4"/>
        <v>0</v>
      </c>
      <c r="I5" s="339" t="s">
        <v>459</v>
      </c>
      <c r="J5" s="195" t="str">
        <f>E95</f>
        <v>Italië</v>
      </c>
      <c r="L5" s="222">
        <f>IF(ISNA(MATCH(J5,teams_halve,0)),0,20)</f>
        <v>0</v>
      </c>
    </row>
    <row r="6" spans="1:21" s="195" customFormat="1" ht="15" customHeight="1">
      <c r="B6" s="224" t="str">
        <f t="shared" si="0"/>
        <v>Italië</v>
      </c>
      <c r="C6" s="222">
        <f t="shared" si="1"/>
        <v>0</v>
      </c>
      <c r="D6" s="224" t="str">
        <f t="shared" si="2"/>
        <v>Ivoorkust</v>
      </c>
      <c r="E6" s="222">
        <f t="shared" si="3"/>
        <v>0</v>
      </c>
      <c r="F6" s="339" t="s">
        <v>452</v>
      </c>
      <c r="G6" s="195" t="str">
        <f>G90</f>
        <v>Italië</v>
      </c>
      <c r="H6" s="222">
        <f t="shared" si="4"/>
        <v>0</v>
      </c>
      <c r="I6" s="339" t="s">
        <v>460</v>
      </c>
      <c r="J6" s="195" t="str">
        <f>G95</f>
        <v>Rusland</v>
      </c>
      <c r="L6" s="222">
        <f>IF(ISNA(MATCH(J6,teams_halve,0)),0,20)</f>
        <v>0</v>
      </c>
    </row>
    <row r="7" spans="1:21" s="195" customFormat="1" ht="15" customHeight="1">
      <c r="B7" s="224" t="str">
        <f t="shared" si="0"/>
        <v>Frankrijk</v>
      </c>
      <c r="C7" s="222">
        <f t="shared" si="1"/>
        <v>10</v>
      </c>
      <c r="D7" s="224" t="str">
        <f t="shared" si="2"/>
        <v>Bosnië en Herzegovina</v>
      </c>
      <c r="E7" s="222">
        <f t="shared" si="3"/>
        <v>0</v>
      </c>
      <c r="F7" s="339" t="s">
        <v>453</v>
      </c>
      <c r="G7" s="195" t="str">
        <f>E89</f>
        <v>Frankrijk</v>
      </c>
      <c r="H7" s="222">
        <f t="shared" si="4"/>
        <v>15</v>
      </c>
      <c r="I7" s="339"/>
      <c r="J7" s="198" t="s">
        <v>83</v>
      </c>
      <c r="K7" s="199"/>
      <c r="L7" s="225">
        <f>SUM(L3:L6)</f>
        <v>40</v>
      </c>
    </row>
    <row r="8" spans="1:21" s="195" customFormat="1" ht="15" customHeight="1">
      <c r="B8" s="224" t="str">
        <f t="shared" si="0"/>
        <v>Duitsland</v>
      </c>
      <c r="C8" s="222">
        <f t="shared" si="1"/>
        <v>10</v>
      </c>
      <c r="D8" s="224" t="str">
        <f t="shared" si="2"/>
        <v>België</v>
      </c>
      <c r="E8" s="222">
        <f t="shared" si="3"/>
        <v>10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Ecuador</v>
      </c>
      <c r="E9" s="222">
        <f t="shared" si="3"/>
        <v>0</v>
      </c>
      <c r="F9" s="339" t="s">
        <v>455</v>
      </c>
      <c r="G9" s="195" t="str">
        <f>E91</f>
        <v>Argentinië</v>
      </c>
      <c r="H9" s="222">
        <f t="shared" si="4"/>
        <v>15</v>
      </c>
      <c r="I9" s="339" t="s">
        <v>461</v>
      </c>
      <c r="J9" s="195" t="str">
        <f>E101</f>
        <v>Duitsland</v>
      </c>
      <c r="L9" s="222">
        <f>IF(ISNA(MATCH(J9,teams_fin,0)),0,30)</f>
        <v>30</v>
      </c>
      <c r="P9" s="444" t="str">
        <f>E98</f>
        <v>Brazilië</v>
      </c>
      <c r="Q9" s="222">
        <f>IF(ISNA(MATCH(P9,teams_troost,0)),0,25)</f>
        <v>25</v>
      </c>
    </row>
    <row r="10" spans="1:21" s="195" customFormat="1" ht="15" customHeight="1">
      <c r="B10" s="224" t="str">
        <f t="shared" si="0"/>
        <v>Rusland</v>
      </c>
      <c r="C10" s="222">
        <f t="shared" si="1"/>
        <v>0</v>
      </c>
      <c r="D10" s="224" t="str">
        <f t="shared" si="2"/>
        <v>Portugal</v>
      </c>
      <c r="E10" s="222">
        <f t="shared" si="3"/>
        <v>0</v>
      </c>
      <c r="F10" s="339" t="s">
        <v>456</v>
      </c>
      <c r="G10" s="195" t="str">
        <f>G91</f>
        <v>Rusland</v>
      </c>
      <c r="H10" s="222">
        <f t="shared" si="4"/>
        <v>0</v>
      </c>
      <c r="I10" s="339" t="s">
        <v>462</v>
      </c>
      <c r="J10" s="195" t="str">
        <f>G101</f>
        <v>Rusland</v>
      </c>
      <c r="L10" s="222">
        <f>IF(ISNA(MATCH(J10,teams_fin,0)),0,30)</f>
        <v>0</v>
      </c>
      <c r="P10" s="444" t="str">
        <f>G98</f>
        <v>Italië</v>
      </c>
      <c r="Q10" s="222">
        <f>IF(ISNA(MATCH(P10,teams_troost,0)),0,25)</f>
        <v>0</v>
      </c>
    </row>
    <row r="11" spans="1:21" s="195" customFormat="1" ht="15" customHeight="1">
      <c r="D11" s="198" t="s">
        <v>89</v>
      </c>
      <c r="E11" s="225">
        <f>SUM(C3:E10)</f>
        <v>90</v>
      </c>
      <c r="G11" s="198" t="s">
        <v>82</v>
      </c>
      <c r="H11" s="225">
        <f>SUM(H3:H10)</f>
        <v>60</v>
      </c>
      <c r="J11" s="198" t="s">
        <v>90</v>
      </c>
      <c r="K11" s="199"/>
      <c r="L11" s="225">
        <f>SUM(L9:L10)</f>
        <v>30</v>
      </c>
      <c r="P11" s="199"/>
      <c r="Q11" s="225">
        <f>SUM(Q9:Q10)</f>
        <v>25</v>
      </c>
    </row>
    <row r="12" spans="1:21">
      <c r="B12" s="201" t="s">
        <v>19</v>
      </c>
      <c r="C12" s="201"/>
      <c r="D12" s="339" t="s">
        <v>463</v>
      </c>
      <c r="E12" s="202" t="s">
        <v>177</v>
      </c>
      <c r="F12" s="226">
        <f>IF(ISNA(MATCH(E12,Invulblad!F104,0)),0,50)</f>
        <v>50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32" t="s">
        <v>20</v>
      </c>
      <c r="L13" s="233"/>
      <c r="M13" s="204" t="s">
        <v>94</v>
      </c>
      <c r="N13" s="206"/>
      <c r="O13" s="206"/>
      <c r="P13" s="201" t="s">
        <v>95</v>
      </c>
    </row>
    <row r="14" spans="1:21">
      <c r="A14" s="188">
        <v>1</v>
      </c>
      <c r="B14" s="195">
        <v>1</v>
      </c>
      <c r="C14" s="332">
        <v>41802</v>
      </c>
      <c r="D14" s="333">
        <v>0.91666666666666663</v>
      </c>
      <c r="E14" s="189" t="s">
        <v>557</v>
      </c>
      <c r="F14" s="189" t="s">
        <v>29</v>
      </c>
      <c r="G14" s="189" t="s">
        <v>558</v>
      </c>
      <c r="H14" s="366">
        <v>3</v>
      </c>
      <c r="I14" s="366" t="s">
        <v>29</v>
      </c>
      <c r="J14" s="366">
        <v>1</v>
      </c>
      <c r="K14" s="234" t="str">
        <f t="shared" ref="K14:K76" si="5">IF(AND(H14="",J14=""),"",IF(OR(H14="",J14=""),"FOUT",IF(H14&gt;J14,"1",IF(H14=J14,3,2))))</f>
        <v>1</v>
      </c>
      <c r="L14" s="235" t="str">
        <f>VLOOKUP($B14,Invulblad!$A$11:$S$103,13,0)</f>
        <v>1</v>
      </c>
      <c r="M14" s="211">
        <f>IF(L14&lt;&gt;"",VLOOKUP($B14,Invulblad!$A$11:$S$103,7,0),"")</f>
        <v>3</v>
      </c>
      <c r="N14" s="209" t="s">
        <v>29</v>
      </c>
      <c r="O14" s="211">
        <f>IF(L14&lt;&gt;"",VLOOKUP($B14,Invulblad!$A$11:$S$103,9,0),"")</f>
        <v>1</v>
      </c>
      <c r="P14" s="212">
        <f t="shared" ref="P14:P19" si="6">IF(L14&lt;&gt;"",IF(AND(M14=H14,O14=J14),10,IF(K14=L14,5,0)),"")</f>
        <v>10</v>
      </c>
    </row>
    <row r="15" spans="1:21">
      <c r="A15" s="188">
        <v>2</v>
      </c>
      <c r="B15" s="195">
        <v>2</v>
      </c>
      <c r="C15" s="332">
        <v>41803</v>
      </c>
      <c r="D15" s="333">
        <v>0.75</v>
      </c>
      <c r="E15" s="189" t="s">
        <v>101</v>
      </c>
      <c r="F15" s="189" t="s">
        <v>29</v>
      </c>
      <c r="G15" s="189" t="s">
        <v>119</v>
      </c>
      <c r="H15" s="366">
        <v>2</v>
      </c>
      <c r="I15" s="366" t="s">
        <v>29</v>
      </c>
      <c r="J15" s="366">
        <v>0</v>
      </c>
      <c r="K15" s="234" t="str">
        <f t="shared" si="5"/>
        <v>1</v>
      </c>
      <c r="L15" s="235" t="str">
        <f>VLOOKUP($B15,Invulblad!$A$11:$S$103,13,0)</f>
        <v>1</v>
      </c>
      <c r="M15" s="211">
        <f>IF(L15&lt;&gt;"",VLOOKUP($B15,Invulblad!$A$11:$S$103,7,0),"")</f>
        <v>1</v>
      </c>
      <c r="N15" s="209" t="s">
        <v>29</v>
      </c>
      <c r="O15" s="211">
        <f>IF(L15&lt;&gt;"",VLOOKUP($B15,Invulblad!$A$11:$S$103,9,0),"")</f>
        <v>0</v>
      </c>
      <c r="P15" s="212">
        <f t="shared" si="6"/>
        <v>5</v>
      </c>
    </row>
    <row r="16" spans="1:21">
      <c r="A16" s="188">
        <v>3</v>
      </c>
      <c r="B16" s="195">
        <v>17</v>
      </c>
      <c r="C16" s="332">
        <v>41807</v>
      </c>
      <c r="D16" s="333">
        <v>0.875</v>
      </c>
      <c r="E16" s="189" t="s">
        <v>557</v>
      </c>
      <c r="F16" s="189" t="s">
        <v>29</v>
      </c>
      <c r="G16" s="189" t="s">
        <v>96</v>
      </c>
      <c r="H16" s="366">
        <v>2</v>
      </c>
      <c r="I16" s="366" t="s">
        <v>29</v>
      </c>
      <c r="J16" s="366">
        <v>1</v>
      </c>
      <c r="K16" s="234" t="str">
        <f t="shared" si="5"/>
        <v>1</v>
      </c>
      <c r="L16" s="235">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0</v>
      </c>
      <c r="I17" s="366" t="s">
        <v>29</v>
      </c>
      <c r="J17" s="366">
        <v>1</v>
      </c>
      <c r="K17" s="234">
        <f t="shared" si="5"/>
        <v>2</v>
      </c>
      <c r="L17" s="235">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0</v>
      </c>
      <c r="I18" s="366" t="s">
        <v>29</v>
      </c>
      <c r="J18" s="366">
        <v>4</v>
      </c>
      <c r="K18" s="234">
        <f t="shared" si="5"/>
        <v>2</v>
      </c>
      <c r="L18" s="235">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2</v>
      </c>
      <c r="I19" s="366" t="s">
        <v>29</v>
      </c>
      <c r="J19" s="366">
        <v>2</v>
      </c>
      <c r="K19" s="234">
        <f t="shared" si="5"/>
        <v>3</v>
      </c>
      <c r="L19" s="235">
        <f>VLOOKUP($B19,Invulblad!$A$11:$S$103,13,0)</f>
        <v>2</v>
      </c>
      <c r="M19" s="211">
        <f>IF(L19&lt;&gt;"",VLOOKUP($B19,Invulblad!$A$11:$S$103,7,0),"")</f>
        <v>1</v>
      </c>
      <c r="N19" s="209" t="s">
        <v>29</v>
      </c>
      <c r="O19" s="211">
        <f>IF(L19&lt;&gt;"",VLOOKUP($B19,Invulblad!$A$11:$S$103,9,0),"")</f>
        <v>3</v>
      </c>
      <c r="P19" s="212">
        <f t="shared" si="6"/>
        <v>0</v>
      </c>
    </row>
    <row r="20" spans="1:16">
      <c r="A20" s="188">
        <v>7</v>
      </c>
      <c r="B20" s="201" t="s">
        <v>30</v>
      </c>
      <c r="H20" s="367"/>
      <c r="I20" s="367"/>
      <c r="J20" s="367"/>
      <c r="K20" s="236" t="str">
        <f t="shared" si="5"/>
        <v/>
      </c>
      <c r="L20" s="235"/>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36"/>
      <c r="L21" s="235"/>
      <c r="M21" s="211"/>
      <c r="N21" s="201"/>
      <c r="O21" s="211"/>
    </row>
    <row r="22" spans="1:16">
      <c r="A22" s="188">
        <v>9</v>
      </c>
      <c r="B22" s="195">
        <v>3</v>
      </c>
      <c r="C22" s="332">
        <v>41803</v>
      </c>
      <c r="D22" s="333">
        <v>0.875</v>
      </c>
      <c r="E22" s="189" t="s">
        <v>129</v>
      </c>
      <c r="F22" s="189" t="s">
        <v>29</v>
      </c>
      <c r="G22" s="189" t="s">
        <v>122</v>
      </c>
      <c r="H22" s="366">
        <v>1</v>
      </c>
      <c r="I22" s="366" t="s">
        <v>29</v>
      </c>
      <c r="J22" s="366">
        <v>0</v>
      </c>
      <c r="K22" s="234" t="str">
        <f t="shared" si="5"/>
        <v>1</v>
      </c>
      <c r="L22" s="235">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1</v>
      </c>
      <c r="I23" s="366" t="s">
        <v>29</v>
      </c>
      <c r="J23" s="366">
        <v>0</v>
      </c>
      <c r="K23" s="234" t="str">
        <f t="shared" si="5"/>
        <v>1</v>
      </c>
      <c r="L23" s="235"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1</v>
      </c>
      <c r="I24" s="366" t="s">
        <v>29</v>
      </c>
      <c r="J24" s="366">
        <v>1</v>
      </c>
      <c r="K24" s="234">
        <f t="shared" si="5"/>
        <v>3</v>
      </c>
      <c r="L24" s="235">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0</v>
      </c>
      <c r="I25" s="366" t="s">
        <v>29</v>
      </c>
      <c r="J25" s="366">
        <v>2</v>
      </c>
      <c r="K25" s="234">
        <f t="shared" si="5"/>
        <v>2</v>
      </c>
      <c r="L25" s="235">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1</v>
      </c>
      <c r="I26" s="366" t="s">
        <v>29</v>
      </c>
      <c r="J26" s="366">
        <v>3</v>
      </c>
      <c r="K26" s="234">
        <f t="shared" si="5"/>
        <v>2</v>
      </c>
      <c r="L26" s="235">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2</v>
      </c>
      <c r="I27" s="366" t="s">
        <v>29</v>
      </c>
      <c r="J27" s="366">
        <v>1</v>
      </c>
      <c r="K27" s="234" t="str">
        <f t="shared" si="5"/>
        <v>1</v>
      </c>
      <c r="L27" s="235" t="str">
        <f>VLOOKUP($B27,Invulblad!$A$11:$S$103,13,0)</f>
        <v>1</v>
      </c>
      <c r="M27" s="211">
        <f>IF(L27&lt;&gt;"",VLOOKUP($B27,Invulblad!$A$11:$S$103,7,0),"")</f>
        <v>2</v>
      </c>
      <c r="N27" s="209" t="s">
        <v>29</v>
      </c>
      <c r="O27" s="211">
        <f>IF(L27&lt;&gt;"",VLOOKUP($B27,Invulblad!$A$11:$S$103,9,0),"")</f>
        <v>0</v>
      </c>
      <c r="P27" s="212">
        <f t="shared" si="7"/>
        <v>5</v>
      </c>
    </row>
    <row r="28" spans="1:16">
      <c r="A28" s="188">
        <v>15</v>
      </c>
      <c r="B28" s="201" t="s">
        <v>31</v>
      </c>
      <c r="H28" s="367"/>
      <c r="I28" s="367"/>
      <c r="J28" s="367"/>
      <c r="K28" s="236" t="str">
        <f t="shared" si="5"/>
        <v/>
      </c>
      <c r="L28" s="235"/>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36"/>
      <c r="L29" s="235"/>
      <c r="M29" s="211"/>
      <c r="N29" s="209"/>
      <c r="O29" s="211"/>
    </row>
    <row r="30" spans="1:16">
      <c r="A30" s="188">
        <v>17</v>
      </c>
      <c r="B30" s="195">
        <v>5</v>
      </c>
      <c r="C30" s="332">
        <v>41804</v>
      </c>
      <c r="D30" s="333">
        <v>0.75</v>
      </c>
      <c r="E30" s="189" t="s">
        <v>428</v>
      </c>
      <c r="F30" s="189" t="s">
        <v>29</v>
      </c>
      <c r="G30" s="189" t="s">
        <v>105</v>
      </c>
      <c r="H30" s="366">
        <v>2</v>
      </c>
      <c r="I30" s="366" t="s">
        <v>29</v>
      </c>
      <c r="J30" s="366">
        <v>1</v>
      </c>
      <c r="K30" s="234" t="str">
        <f t="shared" si="5"/>
        <v>1</v>
      </c>
      <c r="L30" s="235"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3</v>
      </c>
      <c r="I31" s="366" t="s">
        <v>29</v>
      </c>
      <c r="J31" s="366">
        <v>1</v>
      </c>
      <c r="K31" s="234" t="str">
        <f t="shared" si="5"/>
        <v>1</v>
      </c>
      <c r="L31" s="235" t="str">
        <f>VLOOKUP($B31,Invulblad!$A$11:$S$103,13,0)</f>
        <v>1</v>
      </c>
      <c r="M31" s="211">
        <f>IF(L31&lt;&gt;"",VLOOKUP($B31,Invulblad!$A$11:$S$103,7,0),"")</f>
        <v>2</v>
      </c>
      <c r="N31" s="209" t="s">
        <v>29</v>
      </c>
      <c r="O31" s="211">
        <f>IF(L31&lt;&gt;"",VLOOKUP($B31,Invulblad!$A$11:$S$103,9,0),"")</f>
        <v>1</v>
      </c>
      <c r="P31" s="212">
        <f t="shared" si="8"/>
        <v>5</v>
      </c>
    </row>
    <row r="32" spans="1:16">
      <c r="A32" s="188">
        <v>19</v>
      </c>
      <c r="B32" s="195">
        <v>21</v>
      </c>
      <c r="C32" s="332">
        <v>41809</v>
      </c>
      <c r="D32" s="333">
        <v>0.75</v>
      </c>
      <c r="E32" s="189" t="s">
        <v>428</v>
      </c>
      <c r="F32" s="189" t="s">
        <v>29</v>
      </c>
      <c r="G32" s="189" t="s">
        <v>125</v>
      </c>
      <c r="H32" s="366">
        <v>2</v>
      </c>
      <c r="I32" s="366" t="s">
        <v>29</v>
      </c>
      <c r="J32" s="366">
        <v>2</v>
      </c>
      <c r="K32" s="234">
        <f t="shared" si="5"/>
        <v>3</v>
      </c>
      <c r="L32" s="235" t="str">
        <f>VLOOKUP($B32,Invulblad!$A$11:$S$103,13,0)</f>
        <v>1</v>
      </c>
      <c r="M32" s="211">
        <f>IF(L32&lt;&gt;"",VLOOKUP($B32,Invulblad!$A$11:$S$103,7,0),"")</f>
        <v>2</v>
      </c>
      <c r="N32" s="209" t="s">
        <v>29</v>
      </c>
      <c r="O32" s="211">
        <f>IF(L32&lt;&gt;"",VLOOKUP($B32,Invulblad!$A$11:$S$103,9,0),"")</f>
        <v>1</v>
      </c>
      <c r="P32" s="212">
        <f t="shared" si="8"/>
        <v>0</v>
      </c>
    </row>
    <row r="33" spans="1:16">
      <c r="A33" s="188">
        <v>20</v>
      </c>
      <c r="B33" s="195">
        <v>22</v>
      </c>
      <c r="C33" s="332">
        <v>41810</v>
      </c>
      <c r="D33" s="333">
        <v>0</v>
      </c>
      <c r="E33" s="189" t="s">
        <v>118</v>
      </c>
      <c r="F33" s="189" t="s">
        <v>29</v>
      </c>
      <c r="G33" s="189" t="s">
        <v>105</v>
      </c>
      <c r="H33" s="366">
        <v>0</v>
      </c>
      <c r="I33" s="366" t="s">
        <v>29</v>
      </c>
      <c r="J33" s="366">
        <v>1</v>
      </c>
      <c r="K33" s="234">
        <f t="shared" si="5"/>
        <v>2</v>
      </c>
      <c r="L33" s="235">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0</v>
      </c>
      <c r="I34" s="366" t="s">
        <v>29</v>
      </c>
      <c r="J34" s="366">
        <v>3</v>
      </c>
      <c r="K34" s="234">
        <f t="shared" si="5"/>
        <v>2</v>
      </c>
      <c r="L34" s="235">
        <f>VLOOKUP($B34,Invulblad!$A$11:$S$103,13,0)</f>
        <v>2</v>
      </c>
      <c r="M34" s="211">
        <f>IF(L34&lt;&gt;"",VLOOKUP($B34,Invulblad!$A$11:$S$103,7,0),"")</f>
        <v>1</v>
      </c>
      <c r="N34" s="209" t="s">
        <v>29</v>
      </c>
      <c r="O34" s="211">
        <f>IF(L34&lt;&gt;"",VLOOKUP($B34,Invulblad!$A$11:$S$103,9,0),"")</f>
        <v>4</v>
      </c>
      <c r="P34" s="212">
        <f t="shared" si="8"/>
        <v>5</v>
      </c>
    </row>
    <row r="35" spans="1:16">
      <c r="A35" s="188">
        <v>22</v>
      </c>
      <c r="B35" s="195">
        <v>38</v>
      </c>
      <c r="C35" s="332">
        <v>41814</v>
      </c>
      <c r="D35" s="333">
        <v>0.91666666666666663</v>
      </c>
      <c r="E35" s="189" t="s">
        <v>233</v>
      </c>
      <c r="F35" s="189" t="s">
        <v>29</v>
      </c>
      <c r="G35" s="189" t="s">
        <v>125</v>
      </c>
      <c r="H35" s="366">
        <v>1</v>
      </c>
      <c r="I35" s="366" t="s">
        <v>29</v>
      </c>
      <c r="J35" s="366">
        <v>1</v>
      </c>
      <c r="K35" s="234">
        <f t="shared" si="5"/>
        <v>3</v>
      </c>
      <c r="L35" s="235"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367"/>
      <c r="I36" s="367"/>
      <c r="J36" s="367"/>
      <c r="K36" s="236" t="str">
        <f t="shared" si="5"/>
        <v/>
      </c>
      <c r="L36" s="235"/>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36"/>
      <c r="L37" s="235"/>
      <c r="M37" s="211"/>
      <c r="N37" s="209"/>
      <c r="O37" s="211"/>
    </row>
    <row r="38" spans="1:16">
      <c r="A38" s="188">
        <v>25</v>
      </c>
      <c r="B38" s="195">
        <v>7</v>
      </c>
      <c r="C38" s="332">
        <v>41804</v>
      </c>
      <c r="D38" s="333">
        <v>0.875</v>
      </c>
      <c r="E38" s="189" t="s">
        <v>231</v>
      </c>
      <c r="F38" s="189" t="s">
        <v>29</v>
      </c>
      <c r="G38" s="189" t="s">
        <v>430</v>
      </c>
      <c r="H38" s="366">
        <v>3</v>
      </c>
      <c r="I38" s="366" t="s">
        <v>29</v>
      </c>
      <c r="J38" s="366">
        <v>0</v>
      </c>
      <c r="K38" s="234" t="str">
        <f t="shared" si="5"/>
        <v>1</v>
      </c>
      <c r="L38" s="235">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1</v>
      </c>
      <c r="K39" s="234">
        <f t="shared" si="5"/>
        <v>3</v>
      </c>
      <c r="L39" s="235">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2</v>
      </c>
      <c r="I40" s="366" t="s">
        <v>29</v>
      </c>
      <c r="J40" s="366">
        <v>1</v>
      </c>
      <c r="K40" s="234" t="str">
        <f t="shared" si="5"/>
        <v>1</v>
      </c>
      <c r="L40" s="235" t="str">
        <f>VLOOKUP($B40,Invulblad!$A$11:$S$103,13,0)</f>
        <v>1</v>
      </c>
      <c r="M40" s="211">
        <f>IF(L40&lt;&gt;"",VLOOKUP($B40,Invulblad!$A$11:$S$103,7,0),"")</f>
        <v>2</v>
      </c>
      <c r="N40" s="209" t="s">
        <v>29</v>
      </c>
      <c r="O40" s="211">
        <f>IF(L40&lt;&gt;"",VLOOKUP($B40,Invulblad!$A$11:$S$103,9,0),"")</f>
        <v>1</v>
      </c>
      <c r="P40" s="212">
        <f t="shared" si="9"/>
        <v>10</v>
      </c>
    </row>
    <row r="41" spans="1:16">
      <c r="A41" s="188">
        <v>28</v>
      </c>
      <c r="B41" s="195">
        <v>24</v>
      </c>
      <c r="C41" s="332">
        <v>41810</v>
      </c>
      <c r="D41" s="333">
        <v>0.75</v>
      </c>
      <c r="E41" s="189" t="s">
        <v>564</v>
      </c>
      <c r="F41" s="189" t="s">
        <v>29</v>
      </c>
      <c r="G41" s="189" t="s">
        <v>430</v>
      </c>
      <c r="H41" s="366">
        <v>2</v>
      </c>
      <c r="I41" s="366" t="s">
        <v>29</v>
      </c>
      <c r="J41" s="366">
        <v>0</v>
      </c>
      <c r="K41" s="234" t="str">
        <f t="shared" si="5"/>
        <v>1</v>
      </c>
      <c r="L41" s="235">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3</v>
      </c>
      <c r="I42" s="366" t="s">
        <v>29</v>
      </c>
      <c r="J42" s="366">
        <v>2</v>
      </c>
      <c r="K42" s="234" t="str">
        <f t="shared" si="5"/>
        <v>1</v>
      </c>
      <c r="L42" s="235">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2</v>
      </c>
      <c r="K43" s="234">
        <f t="shared" si="5"/>
        <v>2</v>
      </c>
      <c r="L43" s="235">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36" t="str">
        <f t="shared" si="5"/>
        <v/>
      </c>
      <c r="L44" s="235"/>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36"/>
      <c r="L45" s="235"/>
      <c r="M45" s="211"/>
      <c r="N45" s="209"/>
      <c r="O45" s="211"/>
    </row>
    <row r="46" spans="1:16">
      <c r="A46" s="188">
        <v>33</v>
      </c>
      <c r="B46" s="195">
        <v>9</v>
      </c>
      <c r="C46" s="332">
        <v>41805</v>
      </c>
      <c r="D46" s="333">
        <v>0.75</v>
      </c>
      <c r="E46" s="189" t="s">
        <v>134</v>
      </c>
      <c r="F46" s="189" t="s">
        <v>29</v>
      </c>
      <c r="G46" s="189" t="s">
        <v>434</v>
      </c>
      <c r="H46" s="366">
        <v>0</v>
      </c>
      <c r="I46" s="366" t="s">
        <v>29</v>
      </c>
      <c r="J46" s="366">
        <v>1</v>
      </c>
      <c r="K46" s="234">
        <f t="shared" si="5"/>
        <v>2</v>
      </c>
      <c r="L46" s="235" t="str">
        <f>VLOOKUP($B46,Invulblad!$A$11:$S$103,13,0)</f>
        <v>1</v>
      </c>
      <c r="M46" s="211">
        <f>IF(L46&lt;&gt;"",VLOOKUP($B46,Invulblad!$A$11:$S$103,7,0),"")</f>
        <v>2</v>
      </c>
      <c r="N46" s="209" t="s">
        <v>29</v>
      </c>
      <c r="O46" s="211">
        <f>IF(L46&lt;&gt;"",VLOOKUP($B46,Invulblad!$A$11:$S$103,9,0),"")</f>
        <v>1</v>
      </c>
      <c r="P46" s="212">
        <f t="shared" ref="P46:P51" si="10">IF(L46&lt;&gt;"",IF(AND(M46=H46,O46=J46),10,IF(K46=L46,5,0)),"")</f>
        <v>0</v>
      </c>
    </row>
    <row r="47" spans="1:16">
      <c r="A47" s="188">
        <v>34</v>
      </c>
      <c r="B47" s="195">
        <v>10</v>
      </c>
      <c r="C47" s="332">
        <v>41805</v>
      </c>
      <c r="D47" s="333">
        <v>0.875</v>
      </c>
      <c r="E47" s="189" t="s">
        <v>100</v>
      </c>
      <c r="F47" s="189" t="s">
        <v>29</v>
      </c>
      <c r="G47" s="189" t="s">
        <v>132</v>
      </c>
      <c r="H47" s="366">
        <v>3</v>
      </c>
      <c r="I47" s="366" t="s">
        <v>29</v>
      </c>
      <c r="J47" s="366">
        <v>0</v>
      </c>
      <c r="K47" s="234" t="str">
        <f t="shared" si="5"/>
        <v>1</v>
      </c>
      <c r="L47" s="235" t="str">
        <f>VLOOKUP($B47,Invulblad!$A$11:$S$103,13,0)</f>
        <v>1</v>
      </c>
      <c r="M47" s="211">
        <f>IF(L47&lt;&gt;"",VLOOKUP($B47,Invulblad!$A$11:$S$103,7,0),"")</f>
        <v>3</v>
      </c>
      <c r="N47" s="209" t="s">
        <v>29</v>
      </c>
      <c r="O47" s="211">
        <f>IF(L47&lt;&gt;"",VLOOKUP($B47,Invulblad!$A$11:$S$103,9,0),"")</f>
        <v>0</v>
      </c>
      <c r="P47" s="212">
        <f t="shared" si="10"/>
        <v>10</v>
      </c>
    </row>
    <row r="48" spans="1:16">
      <c r="A48" s="188">
        <v>35</v>
      </c>
      <c r="B48" s="195">
        <v>25</v>
      </c>
      <c r="C48" s="332">
        <v>41810</v>
      </c>
      <c r="D48" s="333">
        <v>0.875</v>
      </c>
      <c r="E48" s="189" t="s">
        <v>134</v>
      </c>
      <c r="F48" s="189" t="s">
        <v>29</v>
      </c>
      <c r="G48" s="189" t="s">
        <v>98</v>
      </c>
      <c r="H48" s="366">
        <v>0</v>
      </c>
      <c r="I48" s="366" t="s">
        <v>29</v>
      </c>
      <c r="J48" s="366">
        <v>2</v>
      </c>
      <c r="K48" s="234">
        <f t="shared" si="5"/>
        <v>2</v>
      </c>
      <c r="L48" s="235">
        <f>VLOOKUP($B48,Invulblad!$A$11:$S$103,13,0)</f>
        <v>2</v>
      </c>
      <c r="M48" s="211">
        <f>IF(L48&lt;&gt;"",VLOOKUP($B48,Invulblad!$A$11:$S$103,7,0),"")</f>
        <v>2</v>
      </c>
      <c r="N48" s="209" t="s">
        <v>29</v>
      </c>
      <c r="O48" s="211">
        <f>IF(L48&lt;&gt;"",VLOOKUP($B48,Invulblad!$A$11:$S$103,9,0),"")</f>
        <v>5</v>
      </c>
      <c r="P48" s="212">
        <f t="shared" si="10"/>
        <v>5</v>
      </c>
    </row>
    <row r="49" spans="1:16">
      <c r="A49" s="188">
        <v>36</v>
      </c>
      <c r="B49" s="195">
        <v>26</v>
      </c>
      <c r="C49" s="332">
        <v>41811</v>
      </c>
      <c r="D49" s="333">
        <v>0</v>
      </c>
      <c r="E49" s="189" t="s">
        <v>127</v>
      </c>
      <c r="F49" s="189" t="s">
        <v>29</v>
      </c>
      <c r="G49" s="189" t="s">
        <v>434</v>
      </c>
      <c r="H49" s="366">
        <v>1</v>
      </c>
      <c r="I49" s="366" t="s">
        <v>29</v>
      </c>
      <c r="J49" s="366">
        <v>3</v>
      </c>
      <c r="K49" s="234">
        <f t="shared" si="5"/>
        <v>2</v>
      </c>
      <c r="L49" s="235">
        <f>VLOOKUP($B49,Invulblad!$A$11:$S$103,13,0)</f>
        <v>2</v>
      </c>
      <c r="M49" s="211">
        <f>IF(L49&lt;&gt;"",VLOOKUP($B49,Invulblad!$A$11:$S$103,7,0),"")</f>
        <v>1</v>
      </c>
      <c r="N49" s="209" t="s">
        <v>29</v>
      </c>
      <c r="O49" s="211">
        <f>IF(L49&lt;&gt;"",VLOOKUP($B49,Invulblad!$A$11:$S$103,9,0),"")</f>
        <v>2</v>
      </c>
      <c r="P49" s="212">
        <f t="shared" si="10"/>
        <v>5</v>
      </c>
    </row>
    <row r="50" spans="1:16">
      <c r="A50" s="188">
        <v>37</v>
      </c>
      <c r="B50" s="195">
        <v>41</v>
      </c>
      <c r="C50" s="332">
        <v>41815</v>
      </c>
      <c r="D50" s="333">
        <v>0.91666666666666663</v>
      </c>
      <c r="E50" s="189" t="s">
        <v>127</v>
      </c>
      <c r="F50" s="189" t="s">
        <v>29</v>
      </c>
      <c r="G50" s="189" t="s">
        <v>130</v>
      </c>
      <c r="H50" s="366">
        <v>0</v>
      </c>
      <c r="I50" s="366" t="s">
        <v>29</v>
      </c>
      <c r="J50" s="366">
        <v>2</v>
      </c>
      <c r="K50" s="234">
        <f t="shared" si="5"/>
        <v>2</v>
      </c>
      <c r="L50" s="235">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1</v>
      </c>
      <c r="I51" s="366" t="s">
        <v>29</v>
      </c>
      <c r="J51" s="366">
        <v>2</v>
      </c>
      <c r="K51" s="234">
        <f t="shared" si="5"/>
        <v>2</v>
      </c>
      <c r="L51" s="235">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367"/>
      <c r="I52" s="367"/>
      <c r="J52" s="367"/>
      <c r="K52" s="236" t="str">
        <f t="shared" si="5"/>
        <v/>
      </c>
      <c r="L52" s="235"/>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36"/>
      <c r="L53" s="235"/>
      <c r="M53" s="211"/>
      <c r="N53" s="209"/>
      <c r="O53" s="211"/>
    </row>
    <row r="54" spans="1:16">
      <c r="A54" s="188">
        <v>41</v>
      </c>
      <c r="B54" s="195">
        <v>11</v>
      </c>
      <c r="C54" s="332">
        <v>41806</v>
      </c>
      <c r="D54" s="333">
        <v>0</v>
      </c>
      <c r="E54" s="189" t="s">
        <v>565</v>
      </c>
      <c r="F54" s="189" t="s">
        <v>29</v>
      </c>
      <c r="G54" s="189" t="s">
        <v>566</v>
      </c>
      <c r="H54" s="366">
        <v>2</v>
      </c>
      <c r="I54" s="366" t="s">
        <v>29</v>
      </c>
      <c r="J54" s="366">
        <v>2</v>
      </c>
      <c r="K54" s="234">
        <f t="shared" si="5"/>
        <v>3</v>
      </c>
      <c r="L54" s="235" t="str">
        <f>VLOOKUP($B54,Invulblad!$A$11:$S$103,13,0)</f>
        <v>1</v>
      </c>
      <c r="M54" s="211">
        <f>IF(L54&lt;&gt;"",VLOOKUP($B54,Invulblad!$A$11:$S$103,7,0),"")</f>
        <v>2</v>
      </c>
      <c r="N54" s="209" t="s">
        <v>29</v>
      </c>
      <c r="O54" s="211">
        <f>IF(L54&lt;&gt;"",VLOOKUP($B54,Invulblad!$A$11:$S$103,9,0),"")</f>
        <v>1</v>
      </c>
      <c r="P54" s="212">
        <f t="shared" ref="P54:P59" si="11">IF(L54&lt;&gt;"",IF(AND(M54=H54,O54=J54),10,IF(K54=L54,5,0)),"")</f>
        <v>0</v>
      </c>
    </row>
    <row r="55" spans="1:16">
      <c r="A55" s="188">
        <v>42</v>
      </c>
      <c r="B55" s="195">
        <v>12</v>
      </c>
      <c r="C55" s="332">
        <v>41806</v>
      </c>
      <c r="D55" s="333">
        <v>0.875</v>
      </c>
      <c r="E55" s="189" t="s">
        <v>438</v>
      </c>
      <c r="F55" s="189" t="s">
        <v>29</v>
      </c>
      <c r="G55" s="189" t="s">
        <v>103</v>
      </c>
      <c r="H55" s="366">
        <v>1</v>
      </c>
      <c r="I55" s="366" t="s">
        <v>29</v>
      </c>
      <c r="J55" s="366">
        <v>1</v>
      </c>
      <c r="K55" s="234">
        <f t="shared" si="5"/>
        <v>3</v>
      </c>
      <c r="L55" s="235">
        <f>VLOOKUP($B55,Invulblad!$A$11:$S$103,13,0)</f>
        <v>3</v>
      </c>
      <c r="M55" s="211">
        <f>IF(L55&lt;&gt;"",VLOOKUP($B55,Invulblad!$A$11:$S$103,7,0),"")</f>
        <v>0</v>
      </c>
      <c r="N55" s="209" t="s">
        <v>29</v>
      </c>
      <c r="O55" s="211">
        <f>IF(L55&lt;&gt;"",VLOOKUP($B55,Invulblad!$A$11:$S$103,9,0),"")</f>
        <v>0</v>
      </c>
      <c r="P55" s="212">
        <f t="shared" si="11"/>
        <v>5</v>
      </c>
    </row>
    <row r="56" spans="1:16">
      <c r="A56" s="188">
        <v>43</v>
      </c>
      <c r="B56" s="195">
        <v>27</v>
      </c>
      <c r="C56" s="332">
        <v>41811</v>
      </c>
      <c r="D56" s="333">
        <v>0.75</v>
      </c>
      <c r="E56" s="189" t="s">
        <v>565</v>
      </c>
      <c r="F56" s="189" t="s">
        <v>29</v>
      </c>
      <c r="G56" s="189" t="s">
        <v>439</v>
      </c>
      <c r="H56" s="366">
        <v>3</v>
      </c>
      <c r="I56" s="366" t="s">
        <v>29</v>
      </c>
      <c r="J56" s="366">
        <v>1</v>
      </c>
      <c r="K56" s="234" t="str">
        <f t="shared" si="5"/>
        <v>1</v>
      </c>
      <c r="L56" s="235" t="str">
        <f>VLOOKUP($B56,Invulblad!$A$11:$S$103,13,0)</f>
        <v>1</v>
      </c>
      <c r="M56" s="211">
        <f>IF(L56&lt;&gt;"",VLOOKUP($B56,Invulblad!$A$11:$S$103,7,0),"")</f>
        <v>1</v>
      </c>
      <c r="N56" s="209" t="s">
        <v>29</v>
      </c>
      <c r="O56" s="211">
        <f>IF(L56&lt;&gt;"",VLOOKUP($B56,Invulblad!$A$11:$S$103,9,0),"")</f>
        <v>0</v>
      </c>
      <c r="P56" s="212">
        <f t="shared" si="11"/>
        <v>5</v>
      </c>
    </row>
    <row r="57" spans="1:16">
      <c r="A57" s="188">
        <v>44</v>
      </c>
      <c r="B57" s="195">
        <v>28</v>
      </c>
      <c r="C57" s="332">
        <v>41812</v>
      </c>
      <c r="D57" s="333">
        <v>0</v>
      </c>
      <c r="E57" s="189" t="s">
        <v>234</v>
      </c>
      <c r="F57" s="189" t="s">
        <v>29</v>
      </c>
      <c r="G57" s="189" t="s">
        <v>566</v>
      </c>
      <c r="H57" s="366">
        <v>2</v>
      </c>
      <c r="I57" s="366" t="s">
        <v>29</v>
      </c>
      <c r="J57" s="366">
        <v>2</v>
      </c>
      <c r="K57" s="234">
        <f t="shared" si="5"/>
        <v>3</v>
      </c>
      <c r="L57" s="235" t="str">
        <f>VLOOKUP($B57,Invulblad!$A$11:$S$103,13,0)</f>
        <v>1</v>
      </c>
      <c r="M57" s="211">
        <f>IF(L57&lt;&gt;"",VLOOKUP($B57,Invulblad!$A$11:$S$103,7,0),"")</f>
        <v>1</v>
      </c>
      <c r="N57" s="209" t="s">
        <v>29</v>
      </c>
      <c r="O57" s="211">
        <f>IF(L57&lt;&gt;"",VLOOKUP($B57,Invulblad!$A$11:$S$103,9,0),"")</f>
        <v>0</v>
      </c>
      <c r="P57" s="212">
        <f t="shared" si="11"/>
        <v>0</v>
      </c>
    </row>
    <row r="58" spans="1:16">
      <c r="A58" s="188">
        <v>45</v>
      </c>
      <c r="B58" s="195">
        <v>43</v>
      </c>
      <c r="C58" s="332">
        <v>41815</v>
      </c>
      <c r="D58" s="333">
        <v>0.75</v>
      </c>
      <c r="E58" s="189" t="s">
        <v>234</v>
      </c>
      <c r="F58" s="189" t="s">
        <v>29</v>
      </c>
      <c r="G58" s="189" t="s">
        <v>567</v>
      </c>
      <c r="H58" s="366">
        <v>1</v>
      </c>
      <c r="I58" s="366" t="s">
        <v>29</v>
      </c>
      <c r="J58" s="366">
        <v>2</v>
      </c>
      <c r="K58" s="234">
        <f t="shared" si="5"/>
        <v>2</v>
      </c>
      <c r="L58" s="235">
        <f>VLOOKUP($B58,Invulblad!$A$11:$S$103,13,0)</f>
        <v>2</v>
      </c>
      <c r="M58" s="211">
        <f>IF(L58&lt;&gt;"",VLOOKUP($B58,Invulblad!$A$11:$S$103,7,0),"")</f>
        <v>2</v>
      </c>
      <c r="N58" s="209" t="s">
        <v>29</v>
      </c>
      <c r="O58" s="211">
        <f>IF(L58&lt;&gt;"",VLOOKUP($B58,Invulblad!$A$11:$S$103,9,0),"")</f>
        <v>3</v>
      </c>
      <c r="P58" s="212">
        <f t="shared" si="11"/>
        <v>5</v>
      </c>
    </row>
    <row r="59" spans="1:16">
      <c r="A59" s="188">
        <v>46</v>
      </c>
      <c r="B59" s="195">
        <v>44</v>
      </c>
      <c r="C59" s="332">
        <v>41815</v>
      </c>
      <c r="D59" s="333">
        <v>0.75</v>
      </c>
      <c r="E59" s="189" t="s">
        <v>568</v>
      </c>
      <c r="F59" s="189" t="s">
        <v>29</v>
      </c>
      <c r="G59" s="189" t="s">
        <v>439</v>
      </c>
      <c r="H59" s="366">
        <v>1</v>
      </c>
      <c r="I59" s="366" t="s">
        <v>29</v>
      </c>
      <c r="J59" s="366">
        <v>0</v>
      </c>
      <c r="K59" s="234" t="str">
        <f t="shared" si="5"/>
        <v>1</v>
      </c>
      <c r="L59" s="235" t="str">
        <f>VLOOKUP($B59,Invulblad!$A$11:$S$103,13,0)</f>
        <v>1</v>
      </c>
      <c r="M59" s="211">
        <f>IF(L59&lt;&gt;"",VLOOKUP($B59,Invulblad!$A$11:$S$103,7,0),"")</f>
        <v>3</v>
      </c>
      <c r="N59" s="209" t="s">
        <v>29</v>
      </c>
      <c r="O59" s="211">
        <f>IF(L59&lt;&gt;"",VLOOKUP($B59,Invulblad!$A$11:$S$103,9,0),"")</f>
        <v>1</v>
      </c>
      <c r="P59" s="212">
        <f t="shared" si="11"/>
        <v>5</v>
      </c>
    </row>
    <row r="60" spans="1:16">
      <c r="A60" s="188">
        <v>47</v>
      </c>
      <c r="B60" s="201" t="s">
        <v>36</v>
      </c>
      <c r="H60" s="367"/>
      <c r="I60" s="367"/>
      <c r="J60" s="367"/>
      <c r="K60" s="236" t="str">
        <f t="shared" si="5"/>
        <v/>
      </c>
      <c r="L60" s="235"/>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36"/>
      <c r="L61" s="235"/>
      <c r="M61" s="211"/>
      <c r="N61" s="209"/>
      <c r="O61" s="211"/>
    </row>
    <row r="62" spans="1:16">
      <c r="A62" s="188">
        <v>49</v>
      </c>
      <c r="B62" s="195">
        <v>13</v>
      </c>
      <c r="C62" s="332">
        <v>41806</v>
      </c>
      <c r="D62" s="333">
        <v>0.75</v>
      </c>
      <c r="E62" s="189" t="s">
        <v>113</v>
      </c>
      <c r="F62" s="189" t="s">
        <v>29</v>
      </c>
      <c r="G62" s="189" t="s">
        <v>124</v>
      </c>
      <c r="H62" s="366">
        <v>1</v>
      </c>
      <c r="I62" s="366" t="s">
        <v>29</v>
      </c>
      <c r="J62" s="366">
        <v>1</v>
      </c>
      <c r="K62" s="234">
        <f t="shared" si="5"/>
        <v>3</v>
      </c>
      <c r="L62" s="235" t="str">
        <f>VLOOKUP($B62,Invulblad!$A$11:$S$103,13,0)</f>
        <v>1</v>
      </c>
      <c r="M62" s="211">
        <f>IF(L62&lt;&gt;"",VLOOKUP($B62,Invulblad!$A$11:$S$103,7,0),"")</f>
        <v>4</v>
      </c>
      <c r="N62" s="209" t="s">
        <v>29</v>
      </c>
      <c r="O62" s="211">
        <f>IF(L62&lt;&gt;"",VLOOKUP($B62,Invulblad!$A$11:$S$103,9,0),"")</f>
        <v>0</v>
      </c>
      <c r="P62" s="212">
        <f t="shared" ref="P62:P67" si="12">IF(L62&lt;&gt;"",IF(AND(M62=H62,O62=J62),10,IF(K62=L62,5,0)),"")</f>
        <v>0</v>
      </c>
    </row>
    <row r="63" spans="1:16">
      <c r="A63" s="188">
        <v>50</v>
      </c>
      <c r="B63" s="195">
        <v>14</v>
      </c>
      <c r="C63" s="332">
        <v>41807</v>
      </c>
      <c r="D63" s="333">
        <v>0</v>
      </c>
      <c r="E63" s="189" t="s">
        <v>115</v>
      </c>
      <c r="F63" s="189" t="s">
        <v>29</v>
      </c>
      <c r="G63" s="189" t="s">
        <v>577</v>
      </c>
      <c r="H63" s="366">
        <v>1</v>
      </c>
      <c r="I63" s="366" t="s">
        <v>29</v>
      </c>
      <c r="J63" s="366">
        <v>2</v>
      </c>
      <c r="K63" s="234">
        <f t="shared" si="5"/>
        <v>2</v>
      </c>
      <c r="L63" s="235">
        <f>VLOOKUP($B63,Invulblad!$A$11:$S$103,13,0)</f>
        <v>2</v>
      </c>
      <c r="M63" s="211">
        <f>IF(L63&lt;&gt;"",VLOOKUP($B63,Invulblad!$A$11:$S$103,7,0),"")</f>
        <v>1</v>
      </c>
      <c r="N63" s="209" t="s">
        <v>29</v>
      </c>
      <c r="O63" s="211">
        <f>IF(L63&lt;&gt;"",VLOOKUP($B63,Invulblad!$A$11:$S$103,9,0),"")</f>
        <v>2</v>
      </c>
      <c r="P63" s="212">
        <f t="shared" si="12"/>
        <v>10</v>
      </c>
    </row>
    <row r="64" spans="1:16">
      <c r="A64" s="188">
        <v>51</v>
      </c>
      <c r="B64" s="195">
        <v>29</v>
      </c>
      <c r="C64" s="332">
        <v>41811</v>
      </c>
      <c r="D64" s="333">
        <v>0.875</v>
      </c>
      <c r="E64" s="189" t="s">
        <v>113</v>
      </c>
      <c r="F64" s="189" t="s">
        <v>29</v>
      </c>
      <c r="G64" s="189" t="s">
        <v>114</v>
      </c>
      <c r="H64" s="366">
        <v>3</v>
      </c>
      <c r="I64" s="366" t="s">
        <v>29</v>
      </c>
      <c r="J64" s="366">
        <v>1</v>
      </c>
      <c r="K64" s="234" t="str">
        <f t="shared" si="5"/>
        <v>1</v>
      </c>
      <c r="L64" s="235">
        <f>VLOOKUP($B64,Invulblad!$A$11:$S$103,13,0)</f>
        <v>3</v>
      </c>
      <c r="M64" s="211">
        <f>IF(L64&lt;&gt;"",VLOOKUP($B64,Invulblad!$A$11:$S$103,7,0),"")</f>
        <v>2</v>
      </c>
      <c r="N64" s="209" t="s">
        <v>29</v>
      </c>
      <c r="O64" s="211">
        <f>IF(L64&lt;&gt;"",VLOOKUP($B64,Invulblad!$A$11:$S$103,9,0),"")</f>
        <v>2</v>
      </c>
      <c r="P64" s="212">
        <f t="shared" si="12"/>
        <v>0</v>
      </c>
    </row>
    <row r="65" spans="1:16">
      <c r="A65" s="188">
        <v>52</v>
      </c>
      <c r="B65" s="195">
        <v>30</v>
      </c>
      <c r="C65" s="332">
        <v>41813</v>
      </c>
      <c r="D65" s="333">
        <v>0</v>
      </c>
      <c r="E65" s="189" t="s">
        <v>578</v>
      </c>
      <c r="F65" s="189" t="s">
        <v>29</v>
      </c>
      <c r="G65" s="189" t="s">
        <v>124</v>
      </c>
      <c r="H65" s="366">
        <v>2</v>
      </c>
      <c r="I65" s="366" t="s">
        <v>29</v>
      </c>
      <c r="J65" s="366">
        <v>2</v>
      </c>
      <c r="K65" s="234">
        <f t="shared" si="5"/>
        <v>3</v>
      </c>
      <c r="L65" s="235">
        <f>VLOOKUP($B65,Invulblad!$A$11:$S$103,13,0)</f>
        <v>3</v>
      </c>
      <c r="M65" s="211">
        <f>IF(L65&lt;&gt;"",VLOOKUP($B65,Invulblad!$A$11:$S$103,7,0),"")</f>
        <v>2</v>
      </c>
      <c r="N65" s="209" t="s">
        <v>29</v>
      </c>
      <c r="O65" s="211">
        <f>IF(L65&lt;&gt;"",VLOOKUP($B65,Invulblad!$A$11:$S$103,9,0),"")</f>
        <v>2</v>
      </c>
      <c r="P65" s="212">
        <f t="shared" si="12"/>
        <v>10</v>
      </c>
    </row>
    <row r="66" spans="1:16">
      <c r="A66" s="188">
        <v>53</v>
      </c>
      <c r="B66" s="195">
        <v>45</v>
      </c>
      <c r="C66" s="332">
        <v>41816</v>
      </c>
      <c r="D66" s="333">
        <v>0.75</v>
      </c>
      <c r="E66" s="189" t="s">
        <v>578</v>
      </c>
      <c r="F66" s="189" t="s">
        <v>29</v>
      </c>
      <c r="G66" s="189" t="s">
        <v>116</v>
      </c>
      <c r="H66" s="366">
        <v>1</v>
      </c>
      <c r="I66" s="366" t="s">
        <v>29</v>
      </c>
      <c r="J66" s="366">
        <v>4</v>
      </c>
      <c r="K66" s="234">
        <f t="shared" si="5"/>
        <v>2</v>
      </c>
      <c r="L66" s="235">
        <f>VLOOKUP($B66,Invulblad!$A$11:$S$103,13,0)</f>
        <v>2</v>
      </c>
      <c r="M66" s="211">
        <f>IF(L66&lt;&gt;"",VLOOKUP($B66,Invulblad!$A$11:$S$103,7,0),"")</f>
        <v>0</v>
      </c>
      <c r="N66" s="209" t="s">
        <v>29</v>
      </c>
      <c r="O66" s="211">
        <f>IF(L66&lt;&gt;"",VLOOKUP($B66,Invulblad!$A$11:$S$103,9,0),"")</f>
        <v>1</v>
      </c>
      <c r="P66" s="212">
        <f t="shared" si="12"/>
        <v>5</v>
      </c>
    </row>
    <row r="67" spans="1:16">
      <c r="A67" s="188">
        <v>54</v>
      </c>
      <c r="B67" s="195">
        <v>46</v>
      </c>
      <c r="C67" s="332">
        <v>41816</v>
      </c>
      <c r="D67" s="333">
        <v>0.75</v>
      </c>
      <c r="E67" s="189" t="s">
        <v>126</v>
      </c>
      <c r="F67" s="189" t="s">
        <v>29</v>
      </c>
      <c r="G67" s="189" t="s">
        <v>114</v>
      </c>
      <c r="H67" s="366">
        <v>2</v>
      </c>
      <c r="I67" s="366" t="s">
        <v>29</v>
      </c>
      <c r="J67" s="366">
        <v>1</v>
      </c>
      <c r="K67" s="234" t="str">
        <f t="shared" si="5"/>
        <v>1</v>
      </c>
      <c r="L67" s="235" t="str">
        <f>VLOOKUP($B67,Invulblad!$A$11:$S$103,13,0)</f>
        <v>1</v>
      </c>
      <c r="M67" s="211">
        <f>IF(L67&lt;&gt;"",VLOOKUP($B67,Invulblad!$A$11:$S$103,7,0),"")</f>
        <v>2</v>
      </c>
      <c r="N67" s="209" t="s">
        <v>29</v>
      </c>
      <c r="O67" s="211">
        <f>IF(L67&lt;&gt;"",VLOOKUP($B67,Invulblad!$A$11:$S$103,9,0),"")</f>
        <v>1</v>
      </c>
      <c r="P67" s="212">
        <f t="shared" si="12"/>
        <v>10</v>
      </c>
    </row>
    <row r="68" spans="1:16">
      <c r="A68" s="188">
        <v>55</v>
      </c>
      <c r="B68" s="201" t="s">
        <v>37</v>
      </c>
      <c r="H68" s="367"/>
      <c r="I68" s="367"/>
      <c r="J68" s="367"/>
      <c r="K68" s="236" t="str">
        <f t="shared" si="5"/>
        <v/>
      </c>
      <c r="L68" s="235"/>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36"/>
      <c r="L69" s="235"/>
      <c r="M69" s="211"/>
      <c r="N69" s="209"/>
      <c r="O69" s="211"/>
    </row>
    <row r="70" spans="1:16">
      <c r="A70" s="188">
        <v>57</v>
      </c>
      <c r="B70" s="195">
        <v>15</v>
      </c>
      <c r="C70" s="332">
        <v>41807</v>
      </c>
      <c r="D70" s="333">
        <v>0.75</v>
      </c>
      <c r="E70" s="189" t="s">
        <v>569</v>
      </c>
      <c r="F70" s="189" t="s">
        <v>29</v>
      </c>
      <c r="G70" s="189" t="s">
        <v>111</v>
      </c>
      <c r="H70" s="366">
        <v>2</v>
      </c>
      <c r="I70" s="366" t="s">
        <v>29</v>
      </c>
      <c r="J70" s="366">
        <v>0</v>
      </c>
      <c r="K70" s="234" t="str">
        <f t="shared" si="5"/>
        <v>1</v>
      </c>
      <c r="L70" s="235" t="str">
        <f>VLOOKUP($B70,Invulblad!$A$11:$S$103,13,0)</f>
        <v>1</v>
      </c>
      <c r="M70" s="211">
        <f>IF(L70&lt;&gt;"",VLOOKUP($B70,Invulblad!$A$11:$S$103,7,0),"")</f>
        <v>2</v>
      </c>
      <c r="N70" s="209" t="s">
        <v>29</v>
      </c>
      <c r="O70" s="211">
        <f>IF(L70&lt;&gt;"",VLOOKUP($B70,Invulblad!$A$11:$S$103,9,0),"")</f>
        <v>1</v>
      </c>
      <c r="P70" s="212">
        <f t="shared" ref="P70:P75" si="13">IF(L70&lt;&gt;"",IF(AND(M70=H70,O70=J70),10,IF(K70=L70,5,0)),"")</f>
        <v>5</v>
      </c>
    </row>
    <row r="71" spans="1:16">
      <c r="A71" s="188">
        <v>58</v>
      </c>
      <c r="B71" s="195">
        <v>16</v>
      </c>
      <c r="C71" s="332">
        <v>41808</v>
      </c>
      <c r="D71" s="333">
        <v>0</v>
      </c>
      <c r="E71" s="189" t="s">
        <v>445</v>
      </c>
      <c r="F71" s="189" t="s">
        <v>29</v>
      </c>
      <c r="G71" s="189" t="s">
        <v>107</v>
      </c>
      <c r="H71" s="366">
        <v>3</v>
      </c>
      <c r="I71" s="366" t="s">
        <v>29</v>
      </c>
      <c r="J71" s="366">
        <v>1</v>
      </c>
      <c r="K71" s="234" t="str">
        <f t="shared" si="5"/>
        <v>1</v>
      </c>
      <c r="L71" s="235">
        <f>VLOOKUP($B71,Invulblad!$A$11:$S$103,13,0)</f>
        <v>3</v>
      </c>
      <c r="M71" s="211">
        <f>IF(L71&lt;&gt;"",VLOOKUP($B71,Invulblad!$A$11:$S$103,7,0),"")</f>
        <v>1</v>
      </c>
      <c r="N71" s="209" t="s">
        <v>29</v>
      </c>
      <c r="O71" s="211">
        <f>IF(L71&lt;&gt;"",VLOOKUP($B71,Invulblad!$A$11:$S$103,9,0),"")</f>
        <v>1</v>
      </c>
      <c r="P71" s="212">
        <f t="shared" si="13"/>
        <v>0</v>
      </c>
    </row>
    <row r="72" spans="1:16">
      <c r="A72" s="188">
        <v>59</v>
      </c>
      <c r="B72" s="195">
        <v>31</v>
      </c>
      <c r="C72" s="332">
        <v>41812</v>
      </c>
      <c r="D72" s="333">
        <v>0.75</v>
      </c>
      <c r="E72" s="189" t="s">
        <v>569</v>
      </c>
      <c r="F72" s="189" t="s">
        <v>29</v>
      </c>
      <c r="G72" s="189" t="s">
        <v>446</v>
      </c>
      <c r="H72" s="366">
        <v>2</v>
      </c>
      <c r="I72" s="366" t="s">
        <v>29</v>
      </c>
      <c r="J72" s="366">
        <v>2</v>
      </c>
      <c r="K72" s="234">
        <f t="shared" si="5"/>
        <v>3</v>
      </c>
      <c r="L72" s="235" t="str">
        <f>VLOOKUP($B72,Invulblad!$A$11:$S$103,13,0)</f>
        <v>1</v>
      </c>
      <c r="M72" s="211">
        <f>IF(L72&lt;&gt;"",VLOOKUP($B72,Invulblad!$A$11:$S$103,7,0),"")</f>
        <v>1</v>
      </c>
      <c r="N72" s="209" t="s">
        <v>29</v>
      </c>
      <c r="O72" s="211">
        <f>IF(L72&lt;&gt;"",VLOOKUP($B72,Invulblad!$A$11:$S$103,9,0),"")</f>
        <v>0</v>
      </c>
      <c r="P72" s="212">
        <f t="shared" si="13"/>
        <v>0</v>
      </c>
    </row>
    <row r="73" spans="1:16">
      <c r="A73" s="188">
        <v>60</v>
      </c>
      <c r="B73" s="195">
        <v>32</v>
      </c>
      <c r="C73" s="332">
        <v>41812</v>
      </c>
      <c r="D73" s="333">
        <v>0.875</v>
      </c>
      <c r="E73" s="189" t="s">
        <v>232</v>
      </c>
      <c r="F73" s="189" t="s">
        <v>29</v>
      </c>
      <c r="G73" s="189" t="s">
        <v>111</v>
      </c>
      <c r="H73" s="366">
        <v>0</v>
      </c>
      <c r="I73" s="366" t="s">
        <v>29</v>
      </c>
      <c r="J73" s="366">
        <v>1</v>
      </c>
      <c r="K73" s="234">
        <f t="shared" si="5"/>
        <v>2</v>
      </c>
      <c r="L73" s="235">
        <f>VLOOKUP($B73,Invulblad!$A$11:$S$103,13,0)</f>
        <v>2</v>
      </c>
      <c r="M73" s="211">
        <f>IF(L73&lt;&gt;"",VLOOKUP($B73,Invulblad!$A$11:$S$103,7,0),"")</f>
        <v>2</v>
      </c>
      <c r="N73" s="209" t="s">
        <v>29</v>
      </c>
      <c r="O73" s="211">
        <f>IF(L73&lt;&gt;"",VLOOKUP($B73,Invulblad!$A$11:$S$103,9,0),"")</f>
        <v>4</v>
      </c>
      <c r="P73" s="212">
        <f t="shared" si="13"/>
        <v>5</v>
      </c>
    </row>
    <row r="74" spans="1:16">
      <c r="A74" s="188">
        <v>61</v>
      </c>
      <c r="B74" s="195">
        <v>47</v>
      </c>
      <c r="C74" s="332">
        <v>41816</v>
      </c>
      <c r="D74" s="333">
        <v>0.91666666666666663</v>
      </c>
      <c r="E74" s="189" t="s">
        <v>232</v>
      </c>
      <c r="F74" s="189" t="s">
        <v>29</v>
      </c>
      <c r="G74" s="189" t="s">
        <v>570</v>
      </c>
      <c r="H74" s="366">
        <v>1</v>
      </c>
      <c r="I74" s="366" t="s">
        <v>29</v>
      </c>
      <c r="J74" s="366">
        <v>2</v>
      </c>
      <c r="K74" s="234">
        <f t="shared" si="5"/>
        <v>2</v>
      </c>
      <c r="L74" s="235">
        <f>VLOOKUP($B74,Invulblad!$A$11:$S$103,13,0)</f>
        <v>2</v>
      </c>
      <c r="M74" s="211">
        <f>IF(L74&lt;&gt;"",VLOOKUP($B74,Invulblad!$A$11:$S$103,7,0),"")</f>
        <v>0</v>
      </c>
      <c r="N74" s="209" t="s">
        <v>29</v>
      </c>
      <c r="O74" s="211">
        <f>IF(L74&lt;&gt;"",VLOOKUP($B74,Invulblad!$A$11:$S$103,9,0),"")</f>
        <v>1</v>
      </c>
      <c r="P74" s="212">
        <f t="shared" si="13"/>
        <v>5</v>
      </c>
    </row>
    <row r="75" spans="1:16">
      <c r="A75" s="188">
        <v>62</v>
      </c>
      <c r="B75" s="195">
        <v>48</v>
      </c>
      <c r="C75" s="332">
        <v>41816</v>
      </c>
      <c r="D75" s="333">
        <v>0.91666666666666663</v>
      </c>
      <c r="E75" s="189" t="s">
        <v>236</v>
      </c>
      <c r="F75" s="189" t="s">
        <v>29</v>
      </c>
      <c r="G75" s="189" t="s">
        <v>446</v>
      </c>
      <c r="H75" s="366">
        <v>2</v>
      </c>
      <c r="I75" s="366" t="s">
        <v>29</v>
      </c>
      <c r="J75" s="366">
        <v>3</v>
      </c>
      <c r="K75" s="234">
        <f t="shared" si="5"/>
        <v>2</v>
      </c>
      <c r="L75" s="235">
        <f>VLOOKUP($B75,Invulblad!$A$11:$S$103,13,0)</f>
        <v>3</v>
      </c>
      <c r="M75" s="211">
        <f>IF(L75&lt;&gt;"",VLOOKUP($B75,Invulblad!$A$11:$S$103,7,0),"")</f>
        <v>1</v>
      </c>
      <c r="N75" s="209" t="s">
        <v>29</v>
      </c>
      <c r="O75" s="211">
        <f>IF(L75&lt;&gt;"",VLOOKUP($B75,Invulblad!$A$11:$S$103,9,0),"")</f>
        <v>1</v>
      </c>
      <c r="P75" s="212">
        <f t="shared" si="13"/>
        <v>0</v>
      </c>
    </row>
    <row r="76" spans="1:16">
      <c r="A76" s="188">
        <v>63</v>
      </c>
      <c r="B76" s="201" t="s">
        <v>86</v>
      </c>
      <c r="H76" s="367"/>
      <c r="I76" s="367"/>
      <c r="J76" s="367"/>
      <c r="K76" s="236" t="str">
        <f t="shared" si="5"/>
        <v/>
      </c>
      <c r="L76" s="235"/>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36"/>
      <c r="L77" s="235"/>
      <c r="M77" s="211"/>
      <c r="N77" s="209"/>
      <c r="O77" s="211"/>
    </row>
    <row r="78" spans="1:16">
      <c r="A78" s="188">
        <v>65</v>
      </c>
      <c r="B78" s="195">
        <v>49</v>
      </c>
      <c r="C78" s="332">
        <v>41818</v>
      </c>
      <c r="D78" s="333">
        <v>0.75</v>
      </c>
      <c r="E78" s="189" t="s">
        <v>199</v>
      </c>
      <c r="F78" s="189" t="s">
        <v>29</v>
      </c>
      <c r="G78" s="189" t="s">
        <v>135</v>
      </c>
      <c r="H78" s="366">
        <v>3</v>
      </c>
      <c r="I78" s="366" t="s">
        <v>29</v>
      </c>
      <c r="J78" s="366">
        <v>2</v>
      </c>
      <c r="K78" s="234" t="str">
        <f t="shared" ref="K78:K101" si="14">IF(AND(H78="",J78=""),"",IF(OR(H78="",J78=""),"FOUT",IF(H78&gt;J78,"1",IF(H78=J78,3,2))))</f>
        <v>1</v>
      </c>
      <c r="L78" s="235">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390</v>
      </c>
      <c r="F79" s="189" t="s">
        <v>29</v>
      </c>
      <c r="G79" s="189" t="s">
        <v>97</v>
      </c>
      <c r="H79" s="366">
        <v>1</v>
      </c>
      <c r="I79" s="366" t="s">
        <v>29</v>
      </c>
      <c r="J79" s="366">
        <v>1</v>
      </c>
      <c r="K79" s="234">
        <f t="shared" si="14"/>
        <v>3</v>
      </c>
      <c r="L79" s="235"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138</v>
      </c>
      <c r="F80" s="189" t="s">
        <v>29</v>
      </c>
      <c r="G80" s="189" t="s">
        <v>152</v>
      </c>
      <c r="H80" s="366">
        <v>2</v>
      </c>
      <c r="I80" s="366" t="s">
        <v>29</v>
      </c>
      <c r="J80" s="366">
        <v>0</v>
      </c>
      <c r="K80" s="234" t="str">
        <f t="shared" si="14"/>
        <v>1</v>
      </c>
      <c r="L80" s="235"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193</v>
      </c>
      <c r="F81" s="189" t="s">
        <v>29</v>
      </c>
      <c r="G81" s="189" t="s">
        <v>200</v>
      </c>
      <c r="H81" s="366">
        <v>1</v>
      </c>
      <c r="I81" s="366" t="s">
        <v>29</v>
      </c>
      <c r="J81" s="366">
        <v>1</v>
      </c>
      <c r="K81" s="234">
        <f t="shared" si="14"/>
        <v>3</v>
      </c>
      <c r="L81" s="235">
        <f>VLOOKUP($B81,Invulblad!$A$11:$S$103,13,0)</f>
        <v>3</v>
      </c>
      <c r="M81" s="211">
        <f>IF(L81&lt;&gt;"",VLOOKUP($B81,Invulblad!$A$11:$S$103,7,0),"")</f>
        <v>1</v>
      </c>
      <c r="N81" s="209" t="s">
        <v>29</v>
      </c>
      <c r="O81" s="211">
        <f>IF(L81&lt;&gt;"",VLOOKUP($B81,Invulblad!$A$11:$S$103,9,0),"")</f>
        <v>1</v>
      </c>
      <c r="P81" s="212">
        <f t="shared" si="15"/>
        <v>10</v>
      </c>
    </row>
    <row r="82" spans="1:16">
      <c r="A82" s="188">
        <v>69</v>
      </c>
      <c r="B82" s="195">
        <v>53</v>
      </c>
      <c r="C82" s="332">
        <v>41820</v>
      </c>
      <c r="D82" s="333">
        <v>0.75</v>
      </c>
      <c r="E82" s="189" t="s">
        <v>143</v>
      </c>
      <c r="F82" s="189" t="s">
        <v>29</v>
      </c>
      <c r="G82" s="189" t="s">
        <v>572</v>
      </c>
      <c r="H82" s="366">
        <v>3</v>
      </c>
      <c r="I82" s="366" t="s">
        <v>29</v>
      </c>
      <c r="J82" s="366">
        <v>0</v>
      </c>
      <c r="K82" s="234" t="str">
        <f t="shared" si="14"/>
        <v>1</v>
      </c>
      <c r="L82" s="235" t="str">
        <f>VLOOKUP($B82,Invulblad!$A$11:$S$103,13,0)</f>
        <v>1</v>
      </c>
      <c r="M82" s="211">
        <f>IF(L82&lt;&gt;"",VLOOKUP($B82,Invulblad!$A$11:$S$103,7,0),"")</f>
        <v>2</v>
      </c>
      <c r="N82" s="209" t="s">
        <v>29</v>
      </c>
      <c r="O82" s="211">
        <f>IF(L82&lt;&gt;"",VLOOKUP($B82,Invulblad!$A$11:$S$103,9,0),"")</f>
        <v>0</v>
      </c>
      <c r="P82" s="212">
        <f t="shared" si="15"/>
        <v>5</v>
      </c>
    </row>
    <row r="83" spans="1:16">
      <c r="A83" s="188">
        <v>70</v>
      </c>
      <c r="B83" s="195">
        <v>54</v>
      </c>
      <c r="C83" s="332">
        <v>41820</v>
      </c>
      <c r="D83" s="333">
        <v>0.91666666666666663</v>
      </c>
      <c r="E83" s="189" t="s">
        <v>177</v>
      </c>
      <c r="F83" s="189" t="s">
        <v>29</v>
      </c>
      <c r="G83" s="189" t="s">
        <v>395</v>
      </c>
      <c r="H83" s="366">
        <v>2</v>
      </c>
      <c r="I83" s="366" t="s">
        <v>29</v>
      </c>
      <c r="J83" s="366">
        <v>1</v>
      </c>
      <c r="K83" s="234" t="str">
        <f t="shared" si="14"/>
        <v>1</v>
      </c>
      <c r="L83" s="235" t="str">
        <f>VLOOKUP($B83,Invulblad!$A$11:$S$103,13,0)</f>
        <v>1</v>
      </c>
      <c r="M83" s="211">
        <f>IF(L83&lt;&gt;"",VLOOKUP($B83,Invulblad!$A$11:$S$103,7,0),"")</f>
        <v>2</v>
      </c>
      <c r="N83" s="209" t="s">
        <v>29</v>
      </c>
      <c r="O83" s="211">
        <f>IF(L83&lt;&gt;"",VLOOKUP($B83,Invulblad!$A$11:$S$103,9,0),"")</f>
        <v>1</v>
      </c>
      <c r="P83" s="212">
        <f t="shared" si="15"/>
        <v>10</v>
      </c>
    </row>
    <row r="84" spans="1:16">
      <c r="A84" s="188">
        <v>71</v>
      </c>
      <c r="B84" s="195">
        <v>55</v>
      </c>
      <c r="C84" s="332">
        <v>41821</v>
      </c>
      <c r="D84" s="333">
        <v>0.75</v>
      </c>
      <c r="E84" s="189" t="s">
        <v>102</v>
      </c>
      <c r="F84" s="189" t="s">
        <v>29</v>
      </c>
      <c r="G84" s="189" t="s">
        <v>392</v>
      </c>
      <c r="H84" s="366">
        <v>3</v>
      </c>
      <c r="I84" s="366" t="s">
        <v>29</v>
      </c>
      <c r="J84" s="366">
        <v>1</v>
      </c>
      <c r="K84" s="234" t="str">
        <f t="shared" si="14"/>
        <v>1</v>
      </c>
      <c r="L84" s="235"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396</v>
      </c>
      <c r="F85" s="189" t="s">
        <v>29</v>
      </c>
      <c r="G85" s="189" t="s">
        <v>202</v>
      </c>
      <c r="H85" s="366">
        <v>2</v>
      </c>
      <c r="I85" s="366" t="s">
        <v>29</v>
      </c>
      <c r="J85" s="366">
        <v>2</v>
      </c>
      <c r="K85" s="234">
        <f t="shared" si="14"/>
        <v>3</v>
      </c>
      <c r="L85" s="235"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36" t="str">
        <f t="shared" si="14"/>
        <v/>
      </c>
      <c r="L86" s="235"/>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36"/>
      <c r="L87" s="235"/>
      <c r="M87" s="211"/>
      <c r="N87" s="209"/>
      <c r="O87" s="211"/>
    </row>
    <row r="88" spans="1:16">
      <c r="A88" s="188">
        <v>75</v>
      </c>
      <c r="B88" s="195">
        <v>57</v>
      </c>
      <c r="C88" s="332">
        <v>41824</v>
      </c>
      <c r="D88" s="333">
        <v>0.91666666666666663</v>
      </c>
      <c r="E88" s="189" t="s">
        <v>199</v>
      </c>
      <c r="F88" s="189" t="s">
        <v>29</v>
      </c>
      <c r="G88" s="189" t="s">
        <v>97</v>
      </c>
      <c r="H88" s="366">
        <v>2</v>
      </c>
      <c r="I88" s="366" t="s">
        <v>29</v>
      </c>
      <c r="J88" s="366">
        <v>1</v>
      </c>
      <c r="K88" s="234" t="str">
        <f t="shared" si="14"/>
        <v>1</v>
      </c>
      <c r="L88" s="235" t="str">
        <f>VLOOKUP($B88,Invulblad!$A$11:$S$103,13,0)</f>
        <v>1</v>
      </c>
      <c r="M88" s="211">
        <f>IF(L88&lt;&gt;"",VLOOKUP($B88,Invulblad!$A$11:$S$103,7,0),"")</f>
        <v>2</v>
      </c>
      <c r="N88" s="209" t="s">
        <v>29</v>
      </c>
      <c r="O88" s="211">
        <f>IF(L88&lt;&gt;"",VLOOKUP($B88,Invulblad!$A$11:$S$103,9,0),"")</f>
        <v>1</v>
      </c>
      <c r="P88" s="212">
        <f>IF(L88&lt;&gt;"",IF(AND(M88=H88,O88=J88),10,IF(K88=L88,5,0)),"")</f>
        <v>10</v>
      </c>
    </row>
    <row r="89" spans="1:16">
      <c r="A89" s="188">
        <v>76</v>
      </c>
      <c r="B89" s="195">
        <v>58</v>
      </c>
      <c r="C89" s="332">
        <v>41824</v>
      </c>
      <c r="D89" s="333">
        <v>0.75</v>
      </c>
      <c r="E89" s="189" t="s">
        <v>143</v>
      </c>
      <c r="F89" s="189" t="s">
        <v>29</v>
      </c>
      <c r="G89" s="189" t="s">
        <v>177</v>
      </c>
      <c r="H89" s="366">
        <v>1</v>
      </c>
      <c r="I89" s="366" t="s">
        <v>29</v>
      </c>
      <c r="J89" s="366">
        <v>3</v>
      </c>
      <c r="K89" s="234">
        <f t="shared" si="14"/>
        <v>2</v>
      </c>
      <c r="L89" s="235">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138</v>
      </c>
      <c r="F90" s="189" t="s">
        <v>29</v>
      </c>
      <c r="G90" s="189" t="s">
        <v>193</v>
      </c>
      <c r="H90" s="366">
        <v>2</v>
      </c>
      <c r="I90" s="366" t="s">
        <v>29</v>
      </c>
      <c r="J90" s="366">
        <v>2</v>
      </c>
      <c r="K90" s="234">
        <f t="shared" si="14"/>
        <v>3</v>
      </c>
      <c r="L90" s="235">
        <f>VLOOKUP($B90,Invulblad!$A$11:$S$103,13,0)</f>
        <v>3</v>
      </c>
      <c r="M90" s="211">
        <f>IF(L90&lt;&gt;"",VLOOKUP($B90,Invulblad!$A$11:$S$103,7,0),"")</f>
        <v>0</v>
      </c>
      <c r="N90" s="209" t="s">
        <v>29</v>
      </c>
      <c r="O90" s="211">
        <f>IF(L90&lt;&gt;"",VLOOKUP($B90,Invulblad!$A$11:$S$103,9,0),"")</f>
        <v>0</v>
      </c>
      <c r="P90" s="212">
        <f>IF(L90&lt;&gt;"",IF(AND(M90=H90,O90=J90),10,IF(K90=L90,5,0)),"")</f>
        <v>5</v>
      </c>
    </row>
    <row r="91" spans="1:16">
      <c r="A91" s="188">
        <v>78</v>
      </c>
      <c r="B91" s="195">
        <v>60</v>
      </c>
      <c r="C91" s="332">
        <v>41825</v>
      </c>
      <c r="D91" s="333">
        <v>0.75</v>
      </c>
      <c r="E91" s="189" t="s">
        <v>102</v>
      </c>
      <c r="F91" s="189" t="s">
        <v>29</v>
      </c>
      <c r="G91" s="189" t="s">
        <v>396</v>
      </c>
      <c r="H91" s="366">
        <v>0</v>
      </c>
      <c r="I91" s="366" t="s">
        <v>29</v>
      </c>
      <c r="J91" s="366">
        <v>1</v>
      </c>
      <c r="K91" s="234">
        <f t="shared" si="14"/>
        <v>2</v>
      </c>
      <c r="L91" s="235" t="str">
        <f>VLOOKUP($B91,Invulblad!$A$11:$S$103,13,0)</f>
        <v>1</v>
      </c>
      <c r="M91" s="211">
        <f>IF(L91&lt;&gt;"",VLOOKUP($B91,Invulblad!$A$11:$S$103,7,0),"")</f>
        <v>1</v>
      </c>
      <c r="N91" s="209" t="s">
        <v>29</v>
      </c>
      <c r="O91" s="211">
        <f>IF(L91&lt;&gt;"",VLOOKUP($B91,Invulblad!$A$11:$S$103,9,0),"")</f>
        <v>0</v>
      </c>
      <c r="P91" s="212">
        <f>IF(L91&lt;&gt;"",IF(AND(M91=H91,O91=J91),10,IF(K91=L91,5,0)),"")</f>
        <v>0</v>
      </c>
    </row>
    <row r="92" spans="1:16">
      <c r="A92" s="188">
        <v>79</v>
      </c>
      <c r="B92" s="201" t="s">
        <v>88</v>
      </c>
      <c r="H92" s="367"/>
      <c r="I92" s="367"/>
      <c r="J92" s="367"/>
      <c r="K92" s="236" t="str">
        <f t="shared" si="14"/>
        <v/>
      </c>
      <c r="L92" s="235"/>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36"/>
      <c r="L93" s="235"/>
      <c r="M93" s="211"/>
      <c r="O93" s="211"/>
    </row>
    <row r="94" spans="1:16">
      <c r="A94" s="188">
        <v>81</v>
      </c>
      <c r="B94" s="195">
        <v>61</v>
      </c>
      <c r="C94" s="332">
        <v>41828</v>
      </c>
      <c r="D94" s="333">
        <v>0.91666666666666663</v>
      </c>
      <c r="E94" s="189" t="s">
        <v>199</v>
      </c>
      <c r="F94" s="189" t="s">
        <v>29</v>
      </c>
      <c r="G94" s="189" t="s">
        <v>177</v>
      </c>
      <c r="H94" s="366">
        <v>1</v>
      </c>
      <c r="I94" s="366" t="s">
        <v>29</v>
      </c>
      <c r="J94" s="366">
        <v>1</v>
      </c>
      <c r="K94" s="234">
        <f t="shared" si="14"/>
        <v>3</v>
      </c>
      <c r="L94" s="235">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193</v>
      </c>
      <c r="F95" s="189" t="s">
        <v>29</v>
      </c>
      <c r="G95" s="189" t="s">
        <v>396</v>
      </c>
      <c r="H95" s="366">
        <v>0</v>
      </c>
      <c r="I95" s="366" t="s">
        <v>29</v>
      </c>
      <c r="J95" s="366">
        <v>2</v>
      </c>
      <c r="K95" s="234">
        <f t="shared" si="14"/>
        <v>2</v>
      </c>
      <c r="L95" s="235">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367"/>
      <c r="I96" s="367"/>
      <c r="J96" s="367"/>
      <c r="K96" s="236" t="str">
        <f t="shared" si="14"/>
        <v/>
      </c>
      <c r="L96" s="235"/>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36"/>
      <c r="L97" s="235"/>
      <c r="M97" s="211"/>
      <c r="N97" s="209"/>
      <c r="O97" s="211"/>
    </row>
    <row r="98" spans="1:16">
      <c r="A98" s="188">
        <v>85</v>
      </c>
      <c r="B98" s="195">
        <v>63</v>
      </c>
      <c r="C98" s="332">
        <v>41832</v>
      </c>
      <c r="D98" s="333">
        <v>0.91666666666666663</v>
      </c>
      <c r="E98" s="189" t="s">
        <v>199</v>
      </c>
      <c r="F98" s="189" t="s">
        <v>29</v>
      </c>
      <c r="G98" s="189" t="s">
        <v>193</v>
      </c>
      <c r="H98" s="366">
        <v>3</v>
      </c>
      <c r="I98" s="366" t="s">
        <v>29</v>
      </c>
      <c r="J98" s="366">
        <v>1</v>
      </c>
      <c r="K98" s="234" t="str">
        <f t="shared" si="14"/>
        <v>1</v>
      </c>
      <c r="L98" s="235">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367"/>
      <c r="I99" s="367"/>
      <c r="J99" s="367"/>
      <c r="K99" s="236" t="str">
        <f t="shared" si="14"/>
        <v/>
      </c>
      <c r="L99" s="235"/>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36"/>
      <c r="L100" s="235"/>
      <c r="M100" s="211"/>
      <c r="N100" s="209"/>
      <c r="O100" s="211"/>
    </row>
    <row r="101" spans="1:16">
      <c r="A101" s="188">
        <v>88</v>
      </c>
      <c r="B101" s="195">
        <v>64</v>
      </c>
      <c r="C101" s="332">
        <v>41833</v>
      </c>
      <c r="D101" s="333">
        <v>0.875</v>
      </c>
      <c r="E101" s="189" t="s">
        <v>177</v>
      </c>
      <c r="F101" s="189" t="s">
        <v>29</v>
      </c>
      <c r="G101" s="189" t="s">
        <v>396</v>
      </c>
      <c r="H101" s="366">
        <v>2</v>
      </c>
      <c r="I101" s="366" t="s">
        <v>29</v>
      </c>
      <c r="J101" s="366">
        <v>1</v>
      </c>
      <c r="K101" s="234" t="str">
        <f t="shared" si="14"/>
        <v>1</v>
      </c>
      <c r="L101" s="235" t="str">
        <f>VLOOKUP($B101,Invulblad!$A$11:$S$103,13,0)</f>
        <v>1</v>
      </c>
      <c r="M101" s="211">
        <f>IF(L101&lt;&gt;"",VLOOKUP($B101,Invulblad!$A$11:$S$103,7,0),"")</f>
        <v>1</v>
      </c>
      <c r="N101" s="209" t="s">
        <v>29</v>
      </c>
      <c r="O101" s="211">
        <f>IF(L101&lt;&gt;"",VLOOKUP($B101,Invulblad!$A$11:$S$103,9,0),"")</f>
        <v>0</v>
      </c>
      <c r="P101" s="212">
        <f>IF(L101&lt;&gt;"",IF(AND(M101=H101,O101=J101),10,IF(K101=L101,5,0)),"")</f>
        <v>5</v>
      </c>
    </row>
    <row r="102" spans="1:16">
      <c r="B102" s="208" t="s">
        <v>517</v>
      </c>
      <c r="C102" s="208"/>
      <c r="D102" s="208"/>
      <c r="E102" s="208"/>
      <c r="F102" s="208"/>
      <c r="G102" s="208"/>
      <c r="K102" s="237"/>
      <c r="L102" s="238"/>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152</v>
      </c>
    </row>
    <row r="112" spans="1:16">
      <c r="B112" s="201" t="s">
        <v>144</v>
      </c>
    </row>
    <row r="113" spans="2:15" ht="15.75" thickBot="1"/>
    <row r="114" spans="2:15" ht="15.75" thickBot="1">
      <c r="B114" s="215" t="s">
        <v>145</v>
      </c>
      <c r="C114" s="215" t="s">
        <v>146</v>
      </c>
      <c r="D114" s="215" t="s">
        <v>147</v>
      </c>
      <c r="E114" s="215" t="s">
        <v>148</v>
      </c>
    </row>
    <row r="115" spans="2:15" ht="15.75" thickBot="1">
      <c r="B115" s="216" t="s">
        <v>199</v>
      </c>
      <c r="C115" s="216" t="s">
        <v>163</v>
      </c>
      <c r="D115" s="216" t="s">
        <v>172</v>
      </c>
      <c r="E115" s="216" t="s">
        <v>163</v>
      </c>
    </row>
    <row r="116" spans="2:15" ht="15.75" thickBot="1">
      <c r="B116" s="217" t="s">
        <v>389</v>
      </c>
      <c r="C116" s="217" t="s">
        <v>149</v>
      </c>
      <c r="D116" s="217" t="s">
        <v>154</v>
      </c>
      <c r="E116" s="217" t="s">
        <v>149</v>
      </c>
    </row>
    <row r="117" spans="2:15" ht="15.75" thickBot="1">
      <c r="B117" s="216" t="s">
        <v>152</v>
      </c>
      <c r="C117" s="216" t="s">
        <v>149</v>
      </c>
      <c r="D117" s="216" t="s">
        <v>156</v>
      </c>
      <c r="E117" s="216" t="s">
        <v>155</v>
      </c>
    </row>
    <row r="118" spans="2:15" ht="15.75" thickBot="1">
      <c r="B118" s="217" t="s">
        <v>185</v>
      </c>
      <c r="C118" s="217" t="s">
        <v>150</v>
      </c>
      <c r="D118" s="217" t="s">
        <v>188</v>
      </c>
      <c r="E118" s="217" t="s">
        <v>150</v>
      </c>
    </row>
    <row r="121" spans="2:15">
      <c r="B121" s="201" t="s">
        <v>157</v>
      </c>
    </row>
    <row r="122" spans="2:15">
      <c r="B122" s="195"/>
    </row>
    <row r="123" spans="2:15">
      <c r="B123" s="195" t="s">
        <v>158</v>
      </c>
    </row>
    <row r="124" spans="2:15">
      <c r="B124" s="195" t="s">
        <v>249</v>
      </c>
    </row>
    <row r="127" spans="2:15">
      <c r="B127" s="218"/>
      <c r="C127" s="218"/>
      <c r="D127" s="218"/>
      <c r="E127" s="218"/>
      <c r="F127" s="218"/>
      <c r="G127" s="218"/>
      <c r="H127" s="364"/>
      <c r="I127" s="364"/>
      <c r="J127" s="364"/>
      <c r="K127" s="239"/>
      <c r="L127" s="240"/>
      <c r="M127" s="218"/>
      <c r="N127" s="218"/>
      <c r="O127" s="218"/>
    </row>
    <row r="130" spans="1:5">
      <c r="B130" s="201" t="s">
        <v>160</v>
      </c>
    </row>
    <row r="132" spans="1:5">
      <c r="A132" s="241" t="s">
        <v>67</v>
      </c>
      <c r="B132" s="189" t="s">
        <v>140</v>
      </c>
      <c r="C132" s="189" t="s">
        <v>141</v>
      </c>
      <c r="D132" s="201" t="s">
        <v>138</v>
      </c>
    </row>
    <row r="133" spans="1:5">
      <c r="A133" s="188" t="s">
        <v>68</v>
      </c>
      <c r="B133" s="189" t="s">
        <v>142</v>
      </c>
      <c r="C133" s="189" t="s">
        <v>141</v>
      </c>
      <c r="D133" s="201" t="s">
        <v>135</v>
      </c>
    </row>
    <row r="136" spans="1:5">
      <c r="B136" s="201" t="s">
        <v>161</v>
      </c>
    </row>
    <row r="137" spans="1:5" ht="15.75" thickBot="1"/>
    <row r="138" spans="1:5" ht="15.75" thickBot="1">
      <c r="B138" s="215" t="s">
        <v>145</v>
      </c>
      <c r="C138" s="215" t="s">
        <v>146</v>
      </c>
      <c r="D138" s="215" t="s">
        <v>147</v>
      </c>
      <c r="E138" s="215" t="s">
        <v>148</v>
      </c>
    </row>
    <row r="139" spans="1:5" ht="15.75" thickBot="1">
      <c r="B139" s="216" t="s">
        <v>138</v>
      </c>
      <c r="C139" s="216" t="s">
        <v>172</v>
      </c>
      <c r="D139" s="216" t="s">
        <v>151</v>
      </c>
      <c r="E139" s="216" t="s">
        <v>155</v>
      </c>
    </row>
    <row r="140" spans="1:5" ht="15.75" thickBot="1">
      <c r="B140" s="217" t="s">
        <v>135</v>
      </c>
      <c r="C140" s="217" t="s">
        <v>164</v>
      </c>
      <c r="D140" s="217" t="s">
        <v>153</v>
      </c>
      <c r="E140" s="217" t="s">
        <v>149</v>
      </c>
    </row>
    <row r="141" spans="1:5" ht="15.75" thickBot="1">
      <c r="B141" s="216" t="s">
        <v>207</v>
      </c>
      <c r="C141" s="216" t="s">
        <v>149</v>
      </c>
      <c r="D141" s="216" t="s">
        <v>150</v>
      </c>
      <c r="E141" s="216" t="s">
        <v>151</v>
      </c>
    </row>
    <row r="142" spans="1:5" ht="15.75" thickBot="1">
      <c r="B142" s="217" t="s">
        <v>179</v>
      </c>
      <c r="C142" s="217" t="s">
        <v>150</v>
      </c>
      <c r="D142" s="217" t="s">
        <v>162</v>
      </c>
      <c r="E142" s="217" t="s">
        <v>156</v>
      </c>
    </row>
    <row r="145" spans="1:15">
      <c r="B145" s="201" t="s">
        <v>166</v>
      </c>
    </row>
    <row r="146" spans="1:15">
      <c r="B146" s="195"/>
    </row>
    <row r="147" spans="1:15">
      <c r="B147" s="195" t="s">
        <v>167</v>
      </c>
    </row>
    <row r="148" spans="1:15">
      <c r="B148" s="195" t="s">
        <v>168</v>
      </c>
    </row>
    <row r="151" spans="1:15">
      <c r="B151" s="218"/>
      <c r="C151" s="218"/>
      <c r="D151" s="218"/>
      <c r="E151" s="218"/>
      <c r="F151" s="218"/>
      <c r="G151" s="218"/>
      <c r="H151" s="364"/>
      <c r="I151" s="364"/>
      <c r="J151" s="364"/>
      <c r="K151" s="239"/>
      <c r="L151" s="240"/>
      <c r="M151" s="218"/>
      <c r="N151" s="218"/>
      <c r="O151" s="218"/>
    </row>
    <row r="154" spans="1:15">
      <c r="B154" s="201" t="s">
        <v>169</v>
      </c>
    </row>
    <row r="156" spans="1:15">
      <c r="A156" s="188" t="s">
        <v>69</v>
      </c>
      <c r="B156" s="189" t="s">
        <v>140</v>
      </c>
      <c r="C156" s="189" t="s">
        <v>141</v>
      </c>
      <c r="D156" s="201" t="s">
        <v>390</v>
      </c>
    </row>
    <row r="157" spans="1:15">
      <c r="A157" s="188" t="s">
        <v>70</v>
      </c>
      <c r="B157" s="189" t="s">
        <v>142</v>
      </c>
      <c r="C157" s="189" t="s">
        <v>141</v>
      </c>
      <c r="D157" s="201" t="s">
        <v>200</v>
      </c>
    </row>
    <row r="160" spans="1:15">
      <c r="B160" s="201" t="s">
        <v>170</v>
      </c>
    </row>
    <row r="161" spans="2:15" ht="15.75" thickBot="1"/>
    <row r="162" spans="2:15" ht="15.75" thickBot="1">
      <c r="B162" s="215" t="s">
        <v>145</v>
      </c>
      <c r="C162" s="215" t="s">
        <v>146</v>
      </c>
      <c r="D162" s="215" t="s">
        <v>147</v>
      </c>
      <c r="E162" s="215" t="s">
        <v>148</v>
      </c>
    </row>
    <row r="163" spans="2:15" ht="15.75" thickBot="1">
      <c r="B163" s="216" t="s">
        <v>390</v>
      </c>
      <c r="C163" s="216" t="s">
        <v>172</v>
      </c>
      <c r="D163" s="216" t="s">
        <v>149</v>
      </c>
      <c r="E163" s="216" t="s">
        <v>172</v>
      </c>
    </row>
    <row r="164" spans="2:15" ht="15.75" thickBot="1">
      <c r="B164" s="217" t="s">
        <v>106</v>
      </c>
      <c r="C164" s="217" t="s">
        <v>149</v>
      </c>
      <c r="D164" s="217" t="s">
        <v>150</v>
      </c>
      <c r="E164" s="217" t="s">
        <v>151</v>
      </c>
    </row>
    <row r="165" spans="2:15" ht="15.75" thickBot="1">
      <c r="B165" s="216" t="s">
        <v>200</v>
      </c>
      <c r="C165" s="216" t="s">
        <v>155</v>
      </c>
      <c r="D165" s="216" t="s">
        <v>153</v>
      </c>
      <c r="E165" s="216" t="s">
        <v>164</v>
      </c>
    </row>
    <row r="166" spans="2:15" ht="15.75" thickBot="1">
      <c r="B166" s="217" t="s">
        <v>187</v>
      </c>
      <c r="C166" s="217" t="s">
        <v>150</v>
      </c>
      <c r="D166" s="217" t="s">
        <v>241</v>
      </c>
      <c r="E166" s="217" t="s">
        <v>156</v>
      </c>
    </row>
    <row r="169" spans="2:15">
      <c r="B169" s="201" t="s">
        <v>173</v>
      </c>
    </row>
    <row r="170" spans="2:15">
      <c r="B170" s="195"/>
    </row>
    <row r="171" spans="2:15">
      <c r="B171" s="195" t="s">
        <v>174</v>
      </c>
    </row>
    <row r="172" spans="2:15">
      <c r="B172" s="195" t="s">
        <v>175</v>
      </c>
    </row>
    <row r="175" spans="2:15">
      <c r="B175" s="218"/>
      <c r="C175" s="218"/>
      <c r="D175" s="218"/>
      <c r="E175" s="218"/>
      <c r="F175" s="218"/>
      <c r="G175" s="218"/>
      <c r="H175" s="364"/>
      <c r="I175" s="364"/>
      <c r="J175" s="364"/>
    </row>
    <row r="176" spans="2:15">
      <c r="K176" s="239"/>
      <c r="L176" s="240"/>
      <c r="M176" s="218"/>
      <c r="N176" s="218"/>
      <c r="O176" s="218"/>
    </row>
    <row r="178" spans="1:5">
      <c r="B178" s="201" t="s">
        <v>176</v>
      </c>
    </row>
    <row r="180" spans="1:5">
      <c r="A180" s="188" t="s">
        <v>71</v>
      </c>
      <c r="B180" s="189" t="s">
        <v>140</v>
      </c>
      <c r="C180" s="189" t="s">
        <v>141</v>
      </c>
      <c r="D180" s="201" t="s">
        <v>193</v>
      </c>
    </row>
    <row r="181" spans="1:5">
      <c r="A181" s="188" t="s">
        <v>72</v>
      </c>
      <c r="B181" s="189" t="s">
        <v>142</v>
      </c>
      <c r="C181" s="189" t="s">
        <v>141</v>
      </c>
      <c r="D181" s="201" t="s">
        <v>97</v>
      </c>
    </row>
    <row r="184" spans="1:5">
      <c r="B184" s="201" t="s">
        <v>178</v>
      </c>
    </row>
    <row r="185" spans="1:5" ht="15.75" thickBot="1"/>
    <row r="186" spans="1:5" ht="15.75" thickBot="1">
      <c r="B186" s="215" t="s">
        <v>145</v>
      </c>
      <c r="C186" s="215" t="s">
        <v>146</v>
      </c>
      <c r="D186" s="215" t="s">
        <v>147</v>
      </c>
      <c r="E186" s="215" t="s">
        <v>148</v>
      </c>
    </row>
    <row r="187" spans="1:5" ht="15.75" thickBot="1">
      <c r="B187" s="216" t="s">
        <v>97</v>
      </c>
      <c r="C187" s="216" t="s">
        <v>164</v>
      </c>
      <c r="D187" s="216" t="s">
        <v>151</v>
      </c>
      <c r="E187" s="216" t="s">
        <v>172</v>
      </c>
    </row>
    <row r="188" spans="1:5" ht="15.75" thickBot="1">
      <c r="B188" s="217" t="s">
        <v>391</v>
      </c>
      <c r="C188" s="217" t="s">
        <v>150</v>
      </c>
      <c r="D188" s="217" t="s">
        <v>188</v>
      </c>
      <c r="E188" s="217" t="s">
        <v>150</v>
      </c>
    </row>
    <row r="189" spans="1:5" ht="15.75" thickBot="1">
      <c r="B189" s="216" t="s">
        <v>109</v>
      </c>
      <c r="C189" s="216" t="s">
        <v>149</v>
      </c>
      <c r="D189" s="216" t="s">
        <v>156</v>
      </c>
      <c r="E189" s="216" t="s">
        <v>149</v>
      </c>
    </row>
    <row r="190" spans="1:5" ht="15.75" thickBot="1">
      <c r="B190" s="217" t="s">
        <v>193</v>
      </c>
      <c r="C190" s="217" t="s">
        <v>172</v>
      </c>
      <c r="D190" s="217" t="s">
        <v>151</v>
      </c>
      <c r="E190" s="217" t="s">
        <v>164</v>
      </c>
    </row>
    <row r="193" spans="1:15">
      <c r="B193" s="201" t="s">
        <v>182</v>
      </c>
    </row>
    <row r="194" spans="1:15">
      <c r="B194" s="195"/>
    </row>
    <row r="195" spans="1:15">
      <c r="B195" s="195" t="s">
        <v>239</v>
      </c>
    </row>
    <row r="196" spans="1:15">
      <c r="B196" s="195" t="s">
        <v>240</v>
      </c>
    </row>
    <row r="199" spans="1:15">
      <c r="B199" s="218"/>
      <c r="C199" s="218"/>
      <c r="D199" s="218"/>
      <c r="E199" s="218"/>
      <c r="F199" s="218"/>
      <c r="G199" s="218"/>
      <c r="H199" s="364"/>
      <c r="I199" s="364"/>
      <c r="J199" s="364"/>
      <c r="K199" s="239"/>
      <c r="L199" s="240"/>
      <c r="M199" s="218"/>
      <c r="N199" s="218"/>
      <c r="O199" s="218"/>
    </row>
    <row r="202" spans="1:15">
      <c r="B202" s="201" t="s">
        <v>184</v>
      </c>
    </row>
    <row r="204" spans="1:15">
      <c r="A204" s="188" t="s">
        <v>73</v>
      </c>
      <c r="B204" s="189" t="s">
        <v>140</v>
      </c>
      <c r="C204" s="189" t="s">
        <v>141</v>
      </c>
      <c r="D204" s="201" t="s">
        <v>143</v>
      </c>
    </row>
    <row r="205" spans="1:15">
      <c r="A205" s="188" t="s">
        <v>74</v>
      </c>
      <c r="B205" s="189" t="s">
        <v>142</v>
      </c>
      <c r="C205" s="189" t="s">
        <v>141</v>
      </c>
      <c r="D205" s="201" t="s">
        <v>392</v>
      </c>
    </row>
    <row r="208" spans="1:15">
      <c r="B208" s="201" t="s">
        <v>186</v>
      </c>
    </row>
    <row r="209" spans="2:15" ht="15.75" thickBot="1"/>
    <row r="210" spans="2:15" ht="15.75" thickBot="1">
      <c r="B210" s="215" t="s">
        <v>145</v>
      </c>
      <c r="C210" s="215" t="s">
        <v>146</v>
      </c>
      <c r="D210" s="215" t="s">
        <v>147</v>
      </c>
      <c r="E210" s="215" t="s">
        <v>148</v>
      </c>
    </row>
    <row r="211" spans="2:15" ht="15.75" thickBot="1">
      <c r="B211" s="216" t="s">
        <v>209</v>
      </c>
      <c r="C211" s="216" t="s">
        <v>151</v>
      </c>
      <c r="D211" s="216" t="s">
        <v>154</v>
      </c>
      <c r="E211" s="216" t="s">
        <v>153</v>
      </c>
    </row>
    <row r="212" spans="2:15" ht="15.75" thickBot="1">
      <c r="B212" s="217" t="s">
        <v>392</v>
      </c>
      <c r="C212" s="217" t="s">
        <v>164</v>
      </c>
      <c r="D212" s="217" t="s">
        <v>153</v>
      </c>
      <c r="E212" s="217" t="s">
        <v>155</v>
      </c>
    </row>
    <row r="213" spans="2:15" ht="15.75" thickBot="1">
      <c r="B213" s="216" t="s">
        <v>143</v>
      </c>
      <c r="C213" s="216" t="s">
        <v>163</v>
      </c>
      <c r="D213" s="216" t="s">
        <v>164</v>
      </c>
      <c r="E213" s="216" t="s">
        <v>172</v>
      </c>
    </row>
    <row r="214" spans="2:15" ht="15.75" thickBot="1">
      <c r="B214" s="217" t="s">
        <v>210</v>
      </c>
      <c r="C214" s="217" t="s">
        <v>150</v>
      </c>
      <c r="D214" s="217" t="s">
        <v>188</v>
      </c>
      <c r="E214" s="217" t="s">
        <v>156</v>
      </c>
    </row>
    <row r="217" spans="2:15">
      <c r="B217" s="201" t="s">
        <v>189</v>
      </c>
    </row>
    <row r="218" spans="2:15">
      <c r="B218" s="195"/>
    </row>
    <row r="219" spans="2:15">
      <c r="B219" s="195" t="s">
        <v>190</v>
      </c>
    </row>
    <row r="220" spans="2:15">
      <c r="B220" s="195" t="s">
        <v>191</v>
      </c>
    </row>
    <row r="223" spans="2:15">
      <c r="B223" s="218"/>
      <c r="C223" s="218"/>
      <c r="D223" s="218"/>
      <c r="E223" s="218"/>
      <c r="F223" s="218"/>
      <c r="G223" s="218"/>
      <c r="H223" s="364"/>
      <c r="I223" s="364"/>
      <c r="J223" s="364"/>
      <c r="K223" s="239"/>
      <c r="L223" s="240"/>
      <c r="M223" s="218"/>
      <c r="N223" s="218"/>
      <c r="O223" s="218"/>
    </row>
    <row r="226" spans="1:5">
      <c r="B226" s="201" t="s">
        <v>192</v>
      </c>
    </row>
    <row r="228" spans="1:5">
      <c r="A228" s="188" t="s">
        <v>75</v>
      </c>
      <c r="B228" s="189" t="s">
        <v>140</v>
      </c>
      <c r="C228" s="189" t="s">
        <v>141</v>
      </c>
      <c r="D228" s="201" t="s">
        <v>102</v>
      </c>
    </row>
    <row r="229" spans="1:5">
      <c r="A229" s="188" t="s">
        <v>76</v>
      </c>
      <c r="B229" s="189" t="s">
        <v>142</v>
      </c>
      <c r="C229" s="189" t="s">
        <v>141</v>
      </c>
      <c r="D229" s="201" t="s">
        <v>572</v>
      </c>
    </row>
    <row r="232" spans="1:5">
      <c r="B232" s="201" t="s">
        <v>194</v>
      </c>
    </row>
    <row r="233" spans="1:5" ht="15.75" thickBot="1"/>
    <row r="234" spans="1:5" ht="15.75" thickBot="1">
      <c r="B234" s="215" t="s">
        <v>145</v>
      </c>
      <c r="C234" s="215" t="s">
        <v>146</v>
      </c>
      <c r="D234" s="215" t="s">
        <v>147</v>
      </c>
      <c r="E234" s="215" t="s">
        <v>148</v>
      </c>
    </row>
    <row r="235" spans="1:5" ht="15.75" thickBot="1">
      <c r="B235" s="216" t="s">
        <v>102</v>
      </c>
      <c r="C235" s="216" t="s">
        <v>172</v>
      </c>
      <c r="D235" s="216" t="s">
        <v>151</v>
      </c>
      <c r="E235" s="216" t="s">
        <v>172</v>
      </c>
    </row>
    <row r="236" spans="1:5" ht="15.75" thickBot="1">
      <c r="B236" s="217" t="s">
        <v>572</v>
      </c>
      <c r="C236" s="217" t="s">
        <v>155</v>
      </c>
      <c r="D236" s="217" t="s">
        <v>156</v>
      </c>
      <c r="E236" s="217" t="s">
        <v>155</v>
      </c>
    </row>
    <row r="237" spans="1:5" ht="15.75" thickBot="1">
      <c r="B237" s="216" t="s">
        <v>394</v>
      </c>
      <c r="C237" s="216" t="s">
        <v>156</v>
      </c>
      <c r="D237" s="216" t="s">
        <v>171</v>
      </c>
      <c r="E237" s="216" t="s">
        <v>153</v>
      </c>
    </row>
    <row r="238" spans="1:5" ht="15.75" thickBot="1">
      <c r="B238" s="217" t="s">
        <v>108</v>
      </c>
      <c r="C238" s="217" t="s">
        <v>153</v>
      </c>
      <c r="D238" s="217" t="s">
        <v>154</v>
      </c>
      <c r="E238" s="217" t="s">
        <v>149</v>
      </c>
    </row>
    <row r="241" spans="1:15">
      <c r="B241" s="201" t="s">
        <v>195</v>
      </c>
    </row>
    <row r="242" spans="1:15">
      <c r="B242" s="195"/>
    </row>
    <row r="243" spans="1:15">
      <c r="B243" s="195" t="s">
        <v>196</v>
      </c>
    </row>
    <row r="244" spans="1:15">
      <c r="B244" s="195" t="s">
        <v>197</v>
      </c>
    </row>
    <row r="247" spans="1:15">
      <c r="B247" s="218"/>
      <c r="C247" s="218"/>
      <c r="D247" s="218"/>
      <c r="E247" s="218"/>
      <c r="F247" s="218"/>
      <c r="G247" s="218"/>
      <c r="H247" s="364"/>
      <c r="I247" s="364"/>
      <c r="J247" s="364"/>
      <c r="K247" s="239"/>
      <c r="L247" s="240"/>
      <c r="M247" s="218"/>
      <c r="N247" s="218"/>
      <c r="O247" s="218"/>
    </row>
    <row r="250" spans="1:15">
      <c r="B250" s="201" t="s">
        <v>198</v>
      </c>
    </row>
    <row r="252" spans="1:15">
      <c r="A252" s="188" t="s">
        <v>77</v>
      </c>
      <c r="B252" s="189" t="s">
        <v>140</v>
      </c>
      <c r="C252" s="189" t="s">
        <v>141</v>
      </c>
      <c r="D252" s="201" t="s">
        <v>177</v>
      </c>
    </row>
    <row r="253" spans="1:15">
      <c r="A253" s="188" t="s">
        <v>78</v>
      </c>
      <c r="B253" s="189" t="s">
        <v>142</v>
      </c>
      <c r="C253" s="189" t="s">
        <v>141</v>
      </c>
      <c r="D253" s="201" t="s">
        <v>202</v>
      </c>
    </row>
    <row r="256" spans="1:15">
      <c r="B256" s="201" t="s">
        <v>201</v>
      </c>
    </row>
    <row r="257" spans="2:15" ht="15.75" thickBot="1"/>
    <row r="258" spans="2:15" ht="15.75" thickBot="1">
      <c r="B258" s="215" t="s">
        <v>145</v>
      </c>
      <c r="C258" s="215" t="s">
        <v>146</v>
      </c>
      <c r="D258" s="215" t="s">
        <v>147</v>
      </c>
      <c r="E258" s="215" t="s">
        <v>148</v>
      </c>
    </row>
    <row r="259" spans="2:15" ht="15.75" thickBot="1">
      <c r="B259" s="216" t="s">
        <v>177</v>
      </c>
      <c r="C259" s="216" t="s">
        <v>172</v>
      </c>
      <c r="D259" s="216" t="s">
        <v>155</v>
      </c>
      <c r="E259" s="216" t="s">
        <v>243</v>
      </c>
    </row>
    <row r="260" spans="2:15" ht="15.75" thickBot="1">
      <c r="B260" s="217" t="s">
        <v>202</v>
      </c>
      <c r="C260" s="217" t="s">
        <v>155</v>
      </c>
      <c r="D260" s="217" t="s">
        <v>156</v>
      </c>
      <c r="E260" s="217" t="s">
        <v>155</v>
      </c>
    </row>
    <row r="261" spans="2:15" ht="15.75" thickBot="1">
      <c r="B261" s="216" t="s">
        <v>181</v>
      </c>
      <c r="C261" s="216" t="s">
        <v>150</v>
      </c>
      <c r="D261" s="216" t="s">
        <v>180</v>
      </c>
      <c r="E261" s="216" t="s">
        <v>151</v>
      </c>
    </row>
    <row r="262" spans="2:15" ht="15.75" thickBot="1">
      <c r="B262" s="217" t="s">
        <v>32</v>
      </c>
      <c r="C262" s="217" t="s">
        <v>149</v>
      </c>
      <c r="D262" s="217" t="s">
        <v>165</v>
      </c>
      <c r="E262" s="217" t="s">
        <v>155</v>
      </c>
    </row>
    <row r="265" spans="2:15">
      <c r="B265" s="201" t="s">
        <v>203</v>
      </c>
    </row>
    <row r="266" spans="2:15">
      <c r="B266" s="195"/>
    </row>
    <row r="267" spans="2:15">
      <c r="B267" s="195" t="s">
        <v>204</v>
      </c>
    </row>
    <row r="268" spans="2:15">
      <c r="B268" s="195" t="s">
        <v>205</v>
      </c>
    </row>
    <row r="270" spans="2:15">
      <c r="B270" s="218"/>
      <c r="C270" s="218"/>
      <c r="D270" s="218"/>
      <c r="E270" s="218"/>
      <c r="F270" s="218"/>
      <c r="G270" s="218"/>
      <c r="K270" s="239"/>
      <c r="L270" s="240"/>
      <c r="M270" s="218"/>
      <c r="N270" s="218"/>
      <c r="O270" s="218"/>
    </row>
    <row r="271" spans="2:15">
      <c r="H271" s="364"/>
      <c r="I271" s="364"/>
      <c r="J271" s="364"/>
    </row>
    <row r="274" spans="1:5">
      <c r="B274" s="201" t="s">
        <v>206</v>
      </c>
    </row>
    <row r="276" spans="1:5">
      <c r="A276" s="188" t="s">
        <v>79</v>
      </c>
      <c r="B276" s="189" t="s">
        <v>140</v>
      </c>
      <c r="C276" s="189" t="s">
        <v>141</v>
      </c>
      <c r="D276" s="201" t="s">
        <v>396</v>
      </c>
    </row>
    <row r="277" spans="1:5">
      <c r="A277" s="188" t="s">
        <v>80</v>
      </c>
      <c r="B277" s="189" t="s">
        <v>142</v>
      </c>
      <c r="C277" s="189" t="s">
        <v>141</v>
      </c>
      <c r="D277" s="201" t="s">
        <v>395</v>
      </c>
    </row>
    <row r="280" spans="1:5">
      <c r="B280" s="201" t="s">
        <v>208</v>
      </c>
    </row>
    <row r="281" spans="1:5" ht="15.75" thickBot="1"/>
    <row r="282" spans="1:5" ht="15.75" thickBot="1">
      <c r="B282" s="215" t="s">
        <v>145</v>
      </c>
      <c r="C282" s="215" t="s">
        <v>146</v>
      </c>
      <c r="D282" s="215" t="s">
        <v>147</v>
      </c>
      <c r="E282" s="215" t="s">
        <v>148</v>
      </c>
    </row>
    <row r="283" spans="1:5" ht="15.75" thickBot="1">
      <c r="B283" s="216" t="s">
        <v>395</v>
      </c>
      <c r="C283" s="216" t="s">
        <v>172</v>
      </c>
      <c r="D283" s="216" t="s">
        <v>151</v>
      </c>
      <c r="E283" s="216" t="s">
        <v>164</v>
      </c>
    </row>
    <row r="284" spans="1:5" ht="15.75" thickBot="1">
      <c r="B284" s="217" t="s">
        <v>110</v>
      </c>
      <c r="C284" s="217" t="s">
        <v>151</v>
      </c>
      <c r="D284" s="217" t="s">
        <v>165</v>
      </c>
      <c r="E284" s="217" t="s">
        <v>151</v>
      </c>
    </row>
    <row r="285" spans="1:5" ht="15.75" thickBot="1">
      <c r="B285" s="216" t="s">
        <v>396</v>
      </c>
      <c r="C285" s="216" t="s">
        <v>172</v>
      </c>
      <c r="D285" s="216" t="s">
        <v>151</v>
      </c>
      <c r="E285" s="216" t="s">
        <v>243</v>
      </c>
    </row>
    <row r="286" spans="1:5" ht="15.75" thickBot="1">
      <c r="B286" s="217" t="s">
        <v>104</v>
      </c>
      <c r="C286" s="217" t="s">
        <v>150</v>
      </c>
      <c r="D286" s="217" t="s">
        <v>180</v>
      </c>
      <c r="E286" s="217" t="s">
        <v>153</v>
      </c>
    </row>
    <row r="289" spans="2:15">
      <c r="B289" s="201" t="s">
        <v>211</v>
      </c>
    </row>
    <row r="290" spans="2:15">
      <c r="B290" s="195"/>
    </row>
    <row r="291" spans="2:15">
      <c r="B291" s="195" t="s">
        <v>259</v>
      </c>
    </row>
    <row r="292" spans="2:15">
      <c r="B292" s="195"/>
    </row>
    <row r="294" spans="2:15">
      <c r="H294" s="364"/>
      <c r="I294" s="364"/>
      <c r="J294" s="364"/>
    </row>
    <row r="295" spans="2:15">
      <c r="B295" s="218"/>
      <c r="C295" s="218"/>
      <c r="D295" s="218"/>
      <c r="E295" s="218"/>
      <c r="F295" s="218"/>
      <c r="G295" s="218"/>
      <c r="K295" s="239"/>
      <c r="L295" s="240"/>
      <c r="M295" s="218"/>
      <c r="N295" s="218"/>
      <c r="O295" s="218"/>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paperSize="9" firstPageNumber="0" orientation="portrait" horizontalDpi="300" verticalDpi="300"/>
  <headerFooter alignWithMargins="0"/>
</worksheet>
</file>

<file path=xl/worksheets/sheet27.xml><?xml version="1.0" encoding="utf-8"?>
<worksheet xmlns="http://schemas.openxmlformats.org/spreadsheetml/2006/main" xmlns:r="http://schemas.openxmlformats.org/officeDocument/2006/relationships">
  <sheetPr codeName="Blad16">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497</v>
      </c>
      <c r="L1" s="194"/>
      <c r="P1" s="193">
        <f>SUM(P14:P101)+E11+H11+L7+L11+Q11</f>
        <v>395</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Nederland</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Griekenland</v>
      </c>
      <c r="C4" s="222">
        <f t="shared" si="1"/>
        <v>10</v>
      </c>
      <c r="D4" s="224" t="str">
        <f t="shared" si="2"/>
        <v>Italië</v>
      </c>
      <c r="E4" s="222">
        <f t="shared" si="3"/>
        <v>0</v>
      </c>
      <c r="F4" s="339" t="s">
        <v>450</v>
      </c>
      <c r="G4" s="195" t="str">
        <f>G88</f>
        <v>Italië</v>
      </c>
      <c r="H4" s="222">
        <f t="shared" si="4"/>
        <v>0</v>
      </c>
      <c r="I4" s="339" t="s">
        <v>458</v>
      </c>
      <c r="J4" s="195" t="str">
        <f>G94</f>
        <v>Duitsland</v>
      </c>
      <c r="L4" s="222">
        <f>IF(ISNA(MATCH(J4,teams_halve,0)),0,20)</f>
        <v>20</v>
      </c>
      <c r="Q4" s="224"/>
    </row>
    <row r="5" spans="1:21" s="195" customFormat="1" ht="15" customHeight="1">
      <c r="B5" s="224" t="str">
        <f t="shared" si="0"/>
        <v>Spanje</v>
      </c>
      <c r="C5" s="222">
        <f t="shared" si="1"/>
        <v>0</v>
      </c>
      <c r="D5" s="224" t="str">
        <f t="shared" si="2"/>
        <v>Mexico</v>
      </c>
      <c r="E5" s="222">
        <f t="shared" si="3"/>
        <v>10</v>
      </c>
      <c r="F5" s="339" t="s">
        <v>451</v>
      </c>
      <c r="G5" s="195" t="str">
        <f>E90</f>
        <v>Spanje</v>
      </c>
      <c r="H5" s="222">
        <f t="shared" si="4"/>
        <v>0</v>
      </c>
      <c r="I5" s="339" t="s">
        <v>459</v>
      </c>
      <c r="J5" s="195" t="str">
        <f>E95</f>
        <v>Spanje</v>
      </c>
      <c r="L5" s="222">
        <f>IF(ISNA(MATCH(J5,teams_halve,0)),0,20)</f>
        <v>0</v>
      </c>
    </row>
    <row r="6" spans="1:21" s="195" customFormat="1" ht="15" customHeight="1">
      <c r="B6" s="224" t="str">
        <f t="shared" si="0"/>
        <v>Engeland</v>
      </c>
      <c r="C6" s="222">
        <f t="shared" si="1"/>
        <v>0</v>
      </c>
      <c r="D6" s="224" t="str">
        <f t="shared" si="2"/>
        <v>Ivoorkust</v>
      </c>
      <c r="E6" s="222">
        <f t="shared" si="3"/>
        <v>0</v>
      </c>
      <c r="F6" s="339" t="s">
        <v>452</v>
      </c>
      <c r="G6" s="195" t="str">
        <f>G90</f>
        <v>Engeland</v>
      </c>
      <c r="H6" s="222">
        <f t="shared" si="4"/>
        <v>0</v>
      </c>
      <c r="I6" s="339" t="s">
        <v>460</v>
      </c>
      <c r="J6" s="195" t="str">
        <f>G95</f>
        <v>Argentinië</v>
      </c>
      <c r="L6" s="222">
        <f>IF(ISNA(MATCH(J6,teams_halve,0)),0,20)</f>
        <v>20</v>
      </c>
    </row>
    <row r="7" spans="1:21" s="195" customFormat="1" ht="15" customHeight="1">
      <c r="B7" s="224" t="str">
        <f t="shared" si="0"/>
        <v>Frankrijk</v>
      </c>
      <c r="C7" s="222">
        <f t="shared" si="1"/>
        <v>10</v>
      </c>
      <c r="D7" s="224" t="str">
        <f t="shared" si="2"/>
        <v>Nigeria</v>
      </c>
      <c r="E7" s="222">
        <f t="shared" si="3"/>
        <v>10</v>
      </c>
      <c r="F7" s="339" t="s">
        <v>453</v>
      </c>
      <c r="G7" s="195" t="str">
        <f>E89</f>
        <v>Frankrijk</v>
      </c>
      <c r="H7" s="222">
        <f t="shared" si="4"/>
        <v>15</v>
      </c>
      <c r="I7" s="339"/>
      <c r="J7" s="198" t="s">
        <v>83</v>
      </c>
      <c r="K7" s="199"/>
      <c r="L7" s="225">
        <f>SUM(L3:L6)</f>
        <v>60</v>
      </c>
    </row>
    <row r="8" spans="1:21" s="195" customFormat="1" ht="15" customHeight="1">
      <c r="B8" s="224" t="str">
        <f t="shared" si="0"/>
        <v>Duitsland</v>
      </c>
      <c r="C8" s="222">
        <f t="shared" si="1"/>
        <v>10</v>
      </c>
      <c r="D8" s="224" t="str">
        <f t="shared" si="2"/>
        <v>België</v>
      </c>
      <c r="E8" s="222">
        <f t="shared" si="3"/>
        <v>10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Honduras</v>
      </c>
      <c r="E9" s="222">
        <f t="shared" si="3"/>
        <v>0</v>
      </c>
      <c r="F9" s="339" t="s">
        <v>455</v>
      </c>
      <c r="G9" s="195" t="str">
        <f>E91</f>
        <v>Argentinië</v>
      </c>
      <c r="H9" s="222">
        <f t="shared" si="4"/>
        <v>15</v>
      </c>
      <c r="I9" s="339" t="s">
        <v>461</v>
      </c>
      <c r="J9" s="195" t="str">
        <f>E101</f>
        <v>Brazilië</v>
      </c>
      <c r="L9" s="222">
        <f>IF(ISNA(MATCH(J9,teams_fin,0)),0,30)</f>
        <v>0</v>
      </c>
      <c r="P9" s="444" t="str">
        <f>E98</f>
        <v>Duitsland</v>
      </c>
      <c r="Q9" s="222">
        <f>IF(ISNA(MATCH(P9,teams_troost,0)),0,25)</f>
        <v>0</v>
      </c>
    </row>
    <row r="10" spans="1:21" s="195" customFormat="1" ht="15" customHeight="1">
      <c r="B10" s="224" t="str">
        <f t="shared" si="0"/>
        <v>Rusland</v>
      </c>
      <c r="C10" s="222">
        <f t="shared" si="1"/>
        <v>0</v>
      </c>
      <c r="D10" s="224" t="str">
        <f t="shared" si="2"/>
        <v>Portugal</v>
      </c>
      <c r="E10" s="222">
        <f t="shared" si="3"/>
        <v>0</v>
      </c>
      <c r="F10" s="339" t="s">
        <v>456</v>
      </c>
      <c r="G10" s="195" t="str">
        <f>G91</f>
        <v>Portugal</v>
      </c>
      <c r="H10" s="222">
        <f t="shared" si="4"/>
        <v>0</v>
      </c>
      <c r="I10" s="339" t="s">
        <v>462</v>
      </c>
      <c r="J10" s="195" t="str">
        <f>G101</f>
        <v>Argentinië</v>
      </c>
      <c r="L10" s="222">
        <f>IF(ISNA(MATCH(J10,teams_fin,0)),0,30)</f>
        <v>30</v>
      </c>
      <c r="P10" s="444" t="str">
        <f>G98</f>
        <v>Spanje</v>
      </c>
      <c r="Q10" s="222">
        <f>IF(ISNA(MATCH(P10,teams_troost,0)),0,25)</f>
        <v>0</v>
      </c>
    </row>
    <row r="11" spans="1:21" s="195" customFormat="1" ht="15" customHeight="1">
      <c r="D11" s="198" t="s">
        <v>89</v>
      </c>
      <c r="E11" s="225">
        <f>SUM(C3:E10)</f>
        <v>90</v>
      </c>
      <c r="G11" s="198" t="s">
        <v>82</v>
      </c>
      <c r="H11" s="225">
        <f>SUM(H3:H10)</f>
        <v>60</v>
      </c>
      <c r="J11" s="198" t="s">
        <v>90</v>
      </c>
      <c r="K11" s="199"/>
      <c r="L11" s="225">
        <f>SUM(L9:L10)</f>
        <v>30</v>
      </c>
      <c r="P11" s="199"/>
      <c r="Q11" s="225">
        <f>SUM(Q9:Q10)</f>
        <v>0</v>
      </c>
    </row>
    <row r="12" spans="1:21">
      <c r="B12" s="201" t="s">
        <v>19</v>
      </c>
      <c r="C12" s="201"/>
      <c r="D12" s="339" t="s">
        <v>463</v>
      </c>
      <c r="E12" s="202" t="s">
        <v>102</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1</v>
      </c>
      <c r="I14" s="366" t="s">
        <v>29</v>
      </c>
      <c r="J14" s="366">
        <v>0</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1</v>
      </c>
      <c r="I15" s="366" t="s">
        <v>29</v>
      </c>
      <c r="J15" s="366">
        <v>0</v>
      </c>
      <c r="K15" s="212" t="str">
        <f t="shared" si="5"/>
        <v>1</v>
      </c>
      <c r="L15" s="210" t="str">
        <f>VLOOKUP($B15,Invulblad!$A$11:$S$103,13,0)</f>
        <v>1</v>
      </c>
      <c r="M15" s="211">
        <f>IF(L15&lt;&gt;"",VLOOKUP($B15,Invulblad!$A$11:$S$103,7,0),"")</f>
        <v>1</v>
      </c>
      <c r="N15" s="209" t="s">
        <v>29</v>
      </c>
      <c r="O15" s="211">
        <f>IF(L15&lt;&gt;"",VLOOKUP($B15,Invulblad!$A$11:$S$103,9,0),"")</f>
        <v>0</v>
      </c>
      <c r="P15" s="212">
        <f t="shared" si="6"/>
        <v>10</v>
      </c>
    </row>
    <row r="16" spans="1:21">
      <c r="A16" s="188">
        <v>3</v>
      </c>
      <c r="B16" s="195">
        <v>17</v>
      </c>
      <c r="C16" s="332">
        <v>41807</v>
      </c>
      <c r="D16" s="333">
        <v>0.875</v>
      </c>
      <c r="E16" s="189" t="s">
        <v>557</v>
      </c>
      <c r="F16" s="189" t="s">
        <v>29</v>
      </c>
      <c r="G16" s="189" t="s">
        <v>96</v>
      </c>
      <c r="H16" s="366">
        <v>2</v>
      </c>
      <c r="I16" s="366" t="s">
        <v>29</v>
      </c>
      <c r="J16" s="366">
        <v>1</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0</v>
      </c>
      <c r="I17" s="366" t="s">
        <v>29</v>
      </c>
      <c r="J17" s="366">
        <v>0</v>
      </c>
      <c r="K17" s="212">
        <f t="shared" si="5"/>
        <v>3</v>
      </c>
      <c r="L17" s="210">
        <f>VLOOKUP($B17,Invulblad!$A$11:$S$103,13,0)</f>
        <v>2</v>
      </c>
      <c r="M17" s="211">
        <f>IF(L17&lt;&gt;"",VLOOKUP($B17,Invulblad!$A$11:$S$103,7,0),"")</f>
        <v>0</v>
      </c>
      <c r="N17" s="209" t="s">
        <v>29</v>
      </c>
      <c r="O17" s="211">
        <f>IF(L17&lt;&gt;"",VLOOKUP($B17,Invulblad!$A$11:$S$103,9,0),"")</f>
        <v>4</v>
      </c>
      <c r="P17" s="212">
        <f t="shared" si="6"/>
        <v>0</v>
      </c>
    </row>
    <row r="18" spans="1:16">
      <c r="A18" s="188">
        <v>5</v>
      </c>
      <c r="B18" s="195">
        <v>33</v>
      </c>
      <c r="C18" s="332">
        <v>41813</v>
      </c>
      <c r="D18" s="333">
        <v>0.91666666666666663</v>
      </c>
      <c r="E18" s="189" t="s">
        <v>121</v>
      </c>
      <c r="F18" s="189" t="s">
        <v>29</v>
      </c>
      <c r="G18" s="189" t="s">
        <v>559</v>
      </c>
      <c r="H18" s="366">
        <v>0</v>
      </c>
      <c r="I18" s="366" t="s">
        <v>29</v>
      </c>
      <c r="J18" s="366">
        <v>2</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1</v>
      </c>
      <c r="I19" s="366" t="s">
        <v>29</v>
      </c>
      <c r="J19" s="366">
        <v>1</v>
      </c>
      <c r="K19" s="212">
        <f t="shared" si="5"/>
        <v>3</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1</v>
      </c>
      <c r="I22" s="366" t="s">
        <v>29</v>
      </c>
      <c r="J22" s="366">
        <v>1</v>
      </c>
      <c r="K22" s="212">
        <f t="shared" si="5"/>
        <v>3</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0</v>
      </c>
      <c r="I23" s="366" t="s">
        <v>29</v>
      </c>
      <c r="J23" s="366">
        <v>0</v>
      </c>
      <c r="K23" s="212">
        <f t="shared" si="5"/>
        <v>3</v>
      </c>
      <c r="L23" s="210" t="str">
        <f>VLOOKUP($B23,Invulblad!$A$11:$S$103,13,0)</f>
        <v>1</v>
      </c>
      <c r="M23" s="211">
        <f>IF(L23&lt;&gt;"",VLOOKUP($B23,Invulblad!$A$11:$S$103,7,0),"")</f>
        <v>3</v>
      </c>
      <c r="N23" s="209" t="s">
        <v>29</v>
      </c>
      <c r="O23" s="211">
        <f>IF(L23&lt;&gt;"",VLOOKUP($B23,Invulblad!$A$11:$S$103,9,0),"")</f>
        <v>1</v>
      </c>
      <c r="P23" s="212">
        <f t="shared" si="7"/>
        <v>0</v>
      </c>
    </row>
    <row r="24" spans="1:16">
      <c r="A24" s="188">
        <v>11</v>
      </c>
      <c r="B24" s="195">
        <v>19</v>
      </c>
      <c r="C24" s="332">
        <v>41808</v>
      </c>
      <c r="D24" s="333">
        <v>0.875</v>
      </c>
      <c r="E24" s="189" t="s">
        <v>129</v>
      </c>
      <c r="F24" s="189" t="s">
        <v>29</v>
      </c>
      <c r="G24" s="189" t="s">
        <v>128</v>
      </c>
      <c r="H24" s="366">
        <v>2</v>
      </c>
      <c r="I24" s="366" t="s">
        <v>29</v>
      </c>
      <c r="J24" s="366">
        <v>0</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0</v>
      </c>
      <c r="I25" s="366" t="s">
        <v>29</v>
      </c>
      <c r="J25" s="366">
        <v>2</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0</v>
      </c>
      <c r="I26" s="366" t="s">
        <v>29</v>
      </c>
      <c r="J26" s="366">
        <v>1</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1</v>
      </c>
      <c r="I27" s="366" t="s">
        <v>29</v>
      </c>
      <c r="J27" s="366">
        <v>1</v>
      </c>
      <c r="K27" s="212">
        <f t="shared" si="5"/>
        <v>3</v>
      </c>
      <c r="L27" s="210" t="str">
        <f>VLOOKUP($B27,Invulblad!$A$11:$S$103,13,0)</f>
        <v>1</v>
      </c>
      <c r="M27" s="211">
        <f>IF(L27&lt;&gt;"",VLOOKUP($B27,Invulblad!$A$11:$S$103,7,0),"")</f>
        <v>2</v>
      </c>
      <c r="N27" s="209" t="s">
        <v>29</v>
      </c>
      <c r="O27" s="211">
        <f>IF(L27&lt;&gt;"",VLOOKUP($B27,Invulblad!$A$11:$S$103,9,0),"")</f>
        <v>0</v>
      </c>
      <c r="P27" s="212">
        <f t="shared" si="7"/>
        <v>0</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0</v>
      </c>
      <c r="I30" s="366" t="s">
        <v>29</v>
      </c>
      <c r="J30" s="366">
        <v>2</v>
      </c>
      <c r="K30" s="212">
        <f t="shared" si="5"/>
        <v>2</v>
      </c>
      <c r="L30" s="210" t="str">
        <f>VLOOKUP($B30,Invulblad!$A$11:$S$103,13,0)</f>
        <v>1</v>
      </c>
      <c r="M30" s="211">
        <f>IF(L30&lt;&gt;"",VLOOKUP($B30,Invulblad!$A$11:$S$103,7,0),"")</f>
        <v>3</v>
      </c>
      <c r="N30" s="209" t="s">
        <v>29</v>
      </c>
      <c r="O30" s="211">
        <f>IF(L30&lt;&gt;"",VLOOKUP($B30,Invulblad!$A$11:$S$103,9,0),"")</f>
        <v>0</v>
      </c>
      <c r="P30" s="212">
        <f t="shared" ref="P30:P35" si="8">IF(L30&lt;&gt;"",IF(AND(M30=H30,O30=J30),10,IF(K30=L30,5,0)),"")</f>
        <v>0</v>
      </c>
    </row>
    <row r="31" spans="1:16">
      <c r="A31" s="188">
        <v>18</v>
      </c>
      <c r="B31" s="195">
        <v>6</v>
      </c>
      <c r="C31" s="332">
        <v>41805</v>
      </c>
      <c r="D31" s="333">
        <v>0.125</v>
      </c>
      <c r="E31" s="189" t="s">
        <v>123</v>
      </c>
      <c r="F31" s="189" t="s">
        <v>29</v>
      </c>
      <c r="G31" s="189" t="s">
        <v>120</v>
      </c>
      <c r="H31" s="366">
        <v>1</v>
      </c>
      <c r="I31" s="366" t="s">
        <v>29</v>
      </c>
      <c r="J31" s="366">
        <v>0</v>
      </c>
      <c r="K31" s="212" t="str">
        <f t="shared" si="5"/>
        <v>1</v>
      </c>
      <c r="L31" s="210" t="str">
        <f>VLOOKUP($B31,Invulblad!$A$11:$S$103,13,0)</f>
        <v>1</v>
      </c>
      <c r="M31" s="211">
        <f>IF(L31&lt;&gt;"",VLOOKUP($B31,Invulblad!$A$11:$S$103,7,0),"")</f>
        <v>2</v>
      </c>
      <c r="N31" s="209" t="s">
        <v>29</v>
      </c>
      <c r="O31" s="211">
        <f>IF(L31&lt;&gt;"",VLOOKUP($B31,Invulblad!$A$11:$S$103,9,0),"")</f>
        <v>1</v>
      </c>
      <c r="P31" s="212">
        <f t="shared" si="8"/>
        <v>5</v>
      </c>
    </row>
    <row r="32" spans="1:16">
      <c r="A32" s="188">
        <v>19</v>
      </c>
      <c r="B32" s="195">
        <v>21</v>
      </c>
      <c r="C32" s="332">
        <v>41809</v>
      </c>
      <c r="D32" s="333">
        <v>0.75</v>
      </c>
      <c r="E32" s="189" t="s">
        <v>428</v>
      </c>
      <c r="F32" s="189" t="s">
        <v>29</v>
      </c>
      <c r="G32" s="189" t="s">
        <v>125</v>
      </c>
      <c r="H32" s="366">
        <v>1</v>
      </c>
      <c r="I32" s="366" t="s">
        <v>29</v>
      </c>
      <c r="J32" s="366">
        <v>1</v>
      </c>
      <c r="K32" s="212">
        <f t="shared" si="5"/>
        <v>3</v>
      </c>
      <c r="L32" s="210" t="str">
        <f>VLOOKUP($B32,Invulblad!$A$11:$S$103,13,0)</f>
        <v>1</v>
      </c>
      <c r="M32" s="211">
        <f>IF(L32&lt;&gt;"",VLOOKUP($B32,Invulblad!$A$11:$S$103,7,0),"")</f>
        <v>2</v>
      </c>
      <c r="N32" s="209" t="s">
        <v>29</v>
      </c>
      <c r="O32" s="211">
        <f>IF(L32&lt;&gt;"",VLOOKUP($B32,Invulblad!$A$11:$S$103,9,0),"")</f>
        <v>1</v>
      </c>
      <c r="P32" s="212">
        <f t="shared" si="8"/>
        <v>0</v>
      </c>
    </row>
    <row r="33" spans="1:16">
      <c r="A33" s="188">
        <v>20</v>
      </c>
      <c r="B33" s="195">
        <v>22</v>
      </c>
      <c r="C33" s="332">
        <v>41810</v>
      </c>
      <c r="D33" s="333">
        <v>0</v>
      </c>
      <c r="E33" s="189" t="s">
        <v>118</v>
      </c>
      <c r="F33" s="189" t="s">
        <v>29</v>
      </c>
      <c r="G33" s="189" t="s">
        <v>105</v>
      </c>
      <c r="H33" s="366">
        <v>0</v>
      </c>
      <c r="I33" s="366" t="s">
        <v>29</v>
      </c>
      <c r="J33" s="366">
        <v>1</v>
      </c>
      <c r="K33" s="212">
        <f t="shared" si="5"/>
        <v>2</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0</v>
      </c>
      <c r="I34" s="366" t="s">
        <v>29</v>
      </c>
      <c r="J34" s="366">
        <v>1</v>
      </c>
      <c r="K34" s="212">
        <f t="shared" si="5"/>
        <v>2</v>
      </c>
      <c r="L34" s="210">
        <f>VLOOKUP($B34,Invulblad!$A$11:$S$103,13,0)</f>
        <v>2</v>
      </c>
      <c r="M34" s="211">
        <f>IF(L34&lt;&gt;"",VLOOKUP($B34,Invulblad!$A$11:$S$103,7,0),"")</f>
        <v>1</v>
      </c>
      <c r="N34" s="209" t="s">
        <v>29</v>
      </c>
      <c r="O34" s="211">
        <f>IF(L34&lt;&gt;"",VLOOKUP($B34,Invulblad!$A$11:$S$103,9,0),"")</f>
        <v>4</v>
      </c>
      <c r="P34" s="212">
        <f t="shared" si="8"/>
        <v>5</v>
      </c>
    </row>
    <row r="35" spans="1:16">
      <c r="A35" s="188">
        <v>22</v>
      </c>
      <c r="B35" s="195">
        <v>38</v>
      </c>
      <c r="C35" s="332">
        <v>41814</v>
      </c>
      <c r="D35" s="333">
        <v>0.91666666666666663</v>
      </c>
      <c r="E35" s="189" t="s">
        <v>233</v>
      </c>
      <c r="F35" s="189" t="s">
        <v>29</v>
      </c>
      <c r="G35" s="189" t="s">
        <v>125</v>
      </c>
      <c r="H35" s="366">
        <v>2</v>
      </c>
      <c r="I35" s="366" t="s">
        <v>29</v>
      </c>
      <c r="J35" s="366">
        <v>1</v>
      </c>
      <c r="K35" s="212" t="str">
        <f t="shared" si="5"/>
        <v>1</v>
      </c>
      <c r="L35" s="210" t="str">
        <f>VLOOKUP($B35,Invulblad!$A$11:$S$103,13,0)</f>
        <v>1</v>
      </c>
      <c r="M35" s="211">
        <f>IF(L35&lt;&gt;"",VLOOKUP($B35,Invulblad!$A$11:$S$103,7,0),"")</f>
        <v>2</v>
      </c>
      <c r="N35" s="209" t="s">
        <v>29</v>
      </c>
      <c r="O35" s="211">
        <f>IF(L35&lt;&gt;"",VLOOKUP($B35,Invulblad!$A$11:$S$103,9,0),"")</f>
        <v>1</v>
      </c>
      <c r="P35" s="212">
        <f t="shared" si="8"/>
        <v>10</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2</v>
      </c>
      <c r="I38" s="366" t="s">
        <v>29</v>
      </c>
      <c r="J38" s="366">
        <v>1</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2</v>
      </c>
      <c r="I39" s="366" t="s">
        <v>29</v>
      </c>
      <c r="J39" s="366">
        <v>2</v>
      </c>
      <c r="K39" s="212">
        <f t="shared" si="5"/>
        <v>3</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1</v>
      </c>
      <c r="I40" s="366" t="s">
        <v>29</v>
      </c>
      <c r="J40" s="366">
        <v>3</v>
      </c>
      <c r="K40" s="212">
        <f t="shared" si="5"/>
        <v>2</v>
      </c>
      <c r="L40" s="210" t="str">
        <f>VLOOKUP($B40,Invulblad!$A$11:$S$103,13,0)</f>
        <v>1</v>
      </c>
      <c r="M40" s="211">
        <f>IF(L40&lt;&gt;"",VLOOKUP($B40,Invulblad!$A$11:$S$103,7,0),"")</f>
        <v>2</v>
      </c>
      <c r="N40" s="209" t="s">
        <v>29</v>
      </c>
      <c r="O40" s="211">
        <f>IF(L40&lt;&gt;"",VLOOKUP($B40,Invulblad!$A$11:$S$103,9,0),"")</f>
        <v>1</v>
      </c>
      <c r="P40" s="212">
        <f t="shared" si="9"/>
        <v>0</v>
      </c>
    </row>
    <row r="41" spans="1:16">
      <c r="A41" s="188">
        <v>28</v>
      </c>
      <c r="B41" s="195">
        <v>24</v>
      </c>
      <c r="C41" s="332">
        <v>41810</v>
      </c>
      <c r="D41" s="333">
        <v>0.75</v>
      </c>
      <c r="E41" s="189" t="s">
        <v>564</v>
      </c>
      <c r="F41" s="189" t="s">
        <v>29</v>
      </c>
      <c r="G41" s="189" t="s">
        <v>430</v>
      </c>
      <c r="H41" s="366">
        <v>2</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2</v>
      </c>
      <c r="I42" s="366" t="s">
        <v>29</v>
      </c>
      <c r="J42" s="366">
        <v>1</v>
      </c>
      <c r="K42" s="212" t="str">
        <f t="shared" si="5"/>
        <v>1</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2</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0</v>
      </c>
      <c r="I46" s="366" t="s">
        <v>29</v>
      </c>
      <c r="J46" s="366">
        <v>0</v>
      </c>
      <c r="K46" s="212">
        <f t="shared" si="5"/>
        <v>3</v>
      </c>
      <c r="L46" s="210" t="str">
        <f>VLOOKUP($B46,Invulblad!$A$11:$S$103,13,0)</f>
        <v>1</v>
      </c>
      <c r="M46" s="211">
        <f>IF(L46&lt;&gt;"",VLOOKUP($B46,Invulblad!$A$11:$S$103,7,0),"")</f>
        <v>2</v>
      </c>
      <c r="N46" s="209" t="s">
        <v>29</v>
      </c>
      <c r="O46" s="211">
        <f>IF(L46&lt;&gt;"",VLOOKUP($B46,Invulblad!$A$11:$S$103,9,0),"")</f>
        <v>1</v>
      </c>
      <c r="P46" s="212">
        <f t="shared" ref="P46:P51" si="10">IF(L46&lt;&gt;"",IF(AND(M46=H46,O46=J46),10,IF(K46=L46,5,0)),"")</f>
        <v>0</v>
      </c>
    </row>
    <row r="47" spans="1:16">
      <c r="A47" s="188">
        <v>34</v>
      </c>
      <c r="B47" s="195">
        <v>10</v>
      </c>
      <c r="C47" s="332">
        <v>41805</v>
      </c>
      <c r="D47" s="333">
        <v>0.875</v>
      </c>
      <c r="E47" s="189" t="s">
        <v>100</v>
      </c>
      <c r="F47" s="189" t="s">
        <v>29</v>
      </c>
      <c r="G47" s="189" t="s">
        <v>132</v>
      </c>
      <c r="H47" s="366">
        <v>1</v>
      </c>
      <c r="I47" s="366" t="s">
        <v>29</v>
      </c>
      <c r="J47" s="366">
        <v>1</v>
      </c>
      <c r="K47" s="212">
        <f t="shared" si="5"/>
        <v>3</v>
      </c>
      <c r="L47" s="210" t="str">
        <f>VLOOKUP($B47,Invulblad!$A$11:$S$103,13,0)</f>
        <v>1</v>
      </c>
      <c r="M47" s="211">
        <f>IF(L47&lt;&gt;"",VLOOKUP($B47,Invulblad!$A$11:$S$103,7,0),"")</f>
        <v>3</v>
      </c>
      <c r="N47" s="209" t="s">
        <v>29</v>
      </c>
      <c r="O47" s="211">
        <f>IF(L47&lt;&gt;"",VLOOKUP($B47,Invulblad!$A$11:$S$103,9,0),"")</f>
        <v>0</v>
      </c>
      <c r="P47" s="212">
        <f t="shared" si="10"/>
        <v>0</v>
      </c>
    </row>
    <row r="48" spans="1:16">
      <c r="A48" s="188">
        <v>35</v>
      </c>
      <c r="B48" s="195">
        <v>25</v>
      </c>
      <c r="C48" s="332">
        <v>41810</v>
      </c>
      <c r="D48" s="333">
        <v>0.875</v>
      </c>
      <c r="E48" s="189" t="s">
        <v>134</v>
      </c>
      <c r="F48" s="189" t="s">
        <v>29</v>
      </c>
      <c r="G48" s="189" t="s">
        <v>98</v>
      </c>
      <c r="H48" s="366">
        <v>0</v>
      </c>
      <c r="I48" s="366" t="s">
        <v>29</v>
      </c>
      <c r="J48" s="366">
        <v>2</v>
      </c>
      <c r="K48" s="212">
        <f t="shared" si="5"/>
        <v>2</v>
      </c>
      <c r="L48" s="210">
        <f>VLOOKUP($B48,Invulblad!$A$11:$S$103,13,0)</f>
        <v>2</v>
      </c>
      <c r="M48" s="211">
        <f>IF(L48&lt;&gt;"",VLOOKUP($B48,Invulblad!$A$11:$S$103,7,0),"")</f>
        <v>2</v>
      </c>
      <c r="N48" s="209" t="s">
        <v>29</v>
      </c>
      <c r="O48" s="211">
        <f>IF(L48&lt;&gt;"",VLOOKUP($B48,Invulblad!$A$11:$S$103,9,0),"")</f>
        <v>5</v>
      </c>
      <c r="P48" s="212">
        <f t="shared" si="10"/>
        <v>5</v>
      </c>
    </row>
    <row r="49" spans="1:16">
      <c r="A49" s="188">
        <v>36</v>
      </c>
      <c r="B49" s="195">
        <v>26</v>
      </c>
      <c r="C49" s="332">
        <v>41811</v>
      </c>
      <c r="D49" s="333">
        <v>0</v>
      </c>
      <c r="E49" s="189" t="s">
        <v>127</v>
      </c>
      <c r="F49" s="189" t="s">
        <v>29</v>
      </c>
      <c r="G49" s="189" t="s">
        <v>434</v>
      </c>
      <c r="H49" s="366">
        <v>2</v>
      </c>
      <c r="I49" s="366" t="s">
        <v>29</v>
      </c>
      <c r="J49" s="366">
        <v>2</v>
      </c>
      <c r="K49" s="212">
        <f t="shared" si="5"/>
        <v>3</v>
      </c>
      <c r="L49" s="210">
        <f>VLOOKUP($B49,Invulblad!$A$11:$S$103,13,0)</f>
        <v>2</v>
      </c>
      <c r="M49" s="211">
        <f>IF(L49&lt;&gt;"",VLOOKUP($B49,Invulblad!$A$11:$S$103,7,0),"")</f>
        <v>1</v>
      </c>
      <c r="N49" s="209" t="s">
        <v>29</v>
      </c>
      <c r="O49" s="211">
        <f>IF(L49&lt;&gt;"",VLOOKUP($B49,Invulblad!$A$11:$S$103,9,0),"")</f>
        <v>2</v>
      </c>
      <c r="P49" s="212">
        <f t="shared" si="10"/>
        <v>0</v>
      </c>
    </row>
    <row r="50" spans="1:16">
      <c r="A50" s="188">
        <v>37</v>
      </c>
      <c r="B50" s="195">
        <v>41</v>
      </c>
      <c r="C50" s="332">
        <v>41815</v>
      </c>
      <c r="D50" s="333">
        <v>0.91666666666666663</v>
      </c>
      <c r="E50" s="189" t="s">
        <v>127</v>
      </c>
      <c r="F50" s="189" t="s">
        <v>29</v>
      </c>
      <c r="G50" s="189" t="s">
        <v>130</v>
      </c>
      <c r="H50" s="366">
        <v>1</v>
      </c>
      <c r="I50" s="366" t="s">
        <v>29</v>
      </c>
      <c r="J50" s="366">
        <v>0</v>
      </c>
      <c r="K50" s="212" t="str">
        <f t="shared" ref="K50:K85" si="11">IF(AND(H50="",J50=""),"",IF(OR(H50="",J50=""),"FOUT",IF(H50&gt;J50,"1",IF(H50=J50,3,2))))</f>
        <v>1</v>
      </c>
      <c r="L50" s="210">
        <f>VLOOKUP($B50,Invulblad!$A$11:$S$103,13,0)</f>
        <v>2</v>
      </c>
      <c r="M50" s="211">
        <f>IF(L50&lt;&gt;"",VLOOKUP($B50,Invulblad!$A$11:$S$103,7,0),"")</f>
        <v>0</v>
      </c>
      <c r="N50" s="209" t="s">
        <v>29</v>
      </c>
      <c r="O50" s="211">
        <f>IF(L50&lt;&gt;"",VLOOKUP($B50,Invulblad!$A$11:$S$103,9,0),"")</f>
        <v>3</v>
      </c>
      <c r="P50" s="212">
        <f t="shared" si="10"/>
        <v>0</v>
      </c>
    </row>
    <row r="51" spans="1:16">
      <c r="A51" s="188">
        <v>38</v>
      </c>
      <c r="B51" s="195">
        <v>42</v>
      </c>
      <c r="C51" s="332">
        <v>41815</v>
      </c>
      <c r="D51" s="333">
        <v>0.91666666666666663</v>
      </c>
      <c r="E51" s="189" t="s">
        <v>435</v>
      </c>
      <c r="F51" s="189" t="s">
        <v>29</v>
      </c>
      <c r="G51" s="189" t="s">
        <v>98</v>
      </c>
      <c r="H51" s="366">
        <v>0</v>
      </c>
      <c r="I51" s="366" t="s">
        <v>29</v>
      </c>
      <c r="J51" s="366">
        <v>1</v>
      </c>
      <c r="K51" s="212">
        <f t="shared" si="11"/>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367"/>
      <c r="I52" s="367"/>
      <c r="J52" s="367"/>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2</v>
      </c>
      <c r="I54" s="366" t="s">
        <v>29</v>
      </c>
      <c r="J54" s="366">
        <v>0</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2">
        <v>41806</v>
      </c>
      <c r="D55" s="333">
        <v>0.875</v>
      </c>
      <c r="E55" s="189" t="s">
        <v>438</v>
      </c>
      <c r="F55" s="189" t="s">
        <v>29</v>
      </c>
      <c r="G55" s="189" t="s">
        <v>103</v>
      </c>
      <c r="H55" s="366">
        <v>0</v>
      </c>
      <c r="I55" s="366" t="s">
        <v>29</v>
      </c>
      <c r="J55" s="366">
        <v>0</v>
      </c>
      <c r="K55" s="212">
        <f t="shared" si="11"/>
        <v>3</v>
      </c>
      <c r="L55" s="210">
        <f>VLOOKUP($B55,Invulblad!$A$11:$S$103,13,0)</f>
        <v>3</v>
      </c>
      <c r="M55" s="211">
        <f>IF(L55&lt;&gt;"",VLOOKUP($B55,Invulblad!$A$11:$S$103,7,0),"")</f>
        <v>0</v>
      </c>
      <c r="N55" s="209" t="s">
        <v>29</v>
      </c>
      <c r="O55" s="211">
        <f>IF(L55&lt;&gt;"",VLOOKUP($B55,Invulblad!$A$11:$S$103,9,0),"")</f>
        <v>0</v>
      </c>
      <c r="P55" s="212">
        <f t="shared" si="12"/>
        <v>10</v>
      </c>
    </row>
    <row r="56" spans="1:16">
      <c r="A56" s="188">
        <v>43</v>
      </c>
      <c r="B56" s="195">
        <v>27</v>
      </c>
      <c r="C56" s="332">
        <v>41811</v>
      </c>
      <c r="D56" s="333">
        <v>0.75</v>
      </c>
      <c r="E56" s="189" t="s">
        <v>565</v>
      </c>
      <c r="F56" s="189" t="s">
        <v>29</v>
      </c>
      <c r="G56" s="189" t="s">
        <v>439</v>
      </c>
      <c r="H56" s="366">
        <v>2</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1</v>
      </c>
      <c r="I57" s="366" t="s">
        <v>29</v>
      </c>
      <c r="J57" s="366">
        <v>1</v>
      </c>
      <c r="K57" s="212">
        <f t="shared" si="11"/>
        <v>3</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1</v>
      </c>
      <c r="I58" s="366" t="s">
        <v>29</v>
      </c>
      <c r="J58" s="366">
        <v>2</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0</v>
      </c>
      <c r="I59" s="366" t="s">
        <v>29</v>
      </c>
      <c r="J59" s="366">
        <v>0</v>
      </c>
      <c r="K59" s="212">
        <f t="shared" si="11"/>
        <v>3</v>
      </c>
      <c r="L59" s="210" t="str">
        <f>VLOOKUP($B59,Invulblad!$A$11:$S$103,13,0)</f>
        <v>1</v>
      </c>
      <c r="M59" s="211">
        <f>IF(L59&lt;&gt;"",VLOOKUP($B59,Invulblad!$A$11:$S$103,7,0),"")</f>
        <v>3</v>
      </c>
      <c r="N59" s="209" t="s">
        <v>29</v>
      </c>
      <c r="O59" s="211">
        <f>IF(L59&lt;&gt;"",VLOOKUP($B59,Invulblad!$A$11:$S$103,9,0),"")</f>
        <v>1</v>
      </c>
      <c r="P59" s="212">
        <f t="shared" si="12"/>
        <v>0</v>
      </c>
    </row>
    <row r="60" spans="1:16">
      <c r="A60" s="188">
        <v>47</v>
      </c>
      <c r="B60" s="201" t="s">
        <v>36</v>
      </c>
      <c r="H60" s="367"/>
      <c r="I60" s="367"/>
      <c r="J60" s="367"/>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0</v>
      </c>
      <c r="I62" s="366" t="s">
        <v>29</v>
      </c>
      <c r="J62" s="366">
        <v>0</v>
      </c>
      <c r="K62" s="212">
        <f t="shared" si="11"/>
        <v>3</v>
      </c>
      <c r="L62" s="210" t="str">
        <f>VLOOKUP($B62,Invulblad!$A$11:$S$103,13,0)</f>
        <v>1</v>
      </c>
      <c r="M62" s="211">
        <f>IF(L62&lt;&gt;"",VLOOKUP($B62,Invulblad!$A$11:$S$103,7,0),"")</f>
        <v>4</v>
      </c>
      <c r="N62" s="209" t="s">
        <v>29</v>
      </c>
      <c r="O62" s="211">
        <f>IF(L62&lt;&gt;"",VLOOKUP($B62,Invulblad!$A$11:$S$103,9,0),"")</f>
        <v>0</v>
      </c>
      <c r="P62" s="212">
        <f t="shared" ref="P62:P67" si="13">IF(L62&lt;&gt;"",IF(AND(M62=H62,O62=J62),10,IF(K62=L62,5,0)),"")</f>
        <v>0</v>
      </c>
    </row>
    <row r="63" spans="1:16">
      <c r="A63" s="188">
        <v>50</v>
      </c>
      <c r="B63" s="195">
        <v>14</v>
      </c>
      <c r="C63" s="332">
        <v>41807</v>
      </c>
      <c r="D63" s="333">
        <v>0</v>
      </c>
      <c r="E63" s="189" t="s">
        <v>115</v>
      </c>
      <c r="F63" s="189" t="s">
        <v>29</v>
      </c>
      <c r="G63" s="189" t="s">
        <v>577</v>
      </c>
      <c r="H63" s="366">
        <v>1</v>
      </c>
      <c r="I63" s="366" t="s">
        <v>29</v>
      </c>
      <c r="J63" s="366">
        <v>0</v>
      </c>
      <c r="K63" s="212" t="str">
        <f t="shared" si="11"/>
        <v>1</v>
      </c>
      <c r="L63" s="210">
        <f>VLOOKUP($B63,Invulblad!$A$11:$S$103,13,0)</f>
        <v>2</v>
      </c>
      <c r="M63" s="211">
        <f>IF(L63&lt;&gt;"",VLOOKUP($B63,Invulblad!$A$11:$S$103,7,0),"")</f>
        <v>1</v>
      </c>
      <c r="N63" s="209" t="s">
        <v>29</v>
      </c>
      <c r="O63" s="211">
        <f>IF(L63&lt;&gt;"",VLOOKUP($B63,Invulblad!$A$11:$S$103,9,0),"")</f>
        <v>2</v>
      </c>
      <c r="P63" s="212">
        <f t="shared" si="13"/>
        <v>0</v>
      </c>
    </row>
    <row r="64" spans="1:16">
      <c r="A64" s="188">
        <v>51</v>
      </c>
      <c r="B64" s="195">
        <v>29</v>
      </c>
      <c r="C64" s="332">
        <v>41811</v>
      </c>
      <c r="D64" s="333">
        <v>0.875</v>
      </c>
      <c r="E64" s="189" t="s">
        <v>113</v>
      </c>
      <c r="F64" s="189" t="s">
        <v>29</v>
      </c>
      <c r="G64" s="189" t="s">
        <v>114</v>
      </c>
      <c r="H64" s="366">
        <v>2</v>
      </c>
      <c r="I64" s="366" t="s">
        <v>29</v>
      </c>
      <c r="J64" s="366">
        <v>0</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1</v>
      </c>
      <c r="I65" s="366" t="s">
        <v>29</v>
      </c>
      <c r="J65" s="366">
        <v>2</v>
      </c>
      <c r="K65" s="212">
        <f t="shared" si="11"/>
        <v>2</v>
      </c>
      <c r="L65" s="210">
        <f>VLOOKUP($B65,Invulblad!$A$11:$S$103,13,0)</f>
        <v>3</v>
      </c>
      <c r="M65" s="211">
        <f>IF(L65&lt;&gt;"",VLOOKUP($B65,Invulblad!$A$11:$S$103,7,0),"")</f>
        <v>2</v>
      </c>
      <c r="N65" s="209" t="s">
        <v>29</v>
      </c>
      <c r="O65" s="211">
        <f>IF(L65&lt;&gt;"",VLOOKUP($B65,Invulblad!$A$11:$S$103,9,0),"")</f>
        <v>2</v>
      </c>
      <c r="P65" s="212">
        <f t="shared" si="13"/>
        <v>0</v>
      </c>
    </row>
    <row r="66" spans="1:16">
      <c r="A66" s="188">
        <v>53</v>
      </c>
      <c r="B66" s="195">
        <v>45</v>
      </c>
      <c r="C66" s="332">
        <v>41816</v>
      </c>
      <c r="D66" s="333">
        <v>0.75</v>
      </c>
      <c r="E66" s="189" t="s">
        <v>578</v>
      </c>
      <c r="F66" s="189" t="s">
        <v>29</v>
      </c>
      <c r="G66" s="189" t="s">
        <v>116</v>
      </c>
      <c r="H66" s="366">
        <v>1</v>
      </c>
      <c r="I66" s="366" t="s">
        <v>29</v>
      </c>
      <c r="J66" s="366">
        <v>2</v>
      </c>
      <c r="K66" s="212">
        <f t="shared" si="11"/>
        <v>2</v>
      </c>
      <c r="L66" s="210">
        <f>VLOOKUP($B66,Invulblad!$A$11:$S$103,13,0)</f>
        <v>2</v>
      </c>
      <c r="M66" s="211">
        <f>IF(L66&lt;&gt;"",VLOOKUP($B66,Invulblad!$A$11:$S$103,7,0),"")</f>
        <v>0</v>
      </c>
      <c r="N66" s="209" t="s">
        <v>29</v>
      </c>
      <c r="O66" s="211">
        <f>IF(L66&lt;&gt;"",VLOOKUP($B66,Invulblad!$A$11:$S$103,9,0),"")</f>
        <v>1</v>
      </c>
      <c r="P66" s="212">
        <f t="shared" si="13"/>
        <v>5</v>
      </c>
    </row>
    <row r="67" spans="1:16">
      <c r="A67" s="188">
        <v>54</v>
      </c>
      <c r="B67" s="195">
        <v>46</v>
      </c>
      <c r="C67" s="332">
        <v>41816</v>
      </c>
      <c r="D67" s="333">
        <v>0.75</v>
      </c>
      <c r="E67" s="189" t="s">
        <v>126</v>
      </c>
      <c r="F67" s="189" t="s">
        <v>29</v>
      </c>
      <c r="G67" s="189" t="s">
        <v>114</v>
      </c>
      <c r="H67" s="366">
        <v>2</v>
      </c>
      <c r="I67" s="366" t="s">
        <v>29</v>
      </c>
      <c r="J67" s="366">
        <v>0</v>
      </c>
      <c r="K67" s="212" t="str">
        <f t="shared" si="11"/>
        <v>1</v>
      </c>
      <c r="L67" s="210" t="str">
        <f>VLOOKUP($B67,Invulblad!$A$11:$S$103,13,0)</f>
        <v>1</v>
      </c>
      <c r="M67" s="211">
        <f>IF(L67&lt;&gt;"",VLOOKUP($B67,Invulblad!$A$11:$S$103,7,0),"")</f>
        <v>2</v>
      </c>
      <c r="N67" s="209" t="s">
        <v>29</v>
      </c>
      <c r="O67" s="211">
        <f>IF(L67&lt;&gt;"",VLOOKUP($B67,Invulblad!$A$11:$S$103,9,0),"")</f>
        <v>1</v>
      </c>
      <c r="P67" s="212">
        <f t="shared" si="13"/>
        <v>5</v>
      </c>
    </row>
    <row r="68" spans="1:16">
      <c r="A68" s="188">
        <v>55</v>
      </c>
      <c r="B68" s="201" t="s">
        <v>37</v>
      </c>
      <c r="H68" s="367"/>
      <c r="I68" s="367"/>
      <c r="J68" s="367"/>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3</v>
      </c>
      <c r="I70" s="366" t="s">
        <v>29</v>
      </c>
      <c r="J70" s="366">
        <v>0</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c r="A71" s="188">
        <v>58</v>
      </c>
      <c r="B71" s="195">
        <v>16</v>
      </c>
      <c r="C71" s="332">
        <v>41808</v>
      </c>
      <c r="D71" s="333">
        <v>0</v>
      </c>
      <c r="E71" s="189" t="s">
        <v>445</v>
      </c>
      <c r="F71" s="189" t="s">
        <v>29</v>
      </c>
      <c r="G71" s="189" t="s">
        <v>107</v>
      </c>
      <c r="H71" s="366">
        <v>0</v>
      </c>
      <c r="I71" s="366" t="s">
        <v>29</v>
      </c>
      <c r="J71" s="366">
        <v>0</v>
      </c>
      <c r="K71" s="212">
        <f t="shared" si="11"/>
        <v>3</v>
      </c>
      <c r="L71" s="210">
        <f>VLOOKUP($B71,Invulblad!$A$11:$S$103,13,0)</f>
        <v>3</v>
      </c>
      <c r="M71" s="211">
        <f>IF(L71&lt;&gt;"",VLOOKUP($B71,Invulblad!$A$11:$S$103,7,0),"")</f>
        <v>1</v>
      </c>
      <c r="N71" s="209" t="s">
        <v>29</v>
      </c>
      <c r="O71" s="211">
        <f>IF(L71&lt;&gt;"",VLOOKUP($B71,Invulblad!$A$11:$S$103,9,0),"")</f>
        <v>1</v>
      </c>
      <c r="P71" s="212">
        <f t="shared" si="14"/>
        <v>5</v>
      </c>
    </row>
    <row r="72" spans="1:16">
      <c r="A72" s="188">
        <v>59</v>
      </c>
      <c r="B72" s="195">
        <v>31</v>
      </c>
      <c r="C72" s="332">
        <v>41812</v>
      </c>
      <c r="D72" s="333">
        <v>0.75</v>
      </c>
      <c r="E72" s="189" t="s">
        <v>569</v>
      </c>
      <c r="F72" s="189" t="s">
        <v>29</v>
      </c>
      <c r="G72" s="189" t="s">
        <v>446</v>
      </c>
      <c r="H72" s="366">
        <v>0</v>
      </c>
      <c r="I72" s="366" t="s">
        <v>29</v>
      </c>
      <c r="J72" s="366">
        <v>1</v>
      </c>
      <c r="K72" s="212">
        <f t="shared" si="11"/>
        <v>2</v>
      </c>
      <c r="L72" s="210" t="str">
        <f>VLOOKUP($B72,Invulblad!$A$11:$S$103,13,0)</f>
        <v>1</v>
      </c>
      <c r="M72" s="211">
        <f>IF(L72&lt;&gt;"",VLOOKUP($B72,Invulblad!$A$11:$S$103,7,0),"")</f>
        <v>1</v>
      </c>
      <c r="N72" s="209" t="s">
        <v>29</v>
      </c>
      <c r="O72" s="211">
        <f>IF(L72&lt;&gt;"",VLOOKUP($B72,Invulblad!$A$11:$S$103,9,0),"")</f>
        <v>0</v>
      </c>
      <c r="P72" s="212">
        <f t="shared" si="14"/>
        <v>0</v>
      </c>
    </row>
    <row r="73" spans="1:16">
      <c r="A73" s="188">
        <v>60</v>
      </c>
      <c r="B73" s="195">
        <v>32</v>
      </c>
      <c r="C73" s="332">
        <v>41812</v>
      </c>
      <c r="D73" s="333">
        <v>0.875</v>
      </c>
      <c r="E73" s="189" t="s">
        <v>232</v>
      </c>
      <c r="F73" s="189" t="s">
        <v>29</v>
      </c>
      <c r="G73" s="189" t="s">
        <v>111</v>
      </c>
      <c r="H73" s="366">
        <v>1</v>
      </c>
      <c r="I73" s="366" t="s">
        <v>29</v>
      </c>
      <c r="J73" s="366">
        <v>0</v>
      </c>
      <c r="K73" s="212" t="str">
        <f t="shared" si="11"/>
        <v>1</v>
      </c>
      <c r="L73" s="210">
        <f>VLOOKUP($B73,Invulblad!$A$11:$S$103,13,0)</f>
        <v>2</v>
      </c>
      <c r="M73" s="211">
        <f>IF(L73&lt;&gt;"",VLOOKUP($B73,Invulblad!$A$11:$S$103,7,0),"")</f>
        <v>2</v>
      </c>
      <c r="N73" s="209" t="s">
        <v>29</v>
      </c>
      <c r="O73" s="211">
        <f>IF(L73&lt;&gt;"",VLOOKUP($B73,Invulblad!$A$11:$S$103,9,0),"")</f>
        <v>4</v>
      </c>
      <c r="P73" s="212">
        <f t="shared" si="14"/>
        <v>0</v>
      </c>
    </row>
    <row r="74" spans="1:16">
      <c r="A74" s="188">
        <v>61</v>
      </c>
      <c r="B74" s="195">
        <v>47</v>
      </c>
      <c r="C74" s="332">
        <v>41816</v>
      </c>
      <c r="D74" s="333">
        <v>0.91666666666666663</v>
      </c>
      <c r="E74" s="189" t="s">
        <v>232</v>
      </c>
      <c r="F74" s="189" t="s">
        <v>29</v>
      </c>
      <c r="G74" s="189" t="s">
        <v>570</v>
      </c>
      <c r="H74" s="366">
        <v>1</v>
      </c>
      <c r="I74" s="366" t="s">
        <v>29</v>
      </c>
      <c r="J74" s="366">
        <v>2</v>
      </c>
      <c r="K74" s="212">
        <f t="shared" si="11"/>
        <v>2</v>
      </c>
      <c r="L74" s="210">
        <f>VLOOKUP($B74,Invulblad!$A$11:$S$103,13,0)</f>
        <v>2</v>
      </c>
      <c r="M74" s="211">
        <f>IF(L74&lt;&gt;"",VLOOKUP($B74,Invulblad!$A$11:$S$103,7,0),"")</f>
        <v>0</v>
      </c>
      <c r="N74" s="209" t="s">
        <v>29</v>
      </c>
      <c r="O74" s="211">
        <f>IF(L74&lt;&gt;"",VLOOKUP($B74,Invulblad!$A$11:$S$103,9,0),"")</f>
        <v>1</v>
      </c>
      <c r="P74" s="212">
        <f t="shared" si="14"/>
        <v>5</v>
      </c>
    </row>
    <row r="75" spans="1:16">
      <c r="A75" s="188">
        <v>62</v>
      </c>
      <c r="B75" s="195">
        <v>48</v>
      </c>
      <c r="C75" s="332">
        <v>41816</v>
      </c>
      <c r="D75" s="333">
        <v>0.91666666666666663</v>
      </c>
      <c r="E75" s="189" t="s">
        <v>236</v>
      </c>
      <c r="F75" s="189" t="s">
        <v>29</v>
      </c>
      <c r="G75" s="189" t="s">
        <v>446</v>
      </c>
      <c r="H75" s="366">
        <v>1</v>
      </c>
      <c r="I75" s="366" t="s">
        <v>29</v>
      </c>
      <c r="J75" s="366">
        <v>2</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367"/>
      <c r="I76" s="367"/>
      <c r="J76" s="367"/>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135</v>
      </c>
      <c r="H78" s="366">
        <v>1</v>
      </c>
      <c r="I78" s="366" t="s">
        <v>29</v>
      </c>
      <c r="J78" s="366">
        <v>0</v>
      </c>
      <c r="K78" s="212" t="str">
        <f t="shared" si="11"/>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106</v>
      </c>
      <c r="F79" s="189" t="s">
        <v>29</v>
      </c>
      <c r="G79" s="189" t="s">
        <v>193</v>
      </c>
      <c r="H79" s="366">
        <v>0</v>
      </c>
      <c r="I79" s="366" t="s">
        <v>29</v>
      </c>
      <c r="J79" s="366">
        <v>0</v>
      </c>
      <c r="K79" s="212">
        <f t="shared" si="11"/>
        <v>3</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138</v>
      </c>
      <c r="F80" s="189" t="s">
        <v>29</v>
      </c>
      <c r="G80" s="189" t="s">
        <v>152</v>
      </c>
      <c r="H80" s="366">
        <v>2</v>
      </c>
      <c r="I80" s="366" t="s">
        <v>29</v>
      </c>
      <c r="J80" s="366">
        <v>1</v>
      </c>
      <c r="K80" s="212" t="str">
        <f t="shared" si="11"/>
        <v>1</v>
      </c>
      <c r="L80" s="210" t="str">
        <f>VLOOKUP($B80,Invulblad!$A$11:$S$103,13,0)</f>
        <v>1</v>
      </c>
      <c r="M80" s="211">
        <f>IF(L80&lt;&gt;"",VLOOKUP($B80,Invulblad!$A$11:$S$103,7,0),"")</f>
        <v>2</v>
      </c>
      <c r="N80" s="209" t="s">
        <v>29</v>
      </c>
      <c r="O80" s="211">
        <f>IF(L80&lt;&gt;"",VLOOKUP($B80,Invulblad!$A$11:$S$103,9,0),"")</f>
        <v>1</v>
      </c>
      <c r="P80" s="212">
        <f t="shared" si="15"/>
        <v>10</v>
      </c>
    </row>
    <row r="81" spans="1:16">
      <c r="A81" s="188">
        <v>68</v>
      </c>
      <c r="B81" s="195">
        <v>52</v>
      </c>
      <c r="C81" s="332">
        <v>41819</v>
      </c>
      <c r="D81" s="333">
        <v>0.91666666666666663</v>
      </c>
      <c r="E81" s="189" t="s">
        <v>109</v>
      </c>
      <c r="F81" s="189" t="s">
        <v>29</v>
      </c>
      <c r="G81" s="189" t="s">
        <v>200</v>
      </c>
      <c r="H81" s="366">
        <v>1</v>
      </c>
      <c r="I81" s="366" t="s">
        <v>29</v>
      </c>
      <c r="J81" s="366">
        <v>0</v>
      </c>
      <c r="K81" s="212" t="str">
        <f t="shared" si="11"/>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143</v>
      </c>
      <c r="F82" s="189" t="s">
        <v>29</v>
      </c>
      <c r="G82" s="189" t="s">
        <v>108</v>
      </c>
      <c r="H82" s="366">
        <v>1</v>
      </c>
      <c r="I82" s="366" t="s">
        <v>29</v>
      </c>
      <c r="J82" s="366">
        <v>0</v>
      </c>
      <c r="K82" s="212" t="str">
        <f t="shared" si="11"/>
        <v>1</v>
      </c>
      <c r="L82" s="210" t="str">
        <f>VLOOKUP($B82,Invulblad!$A$11:$S$103,13,0)</f>
        <v>1</v>
      </c>
      <c r="M82" s="211">
        <f>IF(L82&lt;&gt;"",VLOOKUP($B82,Invulblad!$A$11:$S$103,7,0),"")</f>
        <v>2</v>
      </c>
      <c r="N82" s="209" t="s">
        <v>29</v>
      </c>
      <c r="O82" s="211">
        <f>IF(L82&lt;&gt;"",VLOOKUP($B82,Invulblad!$A$11:$S$103,9,0),"")</f>
        <v>0</v>
      </c>
      <c r="P82" s="212">
        <f t="shared" si="15"/>
        <v>5</v>
      </c>
    </row>
    <row r="83" spans="1:16">
      <c r="A83" s="188">
        <v>70</v>
      </c>
      <c r="B83" s="195">
        <v>54</v>
      </c>
      <c r="C83" s="332">
        <v>41820</v>
      </c>
      <c r="D83" s="333">
        <v>0.91666666666666663</v>
      </c>
      <c r="E83" s="189" t="s">
        <v>177</v>
      </c>
      <c r="F83" s="189" t="s">
        <v>29</v>
      </c>
      <c r="G83" s="189" t="s">
        <v>395</v>
      </c>
      <c r="H83" s="366">
        <v>1</v>
      </c>
      <c r="I83" s="366" t="s">
        <v>29</v>
      </c>
      <c r="J83" s="366">
        <v>1</v>
      </c>
      <c r="K83" s="212">
        <f t="shared" si="11"/>
        <v>3</v>
      </c>
      <c r="L83" s="210" t="str">
        <f>VLOOKUP($B83,Invulblad!$A$11:$S$103,13,0)</f>
        <v>1</v>
      </c>
      <c r="M83" s="211">
        <f>IF(L83&lt;&gt;"",VLOOKUP($B83,Invulblad!$A$11:$S$103,7,0),"")</f>
        <v>2</v>
      </c>
      <c r="N83" s="209" t="s">
        <v>29</v>
      </c>
      <c r="O83" s="211">
        <f>IF(L83&lt;&gt;"",VLOOKUP($B83,Invulblad!$A$11:$S$103,9,0),"")</f>
        <v>1</v>
      </c>
      <c r="P83" s="212">
        <f t="shared" si="15"/>
        <v>0</v>
      </c>
    </row>
    <row r="84" spans="1:16">
      <c r="A84" s="188">
        <v>71</v>
      </c>
      <c r="B84" s="195">
        <v>55</v>
      </c>
      <c r="C84" s="332">
        <v>41821</v>
      </c>
      <c r="D84" s="333">
        <v>0.75</v>
      </c>
      <c r="E84" s="189" t="s">
        <v>102</v>
      </c>
      <c r="F84" s="189" t="s">
        <v>29</v>
      </c>
      <c r="G84" s="189" t="s">
        <v>210</v>
      </c>
      <c r="H84" s="366">
        <v>2</v>
      </c>
      <c r="I84" s="366" t="s">
        <v>29</v>
      </c>
      <c r="J84" s="366">
        <v>0</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396</v>
      </c>
      <c r="F85" s="189" t="s">
        <v>29</v>
      </c>
      <c r="G85" s="189" t="s">
        <v>202</v>
      </c>
      <c r="H85" s="366">
        <v>1</v>
      </c>
      <c r="I85" s="366" t="s">
        <v>29</v>
      </c>
      <c r="J85" s="366">
        <v>2</v>
      </c>
      <c r="K85" s="212">
        <f t="shared" si="11"/>
        <v>2</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193</v>
      </c>
      <c r="H88" s="366">
        <v>1</v>
      </c>
      <c r="I88" s="366" t="s">
        <v>29</v>
      </c>
      <c r="J88" s="366">
        <v>1</v>
      </c>
      <c r="K88" s="212">
        <f t="shared" si="16"/>
        <v>3</v>
      </c>
      <c r="L88" s="210" t="str">
        <f>VLOOKUP($B88,Invulblad!$A$11:$S$103,13,0)</f>
        <v>1</v>
      </c>
      <c r="M88" s="211">
        <f>IF(L88&lt;&gt;"",VLOOKUP($B88,Invulblad!$A$11:$S$103,7,0),"")</f>
        <v>2</v>
      </c>
      <c r="N88" s="209" t="s">
        <v>29</v>
      </c>
      <c r="O88" s="211">
        <f>IF(L88&lt;&gt;"",VLOOKUP($B88,Invulblad!$A$11:$S$103,9,0),"")</f>
        <v>1</v>
      </c>
      <c r="P88" s="212">
        <f>IF(L88&lt;&gt;"",IF(AND(M88=H88,O88=J88),10,IF(K88=L88,5,0)),"")</f>
        <v>0</v>
      </c>
    </row>
    <row r="89" spans="1:16">
      <c r="A89" s="188">
        <v>76</v>
      </c>
      <c r="B89" s="195">
        <v>58</v>
      </c>
      <c r="C89" s="332">
        <v>41824</v>
      </c>
      <c r="D89" s="333">
        <v>0.75</v>
      </c>
      <c r="E89" s="189" t="s">
        <v>143</v>
      </c>
      <c r="F89" s="189" t="s">
        <v>29</v>
      </c>
      <c r="G89" s="189" t="s">
        <v>177</v>
      </c>
      <c r="H89" s="366">
        <v>0</v>
      </c>
      <c r="I89" s="366" t="s">
        <v>29</v>
      </c>
      <c r="J89" s="366">
        <v>1</v>
      </c>
      <c r="K89" s="212">
        <f t="shared" si="16"/>
        <v>2</v>
      </c>
      <c r="L89" s="210">
        <f>VLOOKUP($B89,Invulblad!$A$11:$S$103,13,0)</f>
        <v>2</v>
      </c>
      <c r="M89" s="211">
        <f>IF(L89&lt;&gt;"",VLOOKUP($B89,Invulblad!$A$11:$S$103,7,0),"")</f>
        <v>0</v>
      </c>
      <c r="N89" s="209" t="s">
        <v>29</v>
      </c>
      <c r="O89" s="211">
        <f>IF(L89&lt;&gt;"",VLOOKUP($B89,Invulblad!$A$11:$S$103,9,0),"")</f>
        <v>1</v>
      </c>
      <c r="P89" s="212">
        <f>IF(L89&lt;&gt;"",IF(AND(M89=H89,O89=J89),10,IF(K89=L89,5,0)),"")</f>
        <v>10</v>
      </c>
    </row>
    <row r="90" spans="1:16">
      <c r="A90" s="188">
        <v>77</v>
      </c>
      <c r="B90" s="195">
        <v>59</v>
      </c>
      <c r="C90" s="332">
        <v>41825</v>
      </c>
      <c r="D90" s="333">
        <v>0.91666666666666663</v>
      </c>
      <c r="E90" s="189" t="s">
        <v>138</v>
      </c>
      <c r="F90" s="189" t="s">
        <v>29</v>
      </c>
      <c r="G90" s="189" t="s">
        <v>109</v>
      </c>
      <c r="H90" s="366">
        <v>1</v>
      </c>
      <c r="I90" s="366" t="s">
        <v>29</v>
      </c>
      <c r="J90" s="366">
        <v>0</v>
      </c>
      <c r="K90" s="212" t="str">
        <f t="shared" si="16"/>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202</v>
      </c>
      <c r="H91" s="366">
        <v>1</v>
      </c>
      <c r="I91" s="366" t="s">
        <v>29</v>
      </c>
      <c r="J91" s="366">
        <v>0</v>
      </c>
      <c r="K91" s="212" t="str">
        <f t="shared" si="16"/>
        <v>1</v>
      </c>
      <c r="L91" s="210" t="str">
        <f>VLOOKUP($B91,Invulblad!$A$11:$S$103,13,0)</f>
        <v>1</v>
      </c>
      <c r="M91" s="211">
        <f>IF(L91&lt;&gt;"",VLOOKUP($B91,Invulblad!$A$11:$S$103,7,0),"")</f>
        <v>1</v>
      </c>
      <c r="N91" s="209" t="s">
        <v>29</v>
      </c>
      <c r="O91" s="211">
        <f>IF(L91&lt;&gt;"",VLOOKUP($B91,Invulblad!$A$11:$S$103,9,0),"")</f>
        <v>0</v>
      </c>
      <c r="P91" s="212">
        <f>IF(L91&lt;&gt;"",IF(AND(M91=H91,O91=J91),10,IF(K91=L91,5,0)),"")</f>
        <v>10</v>
      </c>
    </row>
    <row r="92" spans="1:16">
      <c r="A92" s="188">
        <v>79</v>
      </c>
      <c r="B92" s="201" t="s">
        <v>88</v>
      </c>
      <c r="H92" s="367"/>
      <c r="I92" s="367"/>
      <c r="J92" s="367"/>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177</v>
      </c>
      <c r="H94" s="366">
        <v>1</v>
      </c>
      <c r="I94" s="366" t="s">
        <v>29</v>
      </c>
      <c r="J94" s="366">
        <v>0</v>
      </c>
      <c r="K94" s="212" t="str">
        <f t="shared" si="16"/>
        <v>1</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138</v>
      </c>
      <c r="F95" s="189" t="s">
        <v>29</v>
      </c>
      <c r="G95" s="189" t="s">
        <v>102</v>
      </c>
      <c r="H95" s="366">
        <v>1</v>
      </c>
      <c r="I95" s="366" t="s">
        <v>29</v>
      </c>
      <c r="J95" s="366">
        <v>1</v>
      </c>
      <c r="K95" s="212">
        <f t="shared" si="16"/>
        <v>3</v>
      </c>
      <c r="L95" s="210">
        <f>VLOOKUP($B95,Invulblad!$A$11:$S$103,13,0)</f>
        <v>3</v>
      </c>
      <c r="M95" s="211">
        <f>IF(L95&lt;&gt;"",VLOOKUP($B95,Invulblad!$A$11:$S$103,7,0),"")</f>
        <v>0</v>
      </c>
      <c r="N95" s="209" t="s">
        <v>29</v>
      </c>
      <c r="O95" s="211">
        <f>IF(L95&lt;&gt;"",VLOOKUP($B95,Invulblad!$A$11:$S$103,9,0),"")</f>
        <v>0</v>
      </c>
      <c r="P95" s="212">
        <f>IF(L95&lt;&gt;"",IF(AND(M95=H95,O95=J95),10,IF(K95=L95,5,0)),"")</f>
        <v>5</v>
      </c>
    </row>
    <row r="96" spans="1:16">
      <c r="A96" s="188">
        <v>83</v>
      </c>
      <c r="B96" s="201" t="s">
        <v>571</v>
      </c>
      <c r="H96" s="367"/>
      <c r="I96" s="367"/>
      <c r="J96" s="367"/>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177</v>
      </c>
      <c r="F98" s="189" t="s">
        <v>29</v>
      </c>
      <c r="G98" s="189" t="s">
        <v>138</v>
      </c>
      <c r="H98" s="366">
        <v>1</v>
      </c>
      <c r="I98" s="366" t="s">
        <v>29</v>
      </c>
      <c r="J98" s="366">
        <v>2</v>
      </c>
      <c r="K98" s="212">
        <f t="shared" si="16"/>
        <v>2</v>
      </c>
      <c r="L98" s="210">
        <f>VLOOKUP($B98,Invulblad!$A$11:$S$103,13,0)</f>
        <v>2</v>
      </c>
      <c r="M98" s="211">
        <f>IF(L98&lt;&gt;"",VLOOKUP($B98,Invulblad!$A$11:$S$103,7,0),"")</f>
        <v>0</v>
      </c>
      <c r="N98" s="209" t="s">
        <v>29</v>
      </c>
      <c r="O98" s="211">
        <f>IF(L98&lt;&gt;"",VLOOKUP($B98,Invulblad!$A$11:$S$103,9,0),"")</f>
        <v>3</v>
      </c>
      <c r="P98" s="212">
        <f>IF(L98&lt;&gt;"",IF(AND(M98=H98,O98=J98),10,IF(K98=L98,5,0)),"")</f>
        <v>5</v>
      </c>
    </row>
    <row r="99" spans="1:16">
      <c r="A99" s="188">
        <v>86</v>
      </c>
      <c r="B99" s="201" t="s">
        <v>48</v>
      </c>
      <c r="H99" s="367"/>
      <c r="I99" s="367"/>
      <c r="J99" s="367"/>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199</v>
      </c>
      <c r="F101" s="189" t="s">
        <v>29</v>
      </c>
      <c r="G101" s="189" t="s">
        <v>102</v>
      </c>
      <c r="H101" s="366">
        <v>1</v>
      </c>
      <c r="I101" s="366" t="s">
        <v>29</v>
      </c>
      <c r="J101" s="366">
        <v>2</v>
      </c>
      <c r="K101" s="212">
        <f t="shared" si="16"/>
        <v>2</v>
      </c>
      <c r="L101" s="210" t="str">
        <f>VLOOKUP($B101,Invulblad!$A$11:$S$103,13,0)</f>
        <v>1</v>
      </c>
      <c r="M101" s="211">
        <f>IF(L101&lt;&gt;"",VLOOKUP($B101,Invulblad!$A$11:$S$103,7,0),"")</f>
        <v>1</v>
      </c>
      <c r="N101" s="209" t="s">
        <v>29</v>
      </c>
      <c r="O101" s="211">
        <f>IF(L101&lt;&gt;"",VLOOKUP($B101,Invulblad!$A$11:$S$103,9,0),"")</f>
        <v>0</v>
      </c>
      <c r="P101" s="212">
        <f>IF(L101&lt;&gt;"",IF(AND(M101=H101,O101=J101),10,IF(K101=L101,5,0)),"")</f>
        <v>0</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152</v>
      </c>
    </row>
    <row r="112" spans="1:16">
      <c r="B112" s="201" t="s">
        <v>144</v>
      </c>
    </row>
    <row r="114" spans="2:15">
      <c r="B114" s="215" t="s">
        <v>145</v>
      </c>
      <c r="C114" s="215" t="s">
        <v>146</v>
      </c>
      <c r="D114" s="215" t="s">
        <v>147</v>
      </c>
      <c r="E114" s="215" t="s">
        <v>148</v>
      </c>
    </row>
    <row r="115" spans="2:15">
      <c r="B115" s="216" t="s">
        <v>199</v>
      </c>
      <c r="C115" s="216" t="s">
        <v>163</v>
      </c>
      <c r="D115" s="216" t="s">
        <v>149</v>
      </c>
      <c r="E115" s="216" t="s">
        <v>155</v>
      </c>
    </row>
    <row r="116" spans="2:15">
      <c r="B116" s="217" t="s">
        <v>389</v>
      </c>
      <c r="C116" s="217" t="s">
        <v>153</v>
      </c>
      <c r="D116" s="217" t="s">
        <v>154</v>
      </c>
      <c r="E116" s="217" t="s">
        <v>156</v>
      </c>
    </row>
    <row r="117" spans="2:15">
      <c r="B117" s="216" t="s">
        <v>152</v>
      </c>
      <c r="C117" s="216" t="s">
        <v>149</v>
      </c>
      <c r="D117" s="216" t="s">
        <v>150</v>
      </c>
      <c r="E117" s="216" t="s">
        <v>151</v>
      </c>
    </row>
    <row r="118" spans="2:15">
      <c r="B118" s="217" t="s">
        <v>185</v>
      </c>
      <c r="C118" s="217" t="s">
        <v>156</v>
      </c>
      <c r="D118" s="217" t="s">
        <v>171</v>
      </c>
      <c r="E118" s="217" t="s">
        <v>150</v>
      </c>
    </row>
    <row r="121" spans="2:15">
      <c r="B121" s="201" t="s">
        <v>157</v>
      </c>
    </row>
    <row r="122" spans="2:15">
      <c r="B122" s="195"/>
    </row>
    <row r="123" spans="2:15">
      <c r="B123" s="195" t="s">
        <v>158</v>
      </c>
    </row>
    <row r="124" spans="2:15">
      <c r="B124" s="195" t="s">
        <v>251</v>
      </c>
    </row>
    <row r="127" spans="2:15">
      <c r="B127" s="218"/>
      <c r="C127" s="218"/>
      <c r="D127" s="218"/>
      <c r="E127" s="218"/>
      <c r="F127" s="218"/>
      <c r="G127" s="218"/>
      <c r="H127" s="364"/>
      <c r="I127" s="364"/>
      <c r="J127" s="364"/>
      <c r="K127" s="218"/>
      <c r="L127" s="219"/>
      <c r="M127" s="218"/>
      <c r="N127" s="218"/>
      <c r="O127" s="218"/>
    </row>
    <row r="130" spans="1:5">
      <c r="B130" s="201" t="s">
        <v>160</v>
      </c>
    </row>
    <row r="132" spans="1:5">
      <c r="A132" s="227" t="s">
        <v>67</v>
      </c>
      <c r="B132" s="189" t="s">
        <v>140</v>
      </c>
      <c r="C132" s="189" t="s">
        <v>141</v>
      </c>
      <c r="D132" s="201" t="s">
        <v>138</v>
      </c>
    </row>
    <row r="133" spans="1:5">
      <c r="A133" s="188" t="s">
        <v>68</v>
      </c>
      <c r="B133" s="189" t="s">
        <v>142</v>
      </c>
      <c r="C133" s="189" t="s">
        <v>141</v>
      </c>
      <c r="D133" s="201" t="s">
        <v>135</v>
      </c>
    </row>
    <row r="136" spans="1:5">
      <c r="B136" s="201" t="s">
        <v>161</v>
      </c>
    </row>
    <row r="138" spans="1:5">
      <c r="B138" s="215" t="s">
        <v>145</v>
      </c>
      <c r="C138" s="215" t="s">
        <v>146</v>
      </c>
      <c r="D138" s="215" t="s">
        <v>147</v>
      </c>
      <c r="E138" s="215" t="s">
        <v>148</v>
      </c>
    </row>
    <row r="139" spans="1:5">
      <c r="B139" s="216" t="s">
        <v>138</v>
      </c>
      <c r="C139" s="216" t="s">
        <v>172</v>
      </c>
      <c r="D139" s="216" t="s">
        <v>151</v>
      </c>
      <c r="E139" s="216" t="s">
        <v>149</v>
      </c>
    </row>
    <row r="140" spans="1:5">
      <c r="B140" s="217" t="s">
        <v>135</v>
      </c>
      <c r="C140" s="217" t="s">
        <v>155</v>
      </c>
      <c r="D140" s="217" t="s">
        <v>153</v>
      </c>
      <c r="E140" s="217" t="s">
        <v>149</v>
      </c>
    </row>
    <row r="141" spans="1:5">
      <c r="B141" s="216" t="s">
        <v>207</v>
      </c>
      <c r="C141" s="216" t="s">
        <v>153</v>
      </c>
      <c r="D141" s="216" t="s">
        <v>165</v>
      </c>
      <c r="E141" s="216" t="s">
        <v>156</v>
      </c>
    </row>
    <row r="142" spans="1:5">
      <c r="B142" s="217" t="s">
        <v>179</v>
      </c>
      <c r="C142" s="217" t="s">
        <v>156</v>
      </c>
      <c r="D142" s="217" t="s">
        <v>171</v>
      </c>
      <c r="E142" s="217" t="s">
        <v>150</v>
      </c>
    </row>
    <row r="145" spans="1:15">
      <c r="B145" s="201" t="s">
        <v>166</v>
      </c>
    </row>
    <row r="146" spans="1:15">
      <c r="B146" s="195"/>
    </row>
    <row r="147" spans="1:15">
      <c r="B147" s="195" t="s">
        <v>167</v>
      </c>
    </row>
    <row r="148" spans="1:15">
      <c r="B148" s="195" t="s">
        <v>168</v>
      </c>
    </row>
    <row r="151" spans="1:15">
      <c r="B151" s="218"/>
      <c r="C151" s="218"/>
      <c r="D151" s="218"/>
      <c r="E151" s="218"/>
      <c r="F151" s="218"/>
      <c r="G151" s="218"/>
      <c r="H151" s="364"/>
      <c r="I151" s="364"/>
      <c r="J151" s="364"/>
      <c r="K151" s="218"/>
      <c r="L151" s="219"/>
      <c r="M151" s="218"/>
      <c r="N151" s="218"/>
      <c r="O151" s="218"/>
    </row>
    <row r="154" spans="1:15">
      <c r="B154" s="201" t="s">
        <v>169</v>
      </c>
    </row>
    <row r="156" spans="1:15">
      <c r="A156" s="188" t="s">
        <v>69</v>
      </c>
      <c r="B156" s="189" t="s">
        <v>140</v>
      </c>
      <c r="C156" s="189" t="s">
        <v>141</v>
      </c>
      <c r="D156" s="201" t="s">
        <v>106</v>
      </c>
    </row>
    <row r="157" spans="1:15">
      <c r="A157" s="188" t="s">
        <v>70</v>
      </c>
      <c r="B157" s="189" t="s">
        <v>142</v>
      </c>
      <c r="C157" s="189" t="s">
        <v>141</v>
      </c>
      <c r="D157" s="201" t="s">
        <v>200</v>
      </c>
    </row>
    <row r="160" spans="1:15">
      <c r="B160" s="201" t="s">
        <v>170</v>
      </c>
    </row>
    <row r="162" spans="2:15">
      <c r="B162" s="215" t="s">
        <v>145</v>
      </c>
      <c r="C162" s="215" t="s">
        <v>146</v>
      </c>
      <c r="D162" s="215" t="s">
        <v>147</v>
      </c>
      <c r="E162" s="215" t="s">
        <v>148</v>
      </c>
    </row>
    <row r="163" spans="2:15">
      <c r="B163" s="216" t="s">
        <v>390</v>
      </c>
      <c r="C163" s="216" t="s">
        <v>149</v>
      </c>
      <c r="D163" s="216" t="s">
        <v>154</v>
      </c>
      <c r="E163" s="216" t="s">
        <v>153</v>
      </c>
    </row>
    <row r="164" spans="2:15">
      <c r="B164" s="217" t="s">
        <v>106</v>
      </c>
      <c r="C164" s="217" t="s">
        <v>163</v>
      </c>
      <c r="D164" s="217" t="s">
        <v>149</v>
      </c>
      <c r="E164" s="217" t="s">
        <v>155</v>
      </c>
    </row>
    <row r="165" spans="2:15">
      <c r="B165" s="216" t="s">
        <v>200</v>
      </c>
      <c r="C165" s="216" t="s">
        <v>149</v>
      </c>
      <c r="D165" s="216" t="s">
        <v>150</v>
      </c>
      <c r="E165" s="216" t="s">
        <v>151</v>
      </c>
    </row>
    <row r="166" spans="2:15">
      <c r="B166" s="217" t="s">
        <v>187</v>
      </c>
      <c r="C166" s="217" t="s">
        <v>150</v>
      </c>
      <c r="D166" s="217" t="s">
        <v>171</v>
      </c>
      <c r="E166" s="217" t="s">
        <v>150</v>
      </c>
    </row>
    <row r="169" spans="2:15">
      <c r="B169" s="201" t="s">
        <v>173</v>
      </c>
    </row>
    <row r="170" spans="2:15">
      <c r="B170" s="195"/>
    </row>
    <row r="171" spans="2:15">
      <c r="B171" s="195" t="s">
        <v>174</v>
      </c>
    </row>
    <row r="172" spans="2:15">
      <c r="B172" s="195" t="s">
        <v>276</v>
      </c>
    </row>
    <row r="175" spans="2:15">
      <c r="B175" s="218"/>
      <c r="C175" s="218"/>
      <c r="D175" s="218"/>
      <c r="E175" s="218"/>
      <c r="F175" s="218"/>
      <c r="G175" s="218"/>
      <c r="H175" s="364"/>
      <c r="I175" s="364"/>
      <c r="J175" s="364"/>
    </row>
    <row r="176" spans="2:15">
      <c r="K176" s="218"/>
      <c r="L176" s="219"/>
      <c r="M176" s="218"/>
      <c r="N176" s="218"/>
      <c r="O176" s="218"/>
    </row>
    <row r="178" spans="1:5">
      <c r="B178" s="201" t="s">
        <v>176</v>
      </c>
    </row>
    <row r="180" spans="1:5">
      <c r="A180" s="188" t="s">
        <v>71</v>
      </c>
      <c r="B180" s="189" t="s">
        <v>140</v>
      </c>
      <c r="C180" s="189" t="s">
        <v>141</v>
      </c>
      <c r="D180" s="201" t="s">
        <v>109</v>
      </c>
    </row>
    <row r="181" spans="1:5">
      <c r="A181" s="188" t="s">
        <v>72</v>
      </c>
      <c r="B181" s="189" t="s">
        <v>142</v>
      </c>
      <c r="C181" s="189" t="s">
        <v>141</v>
      </c>
      <c r="D181" s="201" t="s">
        <v>193</v>
      </c>
    </row>
    <row r="184" spans="1:5">
      <c r="B184" s="201" t="s">
        <v>178</v>
      </c>
    </row>
    <row r="186" spans="1:5">
      <c r="B186" s="215" t="s">
        <v>145</v>
      </c>
      <c r="C186" s="215" t="s">
        <v>146</v>
      </c>
      <c r="D186" s="215" t="s">
        <v>147</v>
      </c>
      <c r="E186" s="215" t="s">
        <v>148</v>
      </c>
    </row>
    <row r="187" spans="1:5">
      <c r="B187" s="216" t="s">
        <v>97</v>
      </c>
      <c r="C187" s="216" t="s">
        <v>151</v>
      </c>
      <c r="D187" s="216" t="s">
        <v>165</v>
      </c>
      <c r="E187" s="216" t="s">
        <v>149</v>
      </c>
    </row>
    <row r="188" spans="1:5">
      <c r="B188" s="217" t="s">
        <v>391</v>
      </c>
      <c r="C188" s="217" t="s">
        <v>150</v>
      </c>
      <c r="D188" s="217" t="s">
        <v>162</v>
      </c>
      <c r="E188" s="217" t="s">
        <v>156</v>
      </c>
    </row>
    <row r="189" spans="1:5">
      <c r="B189" s="216" t="s">
        <v>109</v>
      </c>
      <c r="C189" s="216" t="s">
        <v>172</v>
      </c>
      <c r="D189" s="216" t="s">
        <v>149</v>
      </c>
      <c r="E189" s="216" t="s">
        <v>172</v>
      </c>
    </row>
    <row r="190" spans="1:5">
      <c r="B190" s="217" t="s">
        <v>193</v>
      </c>
      <c r="C190" s="217" t="s">
        <v>172</v>
      </c>
      <c r="D190" s="217" t="s">
        <v>151</v>
      </c>
      <c r="E190" s="217" t="s">
        <v>164</v>
      </c>
    </row>
    <row r="193" spans="1:15">
      <c r="B193" s="201" t="s">
        <v>182</v>
      </c>
    </row>
    <row r="194" spans="1:15">
      <c r="B194" s="195"/>
    </row>
    <row r="195" spans="1:15">
      <c r="B195" s="195" t="s">
        <v>183</v>
      </c>
    </row>
    <row r="196" spans="1:15">
      <c r="B196" s="195"/>
    </row>
    <row r="199" spans="1:15">
      <c r="B199" s="218"/>
      <c r="C199" s="218"/>
      <c r="D199" s="218"/>
      <c r="E199" s="218"/>
      <c r="F199" s="218"/>
      <c r="G199" s="218"/>
      <c r="H199" s="364"/>
      <c r="I199" s="364"/>
      <c r="J199" s="364"/>
    </row>
    <row r="200" spans="1:15">
      <c r="K200" s="218"/>
      <c r="L200" s="219"/>
      <c r="M200" s="218"/>
      <c r="N200" s="218"/>
      <c r="O200" s="218"/>
    </row>
    <row r="202" spans="1:15">
      <c r="B202" s="201" t="s">
        <v>184</v>
      </c>
    </row>
    <row r="204" spans="1:15">
      <c r="A204" s="188" t="s">
        <v>73</v>
      </c>
      <c r="B204" s="189" t="s">
        <v>140</v>
      </c>
      <c r="C204" s="189" t="s">
        <v>141</v>
      </c>
      <c r="D204" s="201" t="s">
        <v>143</v>
      </c>
    </row>
    <row r="205" spans="1:15">
      <c r="A205" s="188" t="s">
        <v>74</v>
      </c>
      <c r="B205" s="189" t="s">
        <v>142</v>
      </c>
      <c r="C205" s="189" t="s">
        <v>141</v>
      </c>
      <c r="D205" s="201" t="s">
        <v>210</v>
      </c>
    </row>
    <row r="208" spans="1:15">
      <c r="B208" s="201" t="s">
        <v>186</v>
      </c>
    </row>
    <row r="210" spans="2:15">
      <c r="B210" s="215" t="s">
        <v>145</v>
      </c>
      <c r="C210" s="215" t="s">
        <v>146</v>
      </c>
      <c r="D210" s="215" t="s">
        <v>147</v>
      </c>
      <c r="E210" s="215" t="s">
        <v>148</v>
      </c>
    </row>
    <row r="211" spans="2:15">
      <c r="B211" s="216" t="s">
        <v>209</v>
      </c>
      <c r="C211" s="216" t="s">
        <v>156</v>
      </c>
      <c r="D211" s="216" t="s">
        <v>171</v>
      </c>
      <c r="E211" s="216" t="s">
        <v>150</v>
      </c>
    </row>
    <row r="212" spans="2:15">
      <c r="B212" s="217" t="s">
        <v>392</v>
      </c>
      <c r="C212" s="217" t="s">
        <v>153</v>
      </c>
      <c r="D212" s="217" t="s">
        <v>154</v>
      </c>
      <c r="E212" s="217" t="s">
        <v>153</v>
      </c>
    </row>
    <row r="213" spans="2:15">
      <c r="B213" s="216" t="s">
        <v>143</v>
      </c>
      <c r="C213" s="216" t="s">
        <v>172</v>
      </c>
      <c r="D213" s="216" t="s">
        <v>151</v>
      </c>
      <c r="E213" s="216" t="s">
        <v>149</v>
      </c>
    </row>
    <row r="214" spans="2:15">
      <c r="B214" s="217" t="s">
        <v>210</v>
      </c>
      <c r="C214" s="217" t="s">
        <v>155</v>
      </c>
      <c r="D214" s="217" t="s">
        <v>156</v>
      </c>
      <c r="E214" s="217" t="s">
        <v>149</v>
      </c>
    </row>
    <row r="217" spans="2:15">
      <c r="B217" s="201" t="s">
        <v>189</v>
      </c>
    </row>
    <row r="218" spans="2:15">
      <c r="B218" s="195"/>
    </row>
    <row r="219" spans="2:15">
      <c r="B219" s="195" t="s">
        <v>190</v>
      </c>
    </row>
    <row r="220" spans="2:15">
      <c r="B220" s="195" t="s">
        <v>191</v>
      </c>
    </row>
    <row r="223" spans="2:15">
      <c r="B223" s="218"/>
      <c r="C223" s="218"/>
      <c r="D223" s="218"/>
      <c r="E223" s="218"/>
      <c r="F223" s="218"/>
      <c r="G223" s="218"/>
      <c r="H223" s="364"/>
      <c r="I223" s="364"/>
      <c r="J223" s="364"/>
    </row>
    <row r="224" spans="2:15">
      <c r="K224" s="218"/>
      <c r="L224" s="219"/>
      <c r="M224" s="218"/>
      <c r="N224" s="218"/>
      <c r="O224" s="218"/>
    </row>
    <row r="226" spans="1:5">
      <c r="B226" s="201" t="s">
        <v>192</v>
      </c>
    </row>
    <row r="228" spans="1:5">
      <c r="A228" s="188" t="s">
        <v>75</v>
      </c>
      <c r="B228" s="189" t="s">
        <v>140</v>
      </c>
      <c r="C228" s="189" t="s">
        <v>141</v>
      </c>
      <c r="D228" s="201" t="s">
        <v>102</v>
      </c>
    </row>
    <row r="229" spans="1:5">
      <c r="A229" s="188" t="s">
        <v>76</v>
      </c>
      <c r="B229" s="189" t="s">
        <v>142</v>
      </c>
      <c r="C229" s="189" t="s">
        <v>141</v>
      </c>
      <c r="D229" s="201" t="s">
        <v>108</v>
      </c>
    </row>
    <row r="232" spans="1:5">
      <c r="B232" s="201" t="s">
        <v>194</v>
      </c>
    </row>
    <row r="234" spans="1:5">
      <c r="B234" s="215" t="s">
        <v>145</v>
      </c>
      <c r="C234" s="215" t="s">
        <v>146</v>
      </c>
      <c r="D234" s="215" t="s">
        <v>147</v>
      </c>
      <c r="E234" s="215" t="s">
        <v>148</v>
      </c>
    </row>
    <row r="235" spans="1:5">
      <c r="B235" s="216" t="s">
        <v>102</v>
      </c>
      <c r="C235" s="216" t="s">
        <v>163</v>
      </c>
      <c r="D235" s="216" t="s">
        <v>155</v>
      </c>
      <c r="E235" s="216" t="s">
        <v>164</v>
      </c>
    </row>
    <row r="236" spans="1:5">
      <c r="B236" s="217" t="s">
        <v>572</v>
      </c>
      <c r="C236" s="217" t="s">
        <v>153</v>
      </c>
      <c r="D236" s="217" t="s">
        <v>165</v>
      </c>
      <c r="E236" s="217" t="s">
        <v>156</v>
      </c>
    </row>
    <row r="237" spans="1:5">
      <c r="B237" s="216" t="s">
        <v>394</v>
      </c>
      <c r="C237" s="216" t="s">
        <v>153</v>
      </c>
      <c r="D237" s="216" t="s">
        <v>165</v>
      </c>
      <c r="E237" s="216" t="s">
        <v>150</v>
      </c>
    </row>
    <row r="238" spans="1:5">
      <c r="B238" s="217" t="s">
        <v>108</v>
      </c>
      <c r="C238" s="217" t="s">
        <v>153</v>
      </c>
      <c r="D238" s="217" t="s">
        <v>154</v>
      </c>
      <c r="E238" s="217" t="s">
        <v>153</v>
      </c>
    </row>
    <row r="241" spans="1:15">
      <c r="B241" s="201" t="s">
        <v>195</v>
      </c>
    </row>
    <row r="242" spans="1:15">
      <c r="B242" s="195"/>
    </row>
    <row r="243" spans="1:15">
      <c r="B243" s="195" t="s">
        <v>196</v>
      </c>
    </row>
    <row r="244" spans="1:15">
      <c r="B244" s="195" t="s">
        <v>262</v>
      </c>
    </row>
    <row r="247" spans="1:15">
      <c r="B247" s="218"/>
      <c r="C247" s="218"/>
      <c r="D247" s="218"/>
      <c r="E247" s="218"/>
      <c r="F247" s="218"/>
      <c r="G247" s="218"/>
      <c r="H247" s="364"/>
      <c r="I247" s="364"/>
      <c r="J247" s="364"/>
    </row>
    <row r="248" spans="1:15">
      <c r="K248" s="218"/>
      <c r="L248" s="219"/>
      <c r="M248" s="218"/>
      <c r="N248" s="218"/>
      <c r="O248" s="218"/>
    </row>
    <row r="250" spans="1:15">
      <c r="B250" s="201" t="s">
        <v>198</v>
      </c>
    </row>
    <row r="252" spans="1:15">
      <c r="A252" s="188" t="s">
        <v>77</v>
      </c>
      <c r="B252" s="189" t="s">
        <v>140</v>
      </c>
      <c r="C252" s="189" t="s">
        <v>141</v>
      </c>
      <c r="D252" s="201" t="s">
        <v>177</v>
      </c>
    </row>
    <row r="253" spans="1:15">
      <c r="A253" s="188" t="s">
        <v>78</v>
      </c>
      <c r="B253" s="189" t="s">
        <v>142</v>
      </c>
      <c r="C253" s="189" t="s">
        <v>141</v>
      </c>
      <c r="D253" s="201" t="s">
        <v>202</v>
      </c>
    </row>
    <row r="256" spans="1:15">
      <c r="B256" s="201" t="s">
        <v>201</v>
      </c>
    </row>
    <row r="258" spans="2:15">
      <c r="B258" s="215" t="s">
        <v>145</v>
      </c>
      <c r="C258" s="215" t="s">
        <v>146</v>
      </c>
      <c r="D258" s="215" t="s">
        <v>147</v>
      </c>
      <c r="E258" s="215" t="s">
        <v>148</v>
      </c>
    </row>
    <row r="259" spans="2:15">
      <c r="B259" s="216" t="s">
        <v>177</v>
      </c>
      <c r="C259" s="216" t="s">
        <v>172</v>
      </c>
      <c r="D259" s="216" t="s">
        <v>151</v>
      </c>
      <c r="E259" s="216" t="s">
        <v>149</v>
      </c>
    </row>
    <row r="260" spans="2:15">
      <c r="B260" s="217" t="s">
        <v>202</v>
      </c>
      <c r="C260" s="217" t="s">
        <v>172</v>
      </c>
      <c r="D260" s="217" t="s">
        <v>151</v>
      </c>
      <c r="E260" s="217" t="s">
        <v>149</v>
      </c>
    </row>
    <row r="261" spans="2:15">
      <c r="B261" s="216" t="s">
        <v>181</v>
      </c>
      <c r="C261" s="216" t="s">
        <v>151</v>
      </c>
      <c r="D261" s="216" t="s">
        <v>171</v>
      </c>
      <c r="E261" s="216" t="s">
        <v>156</v>
      </c>
    </row>
    <row r="262" spans="2:15">
      <c r="B262" s="217" t="s">
        <v>32</v>
      </c>
      <c r="C262" s="217" t="s">
        <v>150</v>
      </c>
      <c r="D262" s="217" t="s">
        <v>171</v>
      </c>
      <c r="E262" s="217" t="s">
        <v>153</v>
      </c>
    </row>
    <row r="265" spans="2:15">
      <c r="B265" s="201" t="s">
        <v>203</v>
      </c>
    </row>
    <row r="266" spans="2:15">
      <c r="B266" s="195"/>
    </row>
    <row r="267" spans="2:15">
      <c r="B267" s="195" t="s">
        <v>278</v>
      </c>
    </row>
    <row r="268" spans="2:15">
      <c r="B268" s="195"/>
    </row>
    <row r="270" spans="2:15">
      <c r="B270" s="218"/>
      <c r="C270" s="218"/>
      <c r="D270" s="218"/>
      <c r="E270" s="218"/>
      <c r="F270" s="218"/>
      <c r="G270" s="218"/>
    </row>
    <row r="271" spans="2:15">
      <c r="H271" s="364"/>
      <c r="I271" s="364"/>
      <c r="J271" s="364"/>
      <c r="K271" s="218"/>
      <c r="L271" s="219"/>
      <c r="M271" s="218"/>
      <c r="N271" s="218"/>
      <c r="O271" s="218"/>
    </row>
    <row r="272" spans="2:15">
      <c r="K272" s="334"/>
      <c r="L272" s="335"/>
      <c r="M272" s="334"/>
      <c r="N272" s="334"/>
      <c r="O272" s="334"/>
    </row>
    <row r="274" spans="1:5">
      <c r="B274" s="201" t="s">
        <v>206</v>
      </c>
    </row>
    <row r="276" spans="1:5">
      <c r="A276" s="188" t="s">
        <v>79</v>
      </c>
      <c r="B276" s="189" t="s">
        <v>140</v>
      </c>
      <c r="C276" s="189" t="s">
        <v>141</v>
      </c>
      <c r="D276" s="201" t="s">
        <v>396</v>
      </c>
    </row>
    <row r="277" spans="1:5">
      <c r="A277" s="188" t="s">
        <v>80</v>
      </c>
      <c r="B277" s="189" t="s">
        <v>142</v>
      </c>
      <c r="C277" s="189" t="s">
        <v>141</v>
      </c>
      <c r="D277" s="201" t="s">
        <v>395</v>
      </c>
    </row>
    <row r="278" spans="1:5">
      <c r="A278" s="188" t="s">
        <v>80</v>
      </c>
    </row>
    <row r="280" spans="1:5">
      <c r="B280" s="201" t="s">
        <v>208</v>
      </c>
    </row>
    <row r="282" spans="1:5">
      <c r="B282" s="215" t="s">
        <v>145</v>
      </c>
      <c r="C282" s="215" t="s">
        <v>146</v>
      </c>
      <c r="D282" s="215" t="s">
        <v>147</v>
      </c>
      <c r="E282" s="215" t="s">
        <v>148</v>
      </c>
    </row>
    <row r="283" spans="1:5">
      <c r="B283" s="216" t="s">
        <v>395</v>
      </c>
      <c r="C283" s="216" t="s">
        <v>164</v>
      </c>
      <c r="D283" s="216" t="s">
        <v>151</v>
      </c>
      <c r="E283" s="216" t="s">
        <v>155</v>
      </c>
    </row>
    <row r="284" spans="1:5">
      <c r="B284" s="217" t="s">
        <v>110</v>
      </c>
      <c r="C284" s="217" t="s">
        <v>150</v>
      </c>
      <c r="D284" s="217" t="s">
        <v>162</v>
      </c>
      <c r="E284" s="217" t="s">
        <v>156</v>
      </c>
    </row>
    <row r="285" spans="1:5">
      <c r="B285" s="216" t="s">
        <v>396</v>
      </c>
      <c r="C285" s="216" t="s">
        <v>172</v>
      </c>
      <c r="D285" s="216" t="s">
        <v>153</v>
      </c>
      <c r="E285" s="216" t="s">
        <v>151</v>
      </c>
    </row>
    <row r="286" spans="1:5">
      <c r="B286" s="217" t="s">
        <v>104</v>
      </c>
      <c r="C286" s="217" t="s">
        <v>149</v>
      </c>
      <c r="D286" s="217" t="s">
        <v>150</v>
      </c>
      <c r="E286" s="217" t="s">
        <v>153</v>
      </c>
    </row>
    <row r="289" spans="2:15">
      <c r="B289" s="201" t="s">
        <v>211</v>
      </c>
    </row>
    <row r="290" spans="2:15">
      <c r="B290" s="195"/>
    </row>
    <row r="291" spans="2:15">
      <c r="B291" s="195" t="s">
        <v>212</v>
      </c>
    </row>
    <row r="292" spans="2:15">
      <c r="B292" s="195" t="s">
        <v>213</v>
      </c>
    </row>
    <row r="295" spans="2:15">
      <c r="B295" s="218"/>
      <c r="C295" s="218"/>
      <c r="D295" s="218"/>
      <c r="E295" s="218"/>
      <c r="F295" s="218"/>
      <c r="G295" s="218"/>
      <c r="H295" s="364"/>
      <c r="I295" s="364"/>
      <c r="J295" s="364"/>
    </row>
    <row r="296" spans="2:15">
      <c r="K296" s="218"/>
      <c r="L296" s="219"/>
      <c r="M296" s="218"/>
      <c r="N296" s="218"/>
      <c r="O296" s="218"/>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8.xml><?xml version="1.0" encoding="utf-8"?>
<worksheet xmlns="http://schemas.openxmlformats.org/spreadsheetml/2006/main" xmlns:r="http://schemas.openxmlformats.org/officeDocument/2006/relationships">
  <sheetPr codeName="Blad18">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576</v>
      </c>
      <c r="L1" s="194"/>
      <c r="P1" s="193">
        <f>SUM(P14:P101)+E11+H11+L7+L11+Q11</f>
        <v>510</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Chili</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Japan</v>
      </c>
      <c r="C4" s="222">
        <f t="shared" si="1"/>
        <v>0</v>
      </c>
      <c r="D4" s="224" t="str">
        <f t="shared" si="2"/>
        <v>Uruguay</v>
      </c>
      <c r="E4" s="222">
        <f t="shared" si="3"/>
        <v>10</v>
      </c>
      <c r="F4" s="339" t="s">
        <v>450</v>
      </c>
      <c r="G4" s="195" t="str">
        <f>G88</f>
        <v>Japan</v>
      </c>
      <c r="H4" s="222">
        <f t="shared" si="4"/>
        <v>0</v>
      </c>
      <c r="I4" s="339" t="s">
        <v>458</v>
      </c>
      <c r="J4" s="195" t="str">
        <f>G94</f>
        <v>Duitsland</v>
      </c>
      <c r="L4" s="222">
        <f>IF(ISNA(MATCH(J4,teams_halve,0)),0,20)</f>
        <v>20</v>
      </c>
      <c r="Q4" s="224"/>
    </row>
    <row r="5" spans="1:21" s="195" customFormat="1" ht="15" customHeight="1">
      <c r="B5" s="224" t="str">
        <f t="shared" si="0"/>
        <v>Spanje</v>
      </c>
      <c r="C5" s="222">
        <f t="shared" si="1"/>
        <v>0</v>
      </c>
      <c r="D5" s="224" t="str">
        <f t="shared" si="2"/>
        <v>Kroatië</v>
      </c>
      <c r="E5" s="222">
        <f t="shared" si="3"/>
        <v>0</v>
      </c>
      <c r="F5" s="339" t="s">
        <v>451</v>
      </c>
      <c r="G5" s="195" t="str">
        <f>E90</f>
        <v>Spanje</v>
      </c>
      <c r="H5" s="222">
        <f t="shared" si="4"/>
        <v>0</v>
      </c>
      <c r="I5" s="339" t="s">
        <v>459</v>
      </c>
      <c r="J5" s="195" t="str">
        <f>E95</f>
        <v>Italië</v>
      </c>
      <c r="L5" s="222">
        <f>IF(ISNA(MATCH(J5,teams_halve,0)),0,20)</f>
        <v>0</v>
      </c>
    </row>
    <row r="6" spans="1:21" s="195" customFormat="1" ht="15" customHeight="1">
      <c r="B6" s="224" t="str">
        <f t="shared" si="0"/>
        <v>Italië</v>
      </c>
      <c r="C6" s="222">
        <f t="shared" si="1"/>
        <v>0</v>
      </c>
      <c r="D6" s="224" t="str">
        <f t="shared" si="2"/>
        <v>Ivoorkust</v>
      </c>
      <c r="E6" s="222">
        <f t="shared" si="3"/>
        <v>0</v>
      </c>
      <c r="F6" s="339" t="s">
        <v>452</v>
      </c>
      <c r="G6" s="195" t="str">
        <f>G90</f>
        <v>Italië</v>
      </c>
      <c r="H6" s="222">
        <f t="shared" si="4"/>
        <v>0</v>
      </c>
      <c r="I6" s="339" t="s">
        <v>460</v>
      </c>
      <c r="J6" s="195" t="str">
        <f>G95</f>
        <v>Argentinië</v>
      </c>
      <c r="L6" s="222">
        <f>IF(ISNA(MATCH(J6,teams_halve,0)),0,20)</f>
        <v>20</v>
      </c>
    </row>
    <row r="7" spans="1:21" s="195" customFormat="1" ht="15" customHeight="1">
      <c r="B7" s="224" t="str">
        <f t="shared" si="0"/>
        <v>Frankrijk</v>
      </c>
      <c r="C7" s="222">
        <f t="shared" si="1"/>
        <v>10</v>
      </c>
      <c r="D7" s="224" t="str">
        <f t="shared" si="2"/>
        <v>Bosnië en Herzegovina</v>
      </c>
      <c r="E7" s="222">
        <f t="shared" si="3"/>
        <v>0</v>
      </c>
      <c r="F7" s="339" t="s">
        <v>453</v>
      </c>
      <c r="G7" s="195" t="str">
        <f>E89</f>
        <v>Frankrijk</v>
      </c>
      <c r="H7" s="222">
        <f t="shared" si="4"/>
        <v>15</v>
      </c>
      <c r="I7" s="339"/>
      <c r="J7" s="198" t="s">
        <v>83</v>
      </c>
      <c r="K7" s="199"/>
      <c r="L7" s="225">
        <f>SUM(L3:L6)</f>
        <v>60</v>
      </c>
    </row>
    <row r="8" spans="1:21" s="195" customFormat="1" ht="15" customHeight="1">
      <c r="B8" s="224" t="str">
        <f t="shared" si="0"/>
        <v>Duitsland</v>
      </c>
      <c r="C8" s="222">
        <f t="shared" si="1"/>
        <v>10</v>
      </c>
      <c r="D8" s="224" t="str">
        <f t="shared" si="2"/>
        <v>Rusland</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Ecuador</v>
      </c>
      <c r="E9" s="222">
        <f t="shared" si="3"/>
        <v>0</v>
      </c>
      <c r="F9" s="339" t="s">
        <v>455</v>
      </c>
      <c r="G9" s="195" t="str">
        <f>E91</f>
        <v>Argentinië</v>
      </c>
      <c r="H9" s="222">
        <f t="shared" si="4"/>
        <v>15</v>
      </c>
      <c r="I9" s="339" t="s">
        <v>461</v>
      </c>
      <c r="J9" s="195" t="str">
        <f>E101</f>
        <v>Duitsland</v>
      </c>
      <c r="L9" s="222">
        <f>IF(ISNA(MATCH(J9,teams_fin,0)),0,30)</f>
        <v>30</v>
      </c>
      <c r="P9" s="444" t="str">
        <f>E98</f>
        <v>Brazilië</v>
      </c>
      <c r="Q9" s="222">
        <f>IF(ISNA(MATCH(P9,teams_troost,0)),0,25)</f>
        <v>25</v>
      </c>
    </row>
    <row r="10" spans="1:21" s="195" customFormat="1" ht="15" customHeight="1">
      <c r="B10" s="224" t="str">
        <f t="shared" si="0"/>
        <v>België</v>
      </c>
      <c r="C10" s="222">
        <f t="shared" si="1"/>
        <v>10</v>
      </c>
      <c r="D10" s="224" t="str">
        <f t="shared" si="2"/>
        <v>Ghana</v>
      </c>
      <c r="E10" s="222">
        <f t="shared" si="3"/>
        <v>0</v>
      </c>
      <c r="F10" s="339" t="s">
        <v>456</v>
      </c>
      <c r="G10" s="195" t="str">
        <f>G91</f>
        <v>België</v>
      </c>
      <c r="H10" s="222">
        <f t="shared" si="4"/>
        <v>15</v>
      </c>
      <c r="I10" s="339" t="s">
        <v>462</v>
      </c>
      <c r="J10" s="195" t="str">
        <f>G101</f>
        <v>Argentinië</v>
      </c>
      <c r="L10" s="222">
        <f>IF(ISNA(MATCH(J10,teams_fin,0)),0,30)</f>
        <v>30</v>
      </c>
      <c r="P10" s="444" t="str">
        <f>G98</f>
        <v>Italië</v>
      </c>
      <c r="Q10" s="222">
        <f>IF(ISNA(MATCH(P10,teams_troost,0)),0,25)</f>
        <v>0</v>
      </c>
    </row>
    <row r="11" spans="1:21" s="195" customFormat="1" ht="15" customHeight="1">
      <c r="D11" s="198" t="s">
        <v>89</v>
      </c>
      <c r="E11" s="225">
        <f>SUM(C3:E10)</f>
        <v>70</v>
      </c>
      <c r="G11" s="198" t="s">
        <v>82</v>
      </c>
      <c r="H11" s="225">
        <f>SUM(H3:H10)</f>
        <v>75</v>
      </c>
      <c r="J11" s="198" t="s">
        <v>90</v>
      </c>
      <c r="K11" s="199"/>
      <c r="L11" s="225">
        <f>SUM(L9:L10)</f>
        <v>60</v>
      </c>
      <c r="P11" s="199"/>
      <c r="Q11" s="225">
        <f>SUM(Q9:Q10)</f>
        <v>25</v>
      </c>
    </row>
    <row r="12" spans="1:21">
      <c r="B12" s="201" t="s">
        <v>19</v>
      </c>
      <c r="C12" s="201"/>
      <c r="D12" s="339" t="s">
        <v>463</v>
      </c>
      <c r="E12" s="202" t="s">
        <v>177</v>
      </c>
      <c r="F12" s="226">
        <f>IF(ISNA(MATCH(E12,Invulblad!F104,0)),0,50)</f>
        <v>50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2</v>
      </c>
      <c r="I14" s="366" t="s">
        <v>29</v>
      </c>
      <c r="J14" s="366">
        <v>1</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2</v>
      </c>
      <c r="I15" s="366" t="s">
        <v>29</v>
      </c>
      <c r="J15" s="366">
        <v>1</v>
      </c>
      <c r="K15" s="212" t="str">
        <f t="shared" si="5"/>
        <v>1</v>
      </c>
      <c r="L15" s="210" t="str">
        <f>VLOOKUP($B15,Invulblad!$A$11:$S$103,13,0)</f>
        <v>1</v>
      </c>
      <c r="M15" s="211">
        <f>IF(L15&lt;&gt;"",VLOOKUP($B15,Invulblad!$A$11:$S$103,7,0),"")</f>
        <v>1</v>
      </c>
      <c r="N15" s="209" t="s">
        <v>29</v>
      </c>
      <c r="O15" s="211">
        <f>IF(L15&lt;&gt;"",VLOOKUP($B15,Invulblad!$A$11:$S$103,9,0),"")</f>
        <v>0</v>
      </c>
      <c r="P15" s="212">
        <f t="shared" si="6"/>
        <v>5</v>
      </c>
    </row>
    <row r="16" spans="1:21">
      <c r="A16" s="188">
        <v>3</v>
      </c>
      <c r="B16" s="195">
        <v>17</v>
      </c>
      <c r="C16" s="332">
        <v>41807</v>
      </c>
      <c r="D16" s="333">
        <v>0.875</v>
      </c>
      <c r="E16" s="189" t="s">
        <v>557</v>
      </c>
      <c r="F16" s="189" t="s">
        <v>29</v>
      </c>
      <c r="G16" s="189" t="s">
        <v>96</v>
      </c>
      <c r="H16" s="366">
        <v>2</v>
      </c>
      <c r="I16" s="366" t="s">
        <v>29</v>
      </c>
      <c r="J16" s="366">
        <v>1</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1</v>
      </c>
      <c r="I17" s="366" t="s">
        <v>29</v>
      </c>
      <c r="J17" s="366">
        <v>2</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1</v>
      </c>
      <c r="I18" s="366" t="s">
        <v>29</v>
      </c>
      <c r="J18" s="366">
        <v>3</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2</v>
      </c>
      <c r="I19" s="366" t="s">
        <v>29</v>
      </c>
      <c r="J19" s="366">
        <v>1</v>
      </c>
      <c r="K19" s="212" t="str">
        <f t="shared" si="5"/>
        <v>1</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2</v>
      </c>
      <c r="I22" s="366" t="s">
        <v>29</v>
      </c>
      <c r="J22" s="366">
        <v>1</v>
      </c>
      <c r="K22" s="212" t="str">
        <f t="shared" si="5"/>
        <v>1</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2</v>
      </c>
      <c r="I23" s="366" t="s">
        <v>29</v>
      </c>
      <c r="J23" s="366">
        <v>1</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2</v>
      </c>
      <c r="I24" s="366" t="s">
        <v>29</v>
      </c>
      <c r="J24" s="366">
        <v>1</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1</v>
      </c>
      <c r="I25" s="366" t="s">
        <v>29</v>
      </c>
      <c r="J25" s="366">
        <v>2</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1</v>
      </c>
      <c r="I26" s="366" t="s">
        <v>29</v>
      </c>
      <c r="J26" s="366">
        <v>2</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1</v>
      </c>
      <c r="I27" s="366" t="s">
        <v>29</v>
      </c>
      <c r="J27" s="366">
        <v>2</v>
      </c>
      <c r="K27" s="212">
        <f t="shared" si="5"/>
        <v>2</v>
      </c>
      <c r="L27" s="210" t="str">
        <f>VLOOKUP($B27,Invulblad!$A$11:$S$103,13,0)</f>
        <v>1</v>
      </c>
      <c r="M27" s="211">
        <f>IF(L27&lt;&gt;"",VLOOKUP($B27,Invulblad!$A$11:$S$103,7,0),"")</f>
        <v>2</v>
      </c>
      <c r="N27" s="209" t="s">
        <v>29</v>
      </c>
      <c r="O27" s="211">
        <f>IF(L27&lt;&gt;"",VLOOKUP($B27,Invulblad!$A$11:$S$103,9,0),"")</f>
        <v>0</v>
      </c>
      <c r="P27" s="212">
        <f t="shared" si="7"/>
        <v>0</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2</v>
      </c>
      <c r="I30" s="366" t="s">
        <v>29</v>
      </c>
      <c r="J30" s="366">
        <v>1</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1</v>
      </c>
      <c r="I31" s="366" t="s">
        <v>29</v>
      </c>
      <c r="J31" s="366">
        <v>2</v>
      </c>
      <c r="K31" s="212">
        <f t="shared" si="5"/>
        <v>2</v>
      </c>
      <c r="L31" s="210" t="str">
        <f>VLOOKUP($B31,Invulblad!$A$11:$S$103,13,0)</f>
        <v>1</v>
      </c>
      <c r="M31" s="211">
        <f>IF(L31&lt;&gt;"",VLOOKUP($B31,Invulblad!$A$11:$S$103,7,0),"")</f>
        <v>2</v>
      </c>
      <c r="N31" s="209" t="s">
        <v>29</v>
      </c>
      <c r="O31" s="211">
        <f>IF(L31&lt;&gt;"",VLOOKUP($B31,Invulblad!$A$11:$S$103,9,0),"")</f>
        <v>1</v>
      </c>
      <c r="P31" s="212">
        <f t="shared" si="8"/>
        <v>0</v>
      </c>
    </row>
    <row r="32" spans="1:16">
      <c r="A32" s="188">
        <v>19</v>
      </c>
      <c r="B32" s="195">
        <v>21</v>
      </c>
      <c r="C32" s="332">
        <v>41809</v>
      </c>
      <c r="D32" s="333">
        <v>0.75</v>
      </c>
      <c r="E32" s="189" t="s">
        <v>428</v>
      </c>
      <c r="F32" s="189" t="s">
        <v>29</v>
      </c>
      <c r="G32" s="189" t="s">
        <v>125</v>
      </c>
      <c r="H32" s="366">
        <v>1</v>
      </c>
      <c r="I32" s="366" t="s">
        <v>29</v>
      </c>
      <c r="J32" s="366">
        <v>2</v>
      </c>
      <c r="K32" s="212">
        <f t="shared" si="5"/>
        <v>2</v>
      </c>
      <c r="L32" s="210" t="str">
        <f>VLOOKUP($B32,Invulblad!$A$11:$S$103,13,0)</f>
        <v>1</v>
      </c>
      <c r="M32" s="211">
        <f>IF(L32&lt;&gt;"",VLOOKUP($B32,Invulblad!$A$11:$S$103,7,0),"")</f>
        <v>2</v>
      </c>
      <c r="N32" s="209" t="s">
        <v>29</v>
      </c>
      <c r="O32" s="211">
        <f>IF(L32&lt;&gt;"",VLOOKUP($B32,Invulblad!$A$11:$S$103,9,0),"")</f>
        <v>1</v>
      </c>
      <c r="P32" s="212">
        <f t="shared" si="8"/>
        <v>0</v>
      </c>
    </row>
    <row r="33" spans="1:16">
      <c r="A33" s="188">
        <v>20</v>
      </c>
      <c r="B33" s="195">
        <v>22</v>
      </c>
      <c r="C33" s="332">
        <v>41810</v>
      </c>
      <c r="D33" s="333">
        <v>0</v>
      </c>
      <c r="E33" s="189" t="s">
        <v>118</v>
      </c>
      <c r="F33" s="189" t="s">
        <v>29</v>
      </c>
      <c r="G33" s="189" t="s">
        <v>105</v>
      </c>
      <c r="H33" s="366">
        <v>2</v>
      </c>
      <c r="I33" s="366" t="s">
        <v>29</v>
      </c>
      <c r="J33" s="366">
        <v>1</v>
      </c>
      <c r="K33" s="212" t="str">
        <f t="shared" si="5"/>
        <v>1</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2</v>
      </c>
      <c r="I34" s="366" t="s">
        <v>29</v>
      </c>
      <c r="J34" s="366">
        <v>1</v>
      </c>
      <c r="K34" s="212" t="str">
        <f t="shared" si="5"/>
        <v>1</v>
      </c>
      <c r="L34" s="210">
        <f>VLOOKUP($B34,Invulblad!$A$11:$S$103,13,0)</f>
        <v>2</v>
      </c>
      <c r="M34" s="211">
        <f>IF(L34&lt;&gt;"",VLOOKUP($B34,Invulblad!$A$11:$S$103,7,0),"")</f>
        <v>1</v>
      </c>
      <c r="N34" s="209" t="s">
        <v>29</v>
      </c>
      <c r="O34" s="211">
        <f>IF(L34&lt;&gt;"",VLOOKUP($B34,Invulblad!$A$11:$S$103,9,0),"")</f>
        <v>4</v>
      </c>
      <c r="P34" s="212">
        <f t="shared" si="8"/>
        <v>0</v>
      </c>
    </row>
    <row r="35" spans="1:16">
      <c r="A35" s="188">
        <v>22</v>
      </c>
      <c r="B35" s="195">
        <v>38</v>
      </c>
      <c r="C35" s="332">
        <v>41814</v>
      </c>
      <c r="D35" s="333">
        <v>0.91666666666666663</v>
      </c>
      <c r="E35" s="189" t="s">
        <v>233</v>
      </c>
      <c r="F35" s="189" t="s">
        <v>29</v>
      </c>
      <c r="G35" s="189" t="s">
        <v>125</v>
      </c>
      <c r="H35" s="366">
        <v>1</v>
      </c>
      <c r="I35" s="366" t="s">
        <v>29</v>
      </c>
      <c r="J35" s="366">
        <v>2</v>
      </c>
      <c r="K35" s="212">
        <f t="shared" si="5"/>
        <v>2</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2</v>
      </c>
      <c r="I38" s="366" t="s">
        <v>29</v>
      </c>
      <c r="J38" s="366">
        <v>1</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2</v>
      </c>
      <c r="K39" s="212">
        <f t="shared" si="5"/>
        <v>2</v>
      </c>
      <c r="L39" s="210">
        <f>VLOOKUP($B39,Invulblad!$A$11:$S$103,13,0)</f>
        <v>2</v>
      </c>
      <c r="M39" s="211">
        <f>IF(L39&lt;&gt;"",VLOOKUP($B39,Invulblad!$A$11:$S$103,7,0),"")</f>
        <v>1</v>
      </c>
      <c r="N39" s="209" t="s">
        <v>29</v>
      </c>
      <c r="O39" s="211">
        <f>IF(L39&lt;&gt;"",VLOOKUP($B39,Invulblad!$A$11:$S$103,9,0),"")</f>
        <v>2</v>
      </c>
      <c r="P39" s="212">
        <f t="shared" si="9"/>
        <v>10</v>
      </c>
    </row>
    <row r="40" spans="1:16">
      <c r="A40" s="188">
        <v>27</v>
      </c>
      <c r="B40" s="195">
        <v>23</v>
      </c>
      <c r="C40" s="332">
        <v>41809</v>
      </c>
      <c r="D40" s="333">
        <v>0.875</v>
      </c>
      <c r="E40" s="189" t="s">
        <v>231</v>
      </c>
      <c r="F40" s="189" t="s">
        <v>29</v>
      </c>
      <c r="G40" s="189" t="s">
        <v>112</v>
      </c>
      <c r="H40" s="366">
        <v>2</v>
      </c>
      <c r="I40" s="366" t="s">
        <v>29</v>
      </c>
      <c r="J40" s="366">
        <v>1</v>
      </c>
      <c r="K40" s="212" t="str">
        <f t="shared" si="5"/>
        <v>1</v>
      </c>
      <c r="L40" s="210" t="str">
        <f>VLOOKUP($B40,Invulblad!$A$11:$S$103,13,0)</f>
        <v>1</v>
      </c>
      <c r="M40" s="211">
        <f>IF(L40&lt;&gt;"",VLOOKUP($B40,Invulblad!$A$11:$S$103,7,0),"")</f>
        <v>2</v>
      </c>
      <c r="N40" s="209" t="s">
        <v>29</v>
      </c>
      <c r="O40" s="211">
        <f>IF(L40&lt;&gt;"",VLOOKUP($B40,Invulblad!$A$11:$S$103,9,0),"")</f>
        <v>1</v>
      </c>
      <c r="P40" s="212">
        <f t="shared" si="9"/>
        <v>10</v>
      </c>
    </row>
    <row r="41" spans="1:16">
      <c r="A41" s="188">
        <v>28</v>
      </c>
      <c r="B41" s="195">
        <v>24</v>
      </c>
      <c r="C41" s="332">
        <v>41810</v>
      </c>
      <c r="D41" s="333">
        <v>0.75</v>
      </c>
      <c r="E41" s="189" t="s">
        <v>564</v>
      </c>
      <c r="F41" s="189" t="s">
        <v>29</v>
      </c>
      <c r="G41" s="189" t="s">
        <v>430</v>
      </c>
      <c r="H41" s="366">
        <v>2</v>
      </c>
      <c r="I41" s="366" t="s">
        <v>29</v>
      </c>
      <c r="J41" s="366">
        <v>1</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2</v>
      </c>
      <c r="I42" s="366" t="s">
        <v>29</v>
      </c>
      <c r="J42" s="366">
        <v>1</v>
      </c>
      <c r="K42" s="212" t="str">
        <f t="shared" si="5"/>
        <v>1</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1</v>
      </c>
      <c r="I43" s="366" t="s">
        <v>29</v>
      </c>
      <c r="J43" s="366">
        <v>2</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1</v>
      </c>
      <c r="I46" s="366" t="s">
        <v>29</v>
      </c>
      <c r="J46" s="366">
        <v>2</v>
      </c>
      <c r="K46" s="212">
        <f t="shared" si="5"/>
        <v>2</v>
      </c>
      <c r="L46" s="210" t="str">
        <f>VLOOKUP($B46,Invulblad!$A$11:$S$103,13,0)</f>
        <v>1</v>
      </c>
      <c r="M46" s="211">
        <f>IF(L46&lt;&gt;"",VLOOKUP($B46,Invulblad!$A$11:$S$103,7,0),"")</f>
        <v>2</v>
      </c>
      <c r="N46" s="209" t="s">
        <v>29</v>
      </c>
      <c r="O46" s="211">
        <f>IF(L46&lt;&gt;"",VLOOKUP($B46,Invulblad!$A$11:$S$103,9,0),"")</f>
        <v>1</v>
      </c>
      <c r="P46" s="212">
        <f t="shared" ref="P46:P51" si="10">IF(L46&lt;&gt;"",IF(AND(M46=H46,O46=J46),10,IF(K46=L46,5,0)),"")</f>
        <v>0</v>
      </c>
    </row>
    <row r="47" spans="1:16">
      <c r="A47" s="188">
        <v>34</v>
      </c>
      <c r="B47" s="195">
        <v>10</v>
      </c>
      <c r="C47" s="332">
        <v>41805</v>
      </c>
      <c r="D47" s="333">
        <v>0.875</v>
      </c>
      <c r="E47" s="189" t="s">
        <v>100</v>
      </c>
      <c r="F47" s="189" t="s">
        <v>29</v>
      </c>
      <c r="G47" s="189" t="s">
        <v>132</v>
      </c>
      <c r="H47" s="366">
        <v>2</v>
      </c>
      <c r="I47" s="366" t="s">
        <v>29</v>
      </c>
      <c r="J47" s="366">
        <v>1</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1</v>
      </c>
      <c r="I48" s="366" t="s">
        <v>29</v>
      </c>
      <c r="J48" s="366">
        <v>2</v>
      </c>
      <c r="K48" s="212">
        <f t="shared" si="5"/>
        <v>2</v>
      </c>
      <c r="L48" s="210">
        <f>VLOOKUP($B48,Invulblad!$A$11:$S$103,13,0)</f>
        <v>2</v>
      </c>
      <c r="M48" s="211">
        <f>IF(L48&lt;&gt;"",VLOOKUP($B48,Invulblad!$A$11:$S$103,7,0),"")</f>
        <v>2</v>
      </c>
      <c r="N48" s="209" t="s">
        <v>29</v>
      </c>
      <c r="O48" s="211">
        <f>IF(L48&lt;&gt;"",VLOOKUP($B48,Invulblad!$A$11:$S$103,9,0),"")</f>
        <v>5</v>
      </c>
      <c r="P48" s="212">
        <f t="shared" si="10"/>
        <v>5</v>
      </c>
    </row>
    <row r="49" spans="1:16">
      <c r="A49" s="188">
        <v>36</v>
      </c>
      <c r="B49" s="195">
        <v>26</v>
      </c>
      <c r="C49" s="332">
        <v>41811</v>
      </c>
      <c r="D49" s="333">
        <v>0</v>
      </c>
      <c r="E49" s="189" t="s">
        <v>127</v>
      </c>
      <c r="F49" s="189" t="s">
        <v>29</v>
      </c>
      <c r="G49" s="189" t="s">
        <v>434</v>
      </c>
      <c r="H49" s="366">
        <v>1</v>
      </c>
      <c r="I49" s="366" t="s">
        <v>29</v>
      </c>
      <c r="J49" s="366">
        <v>2</v>
      </c>
      <c r="K49" s="212">
        <f t="shared" si="5"/>
        <v>2</v>
      </c>
      <c r="L49" s="210">
        <f>VLOOKUP($B49,Invulblad!$A$11:$S$103,13,0)</f>
        <v>2</v>
      </c>
      <c r="M49" s="211">
        <f>IF(L49&lt;&gt;"",VLOOKUP($B49,Invulblad!$A$11:$S$103,7,0),"")</f>
        <v>1</v>
      </c>
      <c r="N49" s="209" t="s">
        <v>29</v>
      </c>
      <c r="O49" s="211">
        <f>IF(L49&lt;&gt;"",VLOOKUP($B49,Invulblad!$A$11:$S$103,9,0),"")</f>
        <v>2</v>
      </c>
      <c r="P49" s="212">
        <f t="shared" si="10"/>
        <v>10</v>
      </c>
    </row>
    <row r="50" spans="1:16">
      <c r="A50" s="188">
        <v>37</v>
      </c>
      <c r="B50" s="195">
        <v>41</v>
      </c>
      <c r="C50" s="332">
        <v>41815</v>
      </c>
      <c r="D50" s="333">
        <v>0.91666666666666663</v>
      </c>
      <c r="E50" s="189" t="s">
        <v>127</v>
      </c>
      <c r="F50" s="189" t="s">
        <v>29</v>
      </c>
      <c r="G50" s="189" t="s">
        <v>130</v>
      </c>
      <c r="H50" s="366">
        <v>1</v>
      </c>
      <c r="I50" s="366" t="s">
        <v>29</v>
      </c>
      <c r="J50" s="366">
        <v>2</v>
      </c>
      <c r="K50" s="212">
        <f t="shared" ref="K50:K85" si="11">IF(AND(H50="",J50=""),"",IF(OR(H50="",J50=""),"FOUT",IF(H50&gt;J50,"1",IF(H50=J50,3,2))))</f>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1</v>
      </c>
      <c r="I51" s="366" t="s">
        <v>29</v>
      </c>
      <c r="J51" s="366">
        <v>2</v>
      </c>
      <c r="K51" s="212">
        <f t="shared" si="11"/>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367"/>
      <c r="I52" s="367"/>
      <c r="J52" s="367"/>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2</v>
      </c>
      <c r="I54" s="366" t="s">
        <v>29</v>
      </c>
      <c r="J54" s="366">
        <v>1</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10</v>
      </c>
    </row>
    <row r="55" spans="1:16">
      <c r="A55" s="188">
        <v>42</v>
      </c>
      <c r="B55" s="195">
        <v>12</v>
      </c>
      <c r="C55" s="332">
        <v>41806</v>
      </c>
      <c r="D55" s="333">
        <v>0.875</v>
      </c>
      <c r="E55" s="189" t="s">
        <v>438</v>
      </c>
      <c r="F55" s="189" t="s">
        <v>29</v>
      </c>
      <c r="G55" s="189" t="s">
        <v>103</v>
      </c>
      <c r="H55" s="366">
        <v>1</v>
      </c>
      <c r="I55" s="366" t="s">
        <v>29</v>
      </c>
      <c r="J55" s="366">
        <v>2</v>
      </c>
      <c r="K55" s="212">
        <f t="shared" si="11"/>
        <v>2</v>
      </c>
      <c r="L55" s="210">
        <f>VLOOKUP($B55,Invulblad!$A$11:$S$103,13,0)</f>
        <v>3</v>
      </c>
      <c r="M55" s="211">
        <f>IF(L55&lt;&gt;"",VLOOKUP($B55,Invulblad!$A$11:$S$103,7,0),"")</f>
        <v>0</v>
      </c>
      <c r="N55" s="209" t="s">
        <v>29</v>
      </c>
      <c r="O55" s="211">
        <f>IF(L55&lt;&gt;"",VLOOKUP($B55,Invulblad!$A$11:$S$103,9,0),"")</f>
        <v>0</v>
      </c>
      <c r="P55" s="212">
        <f t="shared" si="12"/>
        <v>0</v>
      </c>
    </row>
    <row r="56" spans="1:16">
      <c r="A56" s="188">
        <v>43</v>
      </c>
      <c r="B56" s="195">
        <v>27</v>
      </c>
      <c r="C56" s="332">
        <v>41811</v>
      </c>
      <c r="D56" s="333">
        <v>0.75</v>
      </c>
      <c r="E56" s="189" t="s">
        <v>565</v>
      </c>
      <c r="F56" s="189" t="s">
        <v>29</v>
      </c>
      <c r="G56" s="189" t="s">
        <v>439</v>
      </c>
      <c r="H56" s="366">
        <v>2</v>
      </c>
      <c r="I56" s="366" t="s">
        <v>29</v>
      </c>
      <c r="J56" s="366">
        <v>1</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1</v>
      </c>
      <c r="I57" s="366" t="s">
        <v>29</v>
      </c>
      <c r="J57" s="366">
        <v>2</v>
      </c>
      <c r="K57" s="212">
        <f t="shared" si="11"/>
        <v>2</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1</v>
      </c>
      <c r="I58" s="366" t="s">
        <v>29</v>
      </c>
      <c r="J58" s="366">
        <v>2</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2</v>
      </c>
      <c r="I59" s="366" t="s">
        <v>29</v>
      </c>
      <c r="J59" s="366">
        <v>1</v>
      </c>
      <c r="K59" s="212" t="str">
        <f t="shared" si="11"/>
        <v>1</v>
      </c>
      <c r="L59" s="210" t="str">
        <f>VLOOKUP($B59,Invulblad!$A$11:$S$103,13,0)</f>
        <v>1</v>
      </c>
      <c r="M59" s="211">
        <f>IF(L59&lt;&gt;"",VLOOKUP($B59,Invulblad!$A$11:$S$103,7,0),"")</f>
        <v>3</v>
      </c>
      <c r="N59" s="209" t="s">
        <v>29</v>
      </c>
      <c r="O59" s="211">
        <f>IF(L59&lt;&gt;"",VLOOKUP($B59,Invulblad!$A$11:$S$103,9,0),"")</f>
        <v>1</v>
      </c>
      <c r="P59" s="212">
        <f t="shared" si="12"/>
        <v>5</v>
      </c>
    </row>
    <row r="60" spans="1:16">
      <c r="A60" s="188">
        <v>47</v>
      </c>
      <c r="B60" s="201" t="s">
        <v>36</v>
      </c>
      <c r="H60" s="367"/>
      <c r="I60" s="367"/>
      <c r="J60" s="367"/>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2</v>
      </c>
      <c r="I62" s="366" t="s">
        <v>29</v>
      </c>
      <c r="J62" s="366">
        <v>1</v>
      </c>
      <c r="K62" s="212" t="str">
        <f t="shared" si="11"/>
        <v>1</v>
      </c>
      <c r="L62" s="210" t="str">
        <f>VLOOKUP($B62,Invulblad!$A$11:$S$103,13,0)</f>
        <v>1</v>
      </c>
      <c r="M62" s="211">
        <f>IF(L62&lt;&gt;"",VLOOKUP($B62,Invulblad!$A$11:$S$103,7,0),"")</f>
        <v>4</v>
      </c>
      <c r="N62" s="209" t="s">
        <v>29</v>
      </c>
      <c r="O62" s="211">
        <f>IF(L62&lt;&gt;"",VLOOKUP($B62,Invulblad!$A$11:$S$103,9,0),"")</f>
        <v>0</v>
      </c>
      <c r="P62" s="212">
        <f t="shared" ref="P62:P67" si="13">IF(L62&lt;&gt;"",IF(AND(M62=H62,O62=J62),10,IF(K62=L62,5,0)),"")</f>
        <v>5</v>
      </c>
    </row>
    <row r="63" spans="1:16">
      <c r="A63" s="188">
        <v>50</v>
      </c>
      <c r="B63" s="195">
        <v>14</v>
      </c>
      <c r="C63" s="332">
        <v>41807</v>
      </c>
      <c r="D63" s="333">
        <v>0</v>
      </c>
      <c r="E63" s="189" t="s">
        <v>115</v>
      </c>
      <c r="F63" s="189" t="s">
        <v>29</v>
      </c>
      <c r="G63" s="189" t="s">
        <v>577</v>
      </c>
      <c r="H63" s="366">
        <v>2</v>
      </c>
      <c r="I63" s="366" t="s">
        <v>29</v>
      </c>
      <c r="J63" s="366">
        <v>1</v>
      </c>
      <c r="K63" s="212" t="str">
        <f t="shared" si="11"/>
        <v>1</v>
      </c>
      <c r="L63" s="210">
        <f>VLOOKUP($B63,Invulblad!$A$11:$S$103,13,0)</f>
        <v>2</v>
      </c>
      <c r="M63" s="211">
        <f>IF(L63&lt;&gt;"",VLOOKUP($B63,Invulblad!$A$11:$S$103,7,0),"")</f>
        <v>1</v>
      </c>
      <c r="N63" s="209" t="s">
        <v>29</v>
      </c>
      <c r="O63" s="211">
        <f>IF(L63&lt;&gt;"",VLOOKUP($B63,Invulblad!$A$11:$S$103,9,0),"")</f>
        <v>2</v>
      </c>
      <c r="P63" s="212">
        <f t="shared" si="13"/>
        <v>0</v>
      </c>
    </row>
    <row r="64" spans="1:16">
      <c r="A64" s="188">
        <v>51</v>
      </c>
      <c r="B64" s="195">
        <v>29</v>
      </c>
      <c r="C64" s="332">
        <v>41811</v>
      </c>
      <c r="D64" s="333">
        <v>0.875</v>
      </c>
      <c r="E64" s="189" t="s">
        <v>113</v>
      </c>
      <c r="F64" s="189" t="s">
        <v>29</v>
      </c>
      <c r="G64" s="189" t="s">
        <v>114</v>
      </c>
      <c r="H64" s="366">
        <v>2</v>
      </c>
      <c r="I64" s="366" t="s">
        <v>29</v>
      </c>
      <c r="J64" s="366">
        <v>1</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1</v>
      </c>
      <c r="I65" s="366" t="s">
        <v>29</v>
      </c>
      <c r="J65" s="366">
        <v>2</v>
      </c>
      <c r="K65" s="212">
        <f t="shared" si="11"/>
        <v>2</v>
      </c>
      <c r="L65" s="210">
        <f>VLOOKUP($B65,Invulblad!$A$11:$S$103,13,0)</f>
        <v>3</v>
      </c>
      <c r="M65" s="211">
        <f>IF(L65&lt;&gt;"",VLOOKUP($B65,Invulblad!$A$11:$S$103,7,0),"")</f>
        <v>2</v>
      </c>
      <c r="N65" s="209" t="s">
        <v>29</v>
      </c>
      <c r="O65" s="211">
        <f>IF(L65&lt;&gt;"",VLOOKUP($B65,Invulblad!$A$11:$S$103,9,0),"")</f>
        <v>2</v>
      </c>
      <c r="P65" s="212">
        <f t="shared" si="13"/>
        <v>0</v>
      </c>
    </row>
    <row r="66" spans="1:16">
      <c r="A66" s="188">
        <v>53</v>
      </c>
      <c r="B66" s="195">
        <v>45</v>
      </c>
      <c r="C66" s="332">
        <v>41816</v>
      </c>
      <c r="D66" s="333">
        <v>0.75</v>
      </c>
      <c r="E66" s="189" t="s">
        <v>578</v>
      </c>
      <c r="F66" s="189" t="s">
        <v>29</v>
      </c>
      <c r="G66" s="189" t="s">
        <v>116</v>
      </c>
      <c r="H66" s="366">
        <v>1</v>
      </c>
      <c r="I66" s="366" t="s">
        <v>29</v>
      </c>
      <c r="J66" s="366">
        <v>2</v>
      </c>
      <c r="K66" s="212">
        <f t="shared" si="11"/>
        <v>2</v>
      </c>
      <c r="L66" s="210">
        <f>VLOOKUP($B66,Invulblad!$A$11:$S$103,13,0)</f>
        <v>2</v>
      </c>
      <c r="M66" s="211">
        <f>IF(L66&lt;&gt;"",VLOOKUP($B66,Invulblad!$A$11:$S$103,7,0),"")</f>
        <v>0</v>
      </c>
      <c r="N66" s="209" t="s">
        <v>29</v>
      </c>
      <c r="O66" s="211">
        <f>IF(L66&lt;&gt;"",VLOOKUP($B66,Invulblad!$A$11:$S$103,9,0),"")</f>
        <v>1</v>
      </c>
      <c r="P66" s="212">
        <f t="shared" si="13"/>
        <v>5</v>
      </c>
    </row>
    <row r="67" spans="1:16">
      <c r="A67" s="188">
        <v>54</v>
      </c>
      <c r="B67" s="195">
        <v>46</v>
      </c>
      <c r="C67" s="332">
        <v>41816</v>
      </c>
      <c r="D67" s="333">
        <v>0.75</v>
      </c>
      <c r="E67" s="189" t="s">
        <v>126</v>
      </c>
      <c r="F67" s="189" t="s">
        <v>29</v>
      </c>
      <c r="G67" s="189" t="s">
        <v>114</v>
      </c>
      <c r="H67" s="366">
        <v>1</v>
      </c>
      <c r="I67" s="366" t="s">
        <v>29</v>
      </c>
      <c r="J67" s="366">
        <v>2</v>
      </c>
      <c r="K67" s="212">
        <f t="shared" si="11"/>
        <v>2</v>
      </c>
      <c r="L67" s="210" t="str">
        <f>VLOOKUP($B67,Invulblad!$A$11:$S$103,13,0)</f>
        <v>1</v>
      </c>
      <c r="M67" s="211">
        <f>IF(L67&lt;&gt;"",VLOOKUP($B67,Invulblad!$A$11:$S$103,7,0),"")</f>
        <v>2</v>
      </c>
      <c r="N67" s="209" t="s">
        <v>29</v>
      </c>
      <c r="O67" s="211">
        <f>IF(L67&lt;&gt;"",VLOOKUP($B67,Invulblad!$A$11:$S$103,9,0),"")</f>
        <v>1</v>
      </c>
      <c r="P67" s="212">
        <f t="shared" si="13"/>
        <v>0</v>
      </c>
    </row>
    <row r="68" spans="1:16">
      <c r="A68" s="188">
        <v>55</v>
      </c>
      <c r="B68" s="201" t="s">
        <v>37</v>
      </c>
      <c r="H68" s="367"/>
      <c r="I68" s="367"/>
      <c r="J68" s="367"/>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2</v>
      </c>
      <c r="I70" s="366" t="s">
        <v>29</v>
      </c>
      <c r="J70" s="366">
        <v>1</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10</v>
      </c>
    </row>
    <row r="71" spans="1:16">
      <c r="A71" s="188">
        <v>58</v>
      </c>
      <c r="B71" s="195">
        <v>16</v>
      </c>
      <c r="C71" s="332">
        <v>41808</v>
      </c>
      <c r="D71" s="333">
        <v>0</v>
      </c>
      <c r="E71" s="189" t="s">
        <v>445</v>
      </c>
      <c r="F71" s="189" t="s">
        <v>29</v>
      </c>
      <c r="G71" s="189" t="s">
        <v>107</v>
      </c>
      <c r="H71" s="366">
        <v>2</v>
      </c>
      <c r="I71" s="366" t="s">
        <v>29</v>
      </c>
      <c r="J71" s="366">
        <v>1</v>
      </c>
      <c r="K71" s="212" t="str">
        <f t="shared" si="11"/>
        <v>1</v>
      </c>
      <c r="L71" s="210">
        <f>VLOOKUP($B71,Invulblad!$A$11:$S$103,13,0)</f>
        <v>3</v>
      </c>
      <c r="M71" s="211">
        <f>IF(L71&lt;&gt;"",VLOOKUP($B71,Invulblad!$A$11:$S$103,7,0),"")</f>
        <v>1</v>
      </c>
      <c r="N71" s="209" t="s">
        <v>29</v>
      </c>
      <c r="O71" s="211">
        <f>IF(L71&lt;&gt;"",VLOOKUP($B71,Invulblad!$A$11:$S$103,9,0),"")</f>
        <v>1</v>
      </c>
      <c r="P71" s="212">
        <f t="shared" si="14"/>
        <v>0</v>
      </c>
    </row>
    <row r="72" spans="1:16">
      <c r="A72" s="188">
        <v>59</v>
      </c>
      <c r="B72" s="195">
        <v>31</v>
      </c>
      <c r="C72" s="332">
        <v>41812</v>
      </c>
      <c r="D72" s="333">
        <v>0.75</v>
      </c>
      <c r="E72" s="189" t="s">
        <v>569</v>
      </c>
      <c r="F72" s="189" t="s">
        <v>29</v>
      </c>
      <c r="G72" s="189" t="s">
        <v>446</v>
      </c>
      <c r="H72" s="366">
        <v>2</v>
      </c>
      <c r="I72" s="366" t="s">
        <v>29</v>
      </c>
      <c r="J72" s="366">
        <v>1</v>
      </c>
      <c r="K72" s="212" t="str">
        <f t="shared" si="11"/>
        <v>1</v>
      </c>
      <c r="L72" s="210" t="str">
        <f>VLOOKUP($B72,Invulblad!$A$11:$S$103,13,0)</f>
        <v>1</v>
      </c>
      <c r="M72" s="211">
        <f>IF(L72&lt;&gt;"",VLOOKUP($B72,Invulblad!$A$11:$S$103,7,0),"")</f>
        <v>1</v>
      </c>
      <c r="N72" s="209" t="s">
        <v>29</v>
      </c>
      <c r="O72" s="211">
        <f>IF(L72&lt;&gt;"",VLOOKUP($B72,Invulblad!$A$11:$S$103,9,0),"")</f>
        <v>0</v>
      </c>
      <c r="P72" s="212">
        <f t="shared" si="14"/>
        <v>5</v>
      </c>
    </row>
    <row r="73" spans="1:16">
      <c r="A73" s="188">
        <v>60</v>
      </c>
      <c r="B73" s="195">
        <v>32</v>
      </c>
      <c r="C73" s="332">
        <v>41812</v>
      </c>
      <c r="D73" s="333">
        <v>0.875</v>
      </c>
      <c r="E73" s="189" t="s">
        <v>232</v>
      </c>
      <c r="F73" s="189" t="s">
        <v>29</v>
      </c>
      <c r="G73" s="189" t="s">
        <v>111</v>
      </c>
      <c r="H73" s="366">
        <v>1</v>
      </c>
      <c r="I73" s="366" t="s">
        <v>29</v>
      </c>
      <c r="J73" s="366">
        <v>2</v>
      </c>
      <c r="K73" s="212">
        <f t="shared" si="11"/>
        <v>2</v>
      </c>
      <c r="L73" s="210">
        <f>VLOOKUP($B73,Invulblad!$A$11:$S$103,13,0)</f>
        <v>2</v>
      </c>
      <c r="M73" s="211">
        <f>IF(L73&lt;&gt;"",VLOOKUP($B73,Invulblad!$A$11:$S$103,7,0),"")</f>
        <v>2</v>
      </c>
      <c r="N73" s="209" t="s">
        <v>29</v>
      </c>
      <c r="O73" s="211">
        <f>IF(L73&lt;&gt;"",VLOOKUP($B73,Invulblad!$A$11:$S$103,9,0),"")</f>
        <v>4</v>
      </c>
      <c r="P73" s="212">
        <f t="shared" si="14"/>
        <v>5</v>
      </c>
    </row>
    <row r="74" spans="1:16">
      <c r="A74" s="188">
        <v>61</v>
      </c>
      <c r="B74" s="195">
        <v>47</v>
      </c>
      <c r="C74" s="332">
        <v>41816</v>
      </c>
      <c r="D74" s="333">
        <v>0.91666666666666663</v>
      </c>
      <c r="E74" s="189" t="s">
        <v>232</v>
      </c>
      <c r="F74" s="189" t="s">
        <v>29</v>
      </c>
      <c r="G74" s="189" t="s">
        <v>570</v>
      </c>
      <c r="H74" s="366">
        <v>1</v>
      </c>
      <c r="I74" s="366" t="s">
        <v>29</v>
      </c>
      <c r="J74" s="366">
        <v>2</v>
      </c>
      <c r="K74" s="212">
        <f t="shared" si="11"/>
        <v>2</v>
      </c>
      <c r="L74" s="210">
        <f>VLOOKUP($B74,Invulblad!$A$11:$S$103,13,0)</f>
        <v>2</v>
      </c>
      <c r="M74" s="211">
        <f>IF(L74&lt;&gt;"",VLOOKUP($B74,Invulblad!$A$11:$S$103,7,0),"")</f>
        <v>0</v>
      </c>
      <c r="N74" s="209" t="s">
        <v>29</v>
      </c>
      <c r="O74" s="211">
        <f>IF(L74&lt;&gt;"",VLOOKUP($B74,Invulblad!$A$11:$S$103,9,0),"")</f>
        <v>1</v>
      </c>
      <c r="P74" s="212">
        <f t="shared" si="14"/>
        <v>5</v>
      </c>
    </row>
    <row r="75" spans="1:16">
      <c r="A75" s="188">
        <v>62</v>
      </c>
      <c r="B75" s="195">
        <v>48</v>
      </c>
      <c r="C75" s="332">
        <v>41816</v>
      </c>
      <c r="D75" s="333">
        <v>0.91666666666666663</v>
      </c>
      <c r="E75" s="189" t="s">
        <v>236</v>
      </c>
      <c r="F75" s="189" t="s">
        <v>29</v>
      </c>
      <c r="G75" s="189" t="s">
        <v>446</v>
      </c>
      <c r="H75" s="366">
        <v>1</v>
      </c>
      <c r="I75" s="366" t="s">
        <v>29</v>
      </c>
      <c r="J75" s="366">
        <v>2</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367"/>
      <c r="I76" s="367"/>
      <c r="J76" s="367"/>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207</v>
      </c>
      <c r="H78" s="366">
        <v>2</v>
      </c>
      <c r="I78" s="366" t="s">
        <v>29</v>
      </c>
      <c r="J78" s="366">
        <v>1</v>
      </c>
      <c r="K78" s="212" t="str">
        <f t="shared" si="11"/>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187</v>
      </c>
      <c r="F79" s="189" t="s">
        <v>29</v>
      </c>
      <c r="G79" s="189" t="s">
        <v>97</v>
      </c>
      <c r="H79" s="366">
        <v>2</v>
      </c>
      <c r="I79" s="366" t="s">
        <v>29</v>
      </c>
      <c r="J79" s="366">
        <v>1</v>
      </c>
      <c r="K79" s="212" t="str">
        <f t="shared" si="11"/>
        <v>1</v>
      </c>
      <c r="L79" s="210" t="str">
        <f>VLOOKUP($B79,Invulblad!$A$11:$S$103,13,0)</f>
        <v>1</v>
      </c>
      <c r="M79" s="211">
        <f>IF(L79&lt;&gt;"",VLOOKUP($B79,Invulblad!$A$11:$S$103,7,0),"")</f>
        <v>2</v>
      </c>
      <c r="N79" s="209" t="s">
        <v>29</v>
      </c>
      <c r="O79" s="211">
        <f>IF(L79&lt;&gt;"",VLOOKUP($B79,Invulblad!$A$11:$S$103,9,0),"")</f>
        <v>0</v>
      </c>
      <c r="P79" s="212">
        <f t="shared" si="15"/>
        <v>5</v>
      </c>
    </row>
    <row r="80" spans="1:16">
      <c r="A80" s="188">
        <v>67</v>
      </c>
      <c r="B80" s="195">
        <v>51</v>
      </c>
      <c r="C80" s="332">
        <v>41819</v>
      </c>
      <c r="D80" s="333">
        <v>0.75</v>
      </c>
      <c r="E80" s="189" t="s">
        <v>138</v>
      </c>
      <c r="F80" s="189" t="s">
        <v>29</v>
      </c>
      <c r="G80" s="189" t="s">
        <v>389</v>
      </c>
      <c r="H80" s="366">
        <v>2</v>
      </c>
      <c r="I80" s="366" t="s">
        <v>29</v>
      </c>
      <c r="J80" s="366">
        <v>1</v>
      </c>
      <c r="K80" s="212" t="str">
        <f t="shared" si="11"/>
        <v>1</v>
      </c>
      <c r="L80" s="210" t="str">
        <f>VLOOKUP($B80,Invulblad!$A$11:$S$103,13,0)</f>
        <v>1</v>
      </c>
      <c r="M80" s="211">
        <f>IF(L80&lt;&gt;"",VLOOKUP($B80,Invulblad!$A$11:$S$103,7,0),"")</f>
        <v>2</v>
      </c>
      <c r="N80" s="209" t="s">
        <v>29</v>
      </c>
      <c r="O80" s="211">
        <f>IF(L80&lt;&gt;"",VLOOKUP($B80,Invulblad!$A$11:$S$103,9,0),"")</f>
        <v>1</v>
      </c>
      <c r="P80" s="212">
        <f t="shared" si="15"/>
        <v>10</v>
      </c>
    </row>
    <row r="81" spans="1:16">
      <c r="A81" s="188">
        <v>68</v>
      </c>
      <c r="B81" s="195">
        <v>52</v>
      </c>
      <c r="C81" s="332">
        <v>41819</v>
      </c>
      <c r="D81" s="333">
        <v>0.91666666666666663</v>
      </c>
      <c r="E81" s="189" t="s">
        <v>193</v>
      </c>
      <c r="F81" s="189" t="s">
        <v>29</v>
      </c>
      <c r="G81" s="189" t="s">
        <v>200</v>
      </c>
      <c r="H81" s="366">
        <v>2</v>
      </c>
      <c r="I81" s="366" t="s">
        <v>29</v>
      </c>
      <c r="J81" s="366">
        <v>1</v>
      </c>
      <c r="K81" s="212" t="str">
        <f t="shared" si="11"/>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143</v>
      </c>
      <c r="F82" s="189" t="s">
        <v>29</v>
      </c>
      <c r="G82" s="189" t="s">
        <v>572</v>
      </c>
      <c r="H82" s="366">
        <v>2</v>
      </c>
      <c r="I82" s="366" t="s">
        <v>29</v>
      </c>
      <c r="J82" s="366">
        <v>1</v>
      </c>
      <c r="K82" s="212" t="str">
        <f t="shared" si="11"/>
        <v>1</v>
      </c>
      <c r="L82" s="210" t="str">
        <f>VLOOKUP($B82,Invulblad!$A$11:$S$103,13,0)</f>
        <v>1</v>
      </c>
      <c r="M82" s="211">
        <f>IF(L82&lt;&gt;"",VLOOKUP($B82,Invulblad!$A$11:$S$103,7,0),"")</f>
        <v>2</v>
      </c>
      <c r="N82" s="209" t="s">
        <v>29</v>
      </c>
      <c r="O82" s="211">
        <f>IF(L82&lt;&gt;"",VLOOKUP($B82,Invulblad!$A$11:$S$103,9,0),"")</f>
        <v>0</v>
      </c>
      <c r="P82" s="212">
        <f t="shared" si="15"/>
        <v>5</v>
      </c>
    </row>
    <row r="83" spans="1:16">
      <c r="A83" s="188">
        <v>70</v>
      </c>
      <c r="B83" s="195">
        <v>54</v>
      </c>
      <c r="C83" s="332">
        <v>41820</v>
      </c>
      <c r="D83" s="333">
        <v>0.91666666666666663</v>
      </c>
      <c r="E83" s="189" t="s">
        <v>177</v>
      </c>
      <c r="F83" s="189" t="s">
        <v>29</v>
      </c>
      <c r="G83" s="189" t="s">
        <v>396</v>
      </c>
      <c r="H83" s="366">
        <v>2</v>
      </c>
      <c r="I83" s="366" t="s">
        <v>29</v>
      </c>
      <c r="J83" s="366">
        <v>1</v>
      </c>
      <c r="K83" s="212" t="str">
        <f t="shared" si="11"/>
        <v>1</v>
      </c>
      <c r="L83" s="210" t="str">
        <f>VLOOKUP($B83,Invulblad!$A$11:$S$103,13,0)</f>
        <v>1</v>
      </c>
      <c r="M83" s="211">
        <f>IF(L83&lt;&gt;"",VLOOKUP($B83,Invulblad!$A$11:$S$103,7,0),"")</f>
        <v>2</v>
      </c>
      <c r="N83" s="209" t="s">
        <v>29</v>
      </c>
      <c r="O83" s="211">
        <f>IF(L83&lt;&gt;"",VLOOKUP($B83,Invulblad!$A$11:$S$103,9,0),"")</f>
        <v>1</v>
      </c>
      <c r="P83" s="212">
        <f t="shared" si="15"/>
        <v>10</v>
      </c>
    </row>
    <row r="84" spans="1:16">
      <c r="A84" s="188">
        <v>71</v>
      </c>
      <c r="B84" s="195">
        <v>55</v>
      </c>
      <c r="C84" s="332">
        <v>41821</v>
      </c>
      <c r="D84" s="333">
        <v>0.75</v>
      </c>
      <c r="E84" s="189" t="s">
        <v>102</v>
      </c>
      <c r="F84" s="189" t="s">
        <v>29</v>
      </c>
      <c r="G84" s="189" t="s">
        <v>392</v>
      </c>
      <c r="H84" s="366">
        <v>2</v>
      </c>
      <c r="I84" s="366" t="s">
        <v>29</v>
      </c>
      <c r="J84" s="366">
        <v>1</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395</v>
      </c>
      <c r="F85" s="189" t="s">
        <v>29</v>
      </c>
      <c r="G85" s="189" t="s">
        <v>181</v>
      </c>
      <c r="H85" s="366">
        <v>2</v>
      </c>
      <c r="I85" s="366" t="s">
        <v>29</v>
      </c>
      <c r="J85" s="366">
        <v>1</v>
      </c>
      <c r="K85" s="212" t="str">
        <f t="shared" si="11"/>
        <v>1</v>
      </c>
      <c r="L85" s="210" t="str">
        <f>VLOOKUP($B85,Invulblad!$A$11:$S$103,13,0)</f>
        <v>1</v>
      </c>
      <c r="M85" s="211">
        <f>IF(L85&lt;&gt;"",VLOOKUP($B85,Invulblad!$A$11:$S$103,7,0),"")</f>
        <v>2</v>
      </c>
      <c r="N85" s="209" t="s">
        <v>29</v>
      </c>
      <c r="O85" s="211">
        <f>IF(L85&lt;&gt;"",VLOOKUP($B85,Invulblad!$A$11:$S$103,9,0),"")</f>
        <v>1</v>
      </c>
      <c r="P85" s="212">
        <f t="shared" si="15"/>
        <v>10</v>
      </c>
    </row>
    <row r="86" spans="1:16">
      <c r="A86" s="188">
        <v>73</v>
      </c>
      <c r="B86" s="201" t="s">
        <v>136</v>
      </c>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187</v>
      </c>
      <c r="H88" s="366">
        <v>2</v>
      </c>
      <c r="I88" s="366" t="s">
        <v>29</v>
      </c>
      <c r="J88" s="366">
        <v>1</v>
      </c>
      <c r="K88" s="212" t="str">
        <f t="shared" si="16"/>
        <v>1</v>
      </c>
      <c r="L88" s="210" t="str">
        <f>VLOOKUP($B88,Invulblad!$A$11:$S$103,13,0)</f>
        <v>1</v>
      </c>
      <c r="M88" s="211">
        <f>IF(L88&lt;&gt;"",VLOOKUP($B88,Invulblad!$A$11:$S$103,7,0),"")</f>
        <v>2</v>
      </c>
      <c r="N88" s="209" t="s">
        <v>29</v>
      </c>
      <c r="O88" s="211">
        <f>IF(L88&lt;&gt;"",VLOOKUP($B88,Invulblad!$A$11:$S$103,9,0),"")</f>
        <v>1</v>
      </c>
      <c r="P88" s="212">
        <f>IF(L88&lt;&gt;"",IF(AND(M88=H88,O88=J88),10,IF(K88=L88,5,0)),"")</f>
        <v>10</v>
      </c>
    </row>
    <row r="89" spans="1:16">
      <c r="A89" s="188">
        <v>76</v>
      </c>
      <c r="B89" s="195">
        <v>58</v>
      </c>
      <c r="C89" s="332">
        <v>41824</v>
      </c>
      <c r="D89" s="333">
        <v>0.75</v>
      </c>
      <c r="E89" s="189" t="s">
        <v>143</v>
      </c>
      <c r="F89" s="189" t="s">
        <v>29</v>
      </c>
      <c r="G89" s="189" t="s">
        <v>177</v>
      </c>
      <c r="H89" s="366">
        <v>1</v>
      </c>
      <c r="I89" s="366" t="s">
        <v>29</v>
      </c>
      <c r="J89" s="366">
        <v>2</v>
      </c>
      <c r="K89" s="212">
        <f t="shared" si="16"/>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138</v>
      </c>
      <c r="F90" s="189" t="s">
        <v>29</v>
      </c>
      <c r="G90" s="189" t="s">
        <v>193</v>
      </c>
      <c r="H90" s="366">
        <v>1</v>
      </c>
      <c r="I90" s="366" t="s">
        <v>29</v>
      </c>
      <c r="J90" s="366">
        <v>2</v>
      </c>
      <c r="K90" s="212">
        <f t="shared" si="16"/>
        <v>2</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395</v>
      </c>
      <c r="H91" s="366">
        <v>2</v>
      </c>
      <c r="I91" s="366" t="s">
        <v>29</v>
      </c>
      <c r="J91" s="366">
        <v>1</v>
      </c>
      <c r="K91" s="212" t="str">
        <f t="shared" si="16"/>
        <v>1</v>
      </c>
      <c r="L91" s="210"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H92" s="367"/>
      <c r="I92" s="367"/>
      <c r="J92" s="367"/>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177</v>
      </c>
      <c r="H94" s="366">
        <v>1</v>
      </c>
      <c r="I94" s="366" t="s">
        <v>29</v>
      </c>
      <c r="J94" s="366">
        <v>2</v>
      </c>
      <c r="K94" s="212">
        <f t="shared" si="16"/>
        <v>2</v>
      </c>
      <c r="L94" s="210">
        <f>VLOOKUP($B94,Invulblad!$A$11:$S$103,13,0)</f>
        <v>2</v>
      </c>
      <c r="M94" s="211">
        <f>IF(L94&lt;&gt;"",VLOOKUP($B94,Invulblad!$A$11:$S$103,7,0),"")</f>
        <v>1</v>
      </c>
      <c r="N94" s="209" t="s">
        <v>29</v>
      </c>
      <c r="O94" s="211">
        <f>IF(L94&lt;&gt;"",VLOOKUP($B94,Invulblad!$A$11:$S$103,9,0),"")</f>
        <v>7</v>
      </c>
      <c r="P94" s="212">
        <f>IF(L94&lt;&gt;"",IF(AND(M94=H94,O94=J94),10,IF(K94=L94,5,0)),"")</f>
        <v>5</v>
      </c>
    </row>
    <row r="95" spans="1:16">
      <c r="A95" s="188">
        <v>82</v>
      </c>
      <c r="B95" s="195">
        <v>62</v>
      </c>
      <c r="C95" s="332">
        <v>41829</v>
      </c>
      <c r="D95" s="333">
        <v>0.91666666666666663</v>
      </c>
      <c r="E95" s="189" t="s">
        <v>193</v>
      </c>
      <c r="F95" s="189" t="s">
        <v>29</v>
      </c>
      <c r="G95" s="189" t="s">
        <v>102</v>
      </c>
      <c r="H95" s="366">
        <v>1</v>
      </c>
      <c r="I95" s="366" t="s">
        <v>29</v>
      </c>
      <c r="J95" s="366">
        <v>2</v>
      </c>
      <c r="K95" s="212">
        <f t="shared" si="16"/>
        <v>2</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367"/>
      <c r="I96" s="367"/>
      <c r="J96" s="367"/>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199</v>
      </c>
      <c r="F98" s="189" t="s">
        <v>29</v>
      </c>
      <c r="G98" s="189" t="s">
        <v>193</v>
      </c>
      <c r="H98" s="366">
        <v>2</v>
      </c>
      <c r="I98" s="366" t="s">
        <v>29</v>
      </c>
      <c r="J98" s="366">
        <v>1</v>
      </c>
      <c r="K98" s="212" t="str">
        <f t="shared" si="16"/>
        <v>1</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367"/>
      <c r="I99" s="367"/>
      <c r="J99" s="367"/>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177</v>
      </c>
      <c r="F101" s="189" t="s">
        <v>29</v>
      </c>
      <c r="G101" s="189" t="s">
        <v>102</v>
      </c>
      <c r="H101" s="366">
        <v>2</v>
      </c>
      <c r="I101" s="366" t="s">
        <v>29</v>
      </c>
      <c r="J101" s="366">
        <v>1</v>
      </c>
      <c r="K101" s="212" t="str">
        <f t="shared" si="16"/>
        <v>1</v>
      </c>
      <c r="L101" s="210" t="str">
        <f>VLOOKUP($B101,Invulblad!$A$11:$S$103,13,0)</f>
        <v>1</v>
      </c>
      <c r="M101" s="211">
        <f>IF(L101&lt;&gt;"",VLOOKUP($B101,Invulblad!$A$11:$S$103,7,0),"")</f>
        <v>1</v>
      </c>
      <c r="N101" s="209" t="s">
        <v>29</v>
      </c>
      <c r="O101" s="211">
        <f>IF(L101&lt;&gt;"",VLOOKUP($B101,Invulblad!$A$11:$S$103,9,0),"")</f>
        <v>0</v>
      </c>
      <c r="P101" s="212">
        <f>IF(L101&lt;&gt;"",IF(AND(M101=H101,O101=J101),10,IF(K101=L101,5,0)),"")</f>
        <v>5</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389</v>
      </c>
    </row>
    <row r="112" spans="1:16">
      <c r="B112" s="201" t="s">
        <v>144</v>
      </c>
    </row>
    <row r="114" spans="2:15">
      <c r="B114" s="215" t="s">
        <v>145</v>
      </c>
      <c r="C114" s="215" t="s">
        <v>146</v>
      </c>
      <c r="D114" s="215" t="s">
        <v>147</v>
      </c>
      <c r="E114" s="215" t="s">
        <v>148</v>
      </c>
    </row>
    <row r="115" spans="2:15">
      <c r="B115" s="216" t="s">
        <v>199</v>
      </c>
      <c r="C115" s="216" t="s">
        <v>163</v>
      </c>
      <c r="D115" s="216" t="s">
        <v>149</v>
      </c>
      <c r="E115" s="216" t="s">
        <v>172</v>
      </c>
    </row>
    <row r="116" spans="2:15">
      <c r="B116" s="217" t="s">
        <v>389</v>
      </c>
      <c r="C116" s="217" t="s">
        <v>164</v>
      </c>
      <c r="D116" s="217" t="s">
        <v>156</v>
      </c>
      <c r="E116" s="217" t="s">
        <v>155</v>
      </c>
    </row>
    <row r="117" spans="2:15">
      <c r="B117" s="216" t="s">
        <v>152</v>
      </c>
      <c r="C117" s="216" t="s">
        <v>151</v>
      </c>
      <c r="D117" s="216" t="s">
        <v>154</v>
      </c>
      <c r="E117" s="216" t="s">
        <v>149</v>
      </c>
    </row>
    <row r="118" spans="2:15">
      <c r="B118" s="217" t="s">
        <v>185</v>
      </c>
      <c r="C118" s="217" t="s">
        <v>150</v>
      </c>
      <c r="D118" s="217" t="s">
        <v>180</v>
      </c>
      <c r="E118" s="217" t="s">
        <v>151</v>
      </c>
    </row>
    <row r="121" spans="2:15">
      <c r="B121" s="201" t="s">
        <v>157</v>
      </c>
    </row>
    <row r="122" spans="2:15">
      <c r="B122" s="195"/>
    </row>
    <row r="123" spans="2:15">
      <c r="B123" s="195" t="s">
        <v>158</v>
      </c>
    </row>
    <row r="124" spans="2:15">
      <c r="B124" s="195" t="s">
        <v>251</v>
      </c>
    </row>
    <row r="127" spans="2:15">
      <c r="B127" s="218"/>
      <c r="C127" s="218"/>
      <c r="D127" s="218"/>
      <c r="E127" s="218"/>
      <c r="F127" s="218"/>
      <c r="G127" s="218"/>
      <c r="H127" s="364"/>
      <c r="I127" s="364"/>
      <c r="J127" s="364"/>
      <c r="K127" s="218"/>
      <c r="L127" s="219"/>
      <c r="M127" s="218"/>
      <c r="N127" s="218"/>
      <c r="O127" s="218"/>
    </row>
    <row r="130" spans="1:5">
      <c r="B130" s="201" t="s">
        <v>160</v>
      </c>
    </row>
    <row r="132" spans="1:5">
      <c r="A132" s="227" t="s">
        <v>67</v>
      </c>
      <c r="B132" s="189" t="s">
        <v>140</v>
      </c>
      <c r="C132" s="189" t="s">
        <v>141</v>
      </c>
      <c r="D132" s="201" t="s">
        <v>138</v>
      </c>
    </row>
    <row r="133" spans="1:5">
      <c r="A133" s="188" t="s">
        <v>68</v>
      </c>
      <c r="B133" s="189" t="s">
        <v>142</v>
      </c>
      <c r="C133" s="189" t="s">
        <v>141</v>
      </c>
      <c r="D133" s="201" t="s">
        <v>207</v>
      </c>
    </row>
    <row r="136" spans="1:5">
      <c r="B136" s="201" t="s">
        <v>161</v>
      </c>
    </row>
    <row r="138" spans="1:5">
      <c r="B138" s="215" t="s">
        <v>145</v>
      </c>
      <c r="C138" s="215" t="s">
        <v>146</v>
      </c>
      <c r="D138" s="215" t="s">
        <v>147</v>
      </c>
      <c r="E138" s="215" t="s">
        <v>148</v>
      </c>
    </row>
    <row r="139" spans="1:5">
      <c r="B139" s="216" t="s">
        <v>138</v>
      </c>
      <c r="C139" s="216" t="s">
        <v>163</v>
      </c>
      <c r="D139" s="216" t="s">
        <v>151</v>
      </c>
      <c r="E139" s="216" t="s">
        <v>164</v>
      </c>
    </row>
    <row r="140" spans="1:5">
      <c r="B140" s="217" t="s">
        <v>135</v>
      </c>
      <c r="C140" s="217" t="s">
        <v>151</v>
      </c>
      <c r="D140" s="217" t="s">
        <v>154</v>
      </c>
      <c r="E140" s="217" t="s">
        <v>149</v>
      </c>
    </row>
    <row r="141" spans="1:5">
      <c r="B141" s="216" t="s">
        <v>207</v>
      </c>
      <c r="C141" s="216" t="s">
        <v>164</v>
      </c>
      <c r="D141" s="216" t="s">
        <v>156</v>
      </c>
      <c r="E141" s="216" t="s">
        <v>155</v>
      </c>
    </row>
    <row r="142" spans="1:5">
      <c r="B142" s="217" t="s">
        <v>179</v>
      </c>
      <c r="C142" s="217" t="s">
        <v>150</v>
      </c>
      <c r="D142" s="217" t="s">
        <v>171</v>
      </c>
      <c r="E142" s="217" t="s">
        <v>151</v>
      </c>
    </row>
    <row r="145" spans="1:15">
      <c r="B145" s="201" t="s">
        <v>166</v>
      </c>
    </row>
    <row r="146" spans="1:15">
      <c r="B146" s="195"/>
    </row>
    <row r="147" spans="1:15">
      <c r="B147" s="195" t="s">
        <v>167</v>
      </c>
    </row>
    <row r="148" spans="1:15">
      <c r="B148" s="195" t="s">
        <v>168</v>
      </c>
    </row>
    <row r="151" spans="1:15">
      <c r="B151" s="218"/>
      <c r="C151" s="218"/>
      <c r="D151" s="218"/>
      <c r="E151" s="218"/>
      <c r="F151" s="218"/>
      <c r="G151" s="218"/>
      <c r="H151" s="364"/>
      <c r="I151" s="364"/>
      <c r="J151" s="364"/>
      <c r="K151" s="218"/>
      <c r="L151" s="219"/>
      <c r="M151" s="218"/>
      <c r="N151" s="218"/>
      <c r="O151" s="218"/>
    </row>
    <row r="154" spans="1:15">
      <c r="B154" s="201" t="s">
        <v>169</v>
      </c>
    </row>
    <row r="156" spans="1:15">
      <c r="A156" s="188" t="s">
        <v>69</v>
      </c>
      <c r="B156" s="189" t="s">
        <v>140</v>
      </c>
      <c r="C156" s="189" t="s">
        <v>141</v>
      </c>
      <c r="D156" s="201" t="s">
        <v>187</v>
      </c>
    </row>
    <row r="157" spans="1:15">
      <c r="A157" s="188" t="s">
        <v>70</v>
      </c>
      <c r="B157" s="189" t="s">
        <v>142</v>
      </c>
      <c r="C157" s="189" t="s">
        <v>141</v>
      </c>
      <c r="D157" s="201" t="s">
        <v>200</v>
      </c>
    </row>
    <row r="160" spans="1:15">
      <c r="B160" s="201" t="s">
        <v>170</v>
      </c>
    </row>
    <row r="162" spans="2:15">
      <c r="B162" s="215" t="s">
        <v>145</v>
      </c>
      <c r="C162" s="215" t="s">
        <v>146</v>
      </c>
      <c r="D162" s="215" t="s">
        <v>147</v>
      </c>
      <c r="E162" s="215" t="s">
        <v>148</v>
      </c>
    </row>
    <row r="163" spans="2:15">
      <c r="B163" s="216" t="s">
        <v>390</v>
      </c>
      <c r="C163" s="216" t="s">
        <v>151</v>
      </c>
      <c r="D163" s="216" t="s">
        <v>154</v>
      </c>
      <c r="E163" s="216" t="s">
        <v>149</v>
      </c>
    </row>
    <row r="164" spans="2:15">
      <c r="B164" s="217" t="s">
        <v>106</v>
      </c>
      <c r="C164" s="217" t="s">
        <v>150</v>
      </c>
      <c r="D164" s="217" t="s">
        <v>171</v>
      </c>
      <c r="E164" s="217" t="s">
        <v>151</v>
      </c>
    </row>
    <row r="165" spans="2:15">
      <c r="B165" s="216" t="s">
        <v>200</v>
      </c>
      <c r="C165" s="216" t="s">
        <v>164</v>
      </c>
      <c r="D165" s="216" t="s">
        <v>156</v>
      </c>
      <c r="E165" s="216" t="s">
        <v>155</v>
      </c>
    </row>
    <row r="166" spans="2:15">
      <c r="B166" s="217" t="s">
        <v>187</v>
      </c>
      <c r="C166" s="217" t="s">
        <v>163</v>
      </c>
      <c r="D166" s="217" t="s">
        <v>151</v>
      </c>
      <c r="E166" s="217" t="s">
        <v>164</v>
      </c>
    </row>
    <row r="169" spans="2:15">
      <c r="B169" s="201" t="s">
        <v>173</v>
      </c>
    </row>
    <row r="170" spans="2:15">
      <c r="B170" s="195"/>
    </row>
    <row r="171" spans="2:15">
      <c r="B171" s="195" t="s">
        <v>174</v>
      </c>
    </row>
    <row r="172" spans="2:15">
      <c r="B172" s="195" t="s">
        <v>175</v>
      </c>
    </row>
    <row r="175" spans="2:15">
      <c r="B175" s="218"/>
      <c r="C175" s="218"/>
      <c r="D175" s="218"/>
      <c r="E175" s="218"/>
      <c r="F175" s="218"/>
      <c r="G175" s="218"/>
      <c r="H175" s="364"/>
      <c r="I175" s="364"/>
      <c r="J175" s="364"/>
    </row>
    <row r="176" spans="2:15">
      <c r="K176" s="218"/>
      <c r="L176" s="219"/>
      <c r="M176" s="218"/>
      <c r="N176" s="218"/>
      <c r="O176" s="218"/>
    </row>
    <row r="178" spans="1:5">
      <c r="B178" s="201" t="s">
        <v>176</v>
      </c>
    </row>
    <row r="180" spans="1:5">
      <c r="A180" s="188" t="s">
        <v>71</v>
      </c>
      <c r="B180" s="189" t="s">
        <v>140</v>
      </c>
      <c r="C180" s="189" t="s">
        <v>141</v>
      </c>
      <c r="D180" s="201" t="s">
        <v>193</v>
      </c>
    </row>
    <row r="181" spans="1:5">
      <c r="A181" s="188" t="s">
        <v>72</v>
      </c>
      <c r="B181" s="189" t="s">
        <v>142</v>
      </c>
      <c r="C181" s="189" t="s">
        <v>141</v>
      </c>
      <c r="D181" s="201" t="s">
        <v>97</v>
      </c>
    </row>
    <row r="184" spans="1:5">
      <c r="B184" s="201" t="s">
        <v>178</v>
      </c>
    </row>
    <row r="186" spans="1:5">
      <c r="B186" s="215" t="s">
        <v>145</v>
      </c>
      <c r="C186" s="215" t="s">
        <v>146</v>
      </c>
      <c r="D186" s="215" t="s">
        <v>147</v>
      </c>
      <c r="E186" s="215" t="s">
        <v>148</v>
      </c>
    </row>
    <row r="187" spans="1:5">
      <c r="B187" s="216" t="s">
        <v>97</v>
      </c>
      <c r="C187" s="216" t="s">
        <v>164</v>
      </c>
      <c r="D187" s="216" t="s">
        <v>156</v>
      </c>
      <c r="E187" s="216" t="s">
        <v>155</v>
      </c>
    </row>
    <row r="188" spans="1:5">
      <c r="B188" s="217" t="s">
        <v>391</v>
      </c>
      <c r="C188" s="217" t="s">
        <v>150</v>
      </c>
      <c r="D188" s="217" t="s">
        <v>171</v>
      </c>
      <c r="E188" s="217" t="s">
        <v>151</v>
      </c>
    </row>
    <row r="189" spans="1:5">
      <c r="B189" s="216" t="s">
        <v>109</v>
      </c>
      <c r="C189" s="216" t="s">
        <v>151</v>
      </c>
      <c r="D189" s="216" t="s">
        <v>154</v>
      </c>
      <c r="E189" s="216" t="s">
        <v>149</v>
      </c>
    </row>
    <row r="190" spans="1:5">
      <c r="B190" s="217" t="s">
        <v>193</v>
      </c>
      <c r="C190" s="217" t="s">
        <v>163</v>
      </c>
      <c r="D190" s="217" t="s">
        <v>151</v>
      </c>
      <c r="E190" s="217" t="s">
        <v>164</v>
      </c>
    </row>
    <row r="193" spans="1:15">
      <c r="B193" s="201" t="s">
        <v>182</v>
      </c>
    </row>
    <row r="194" spans="1:15">
      <c r="B194" s="195"/>
    </row>
    <row r="195" spans="1:15">
      <c r="B195" s="195" t="s">
        <v>239</v>
      </c>
    </row>
    <row r="196" spans="1:15">
      <c r="B196" s="195" t="s">
        <v>240</v>
      </c>
    </row>
    <row r="199" spans="1:15">
      <c r="B199" s="218"/>
      <c r="C199" s="218"/>
      <c r="D199" s="218"/>
      <c r="E199" s="218"/>
      <c r="F199" s="218"/>
      <c r="G199" s="218"/>
      <c r="H199" s="364"/>
      <c r="I199" s="364"/>
      <c r="J199" s="364"/>
      <c r="K199" s="218"/>
      <c r="L199" s="219"/>
      <c r="M199" s="218"/>
      <c r="N199" s="218"/>
      <c r="O199" s="218"/>
    </row>
    <row r="202" spans="1:15">
      <c r="B202" s="201" t="s">
        <v>184</v>
      </c>
    </row>
    <row r="204" spans="1:15">
      <c r="A204" s="188" t="s">
        <v>73</v>
      </c>
      <c r="B204" s="189" t="s">
        <v>140</v>
      </c>
      <c r="C204" s="189" t="s">
        <v>141</v>
      </c>
      <c r="D204" s="201" t="s">
        <v>143</v>
      </c>
    </row>
    <row r="205" spans="1:15">
      <c r="A205" s="188" t="s">
        <v>74</v>
      </c>
      <c r="B205" s="189" t="s">
        <v>142</v>
      </c>
      <c r="C205" s="189" t="s">
        <v>141</v>
      </c>
      <c r="D205" s="201" t="s">
        <v>392</v>
      </c>
    </row>
    <row r="208" spans="1:15">
      <c r="B208" s="201" t="s">
        <v>186</v>
      </c>
    </row>
    <row r="210" spans="2:15">
      <c r="B210" s="215" t="s">
        <v>145</v>
      </c>
      <c r="C210" s="215" t="s">
        <v>146</v>
      </c>
      <c r="D210" s="215" t="s">
        <v>147</v>
      </c>
      <c r="E210" s="215" t="s">
        <v>148</v>
      </c>
    </row>
    <row r="211" spans="2:15">
      <c r="B211" s="216" t="s">
        <v>209</v>
      </c>
      <c r="C211" s="216" t="s">
        <v>151</v>
      </c>
      <c r="D211" s="216" t="s">
        <v>154</v>
      </c>
      <c r="E211" s="216" t="s">
        <v>149</v>
      </c>
    </row>
    <row r="212" spans="2:15">
      <c r="B212" s="217" t="s">
        <v>392</v>
      </c>
      <c r="C212" s="217" t="s">
        <v>164</v>
      </c>
      <c r="D212" s="217" t="s">
        <v>156</v>
      </c>
      <c r="E212" s="217" t="s">
        <v>155</v>
      </c>
    </row>
    <row r="213" spans="2:15">
      <c r="B213" s="216" t="s">
        <v>143</v>
      </c>
      <c r="C213" s="216" t="s">
        <v>163</v>
      </c>
      <c r="D213" s="216" t="s">
        <v>151</v>
      </c>
      <c r="E213" s="216" t="s">
        <v>164</v>
      </c>
    </row>
    <row r="214" spans="2:15">
      <c r="B214" s="217" t="s">
        <v>210</v>
      </c>
      <c r="C214" s="217" t="s">
        <v>150</v>
      </c>
      <c r="D214" s="217" t="s">
        <v>171</v>
      </c>
      <c r="E214" s="217" t="s">
        <v>151</v>
      </c>
    </row>
    <row r="217" spans="2:15">
      <c r="B217" s="201" t="s">
        <v>189</v>
      </c>
    </row>
    <row r="218" spans="2:15">
      <c r="B218" s="195"/>
    </row>
    <row r="219" spans="2:15">
      <c r="B219" s="195" t="s">
        <v>190</v>
      </c>
    </row>
    <row r="220" spans="2:15">
      <c r="B220" s="195" t="s">
        <v>191</v>
      </c>
    </row>
    <row r="223" spans="2:15">
      <c r="B223" s="218"/>
      <c r="C223" s="218"/>
      <c r="D223" s="218"/>
      <c r="E223" s="218"/>
      <c r="F223" s="218"/>
      <c r="G223" s="218"/>
      <c r="H223" s="364"/>
      <c r="I223" s="364"/>
      <c r="J223" s="364"/>
      <c r="K223" s="218"/>
      <c r="L223" s="219"/>
      <c r="M223" s="218"/>
      <c r="N223" s="218"/>
      <c r="O223" s="218"/>
    </row>
    <row r="226" spans="1:5">
      <c r="B226" s="201" t="s">
        <v>192</v>
      </c>
    </row>
    <row r="228" spans="1:5">
      <c r="A228" s="188" t="s">
        <v>75</v>
      </c>
      <c r="B228" s="189" t="s">
        <v>140</v>
      </c>
      <c r="C228" s="189" t="s">
        <v>141</v>
      </c>
      <c r="D228" s="201" t="s">
        <v>102</v>
      </c>
    </row>
    <row r="229" spans="1:5">
      <c r="A229" s="188" t="s">
        <v>76</v>
      </c>
      <c r="B229" s="189" t="s">
        <v>142</v>
      </c>
      <c r="C229" s="189" t="s">
        <v>141</v>
      </c>
      <c r="D229" s="201" t="s">
        <v>572</v>
      </c>
    </row>
    <row r="232" spans="1:5">
      <c r="B232" s="201" t="s">
        <v>194</v>
      </c>
    </row>
    <row r="234" spans="1:5">
      <c r="B234" s="215" t="s">
        <v>145</v>
      </c>
      <c r="C234" s="215" t="s">
        <v>146</v>
      </c>
      <c r="D234" s="215" t="s">
        <v>147</v>
      </c>
      <c r="E234" s="215" t="s">
        <v>148</v>
      </c>
    </row>
    <row r="235" spans="1:5">
      <c r="B235" s="216" t="s">
        <v>102</v>
      </c>
      <c r="C235" s="216" t="s">
        <v>163</v>
      </c>
      <c r="D235" s="216" t="s">
        <v>151</v>
      </c>
      <c r="E235" s="216" t="s">
        <v>164</v>
      </c>
    </row>
    <row r="236" spans="1:5">
      <c r="B236" s="217" t="s">
        <v>572</v>
      </c>
      <c r="C236" s="217" t="s">
        <v>164</v>
      </c>
      <c r="D236" s="217" t="s">
        <v>156</v>
      </c>
      <c r="E236" s="217" t="s">
        <v>155</v>
      </c>
    </row>
    <row r="237" spans="1:5">
      <c r="B237" s="216" t="s">
        <v>394</v>
      </c>
      <c r="C237" s="216" t="s">
        <v>150</v>
      </c>
      <c r="D237" s="216" t="s">
        <v>171</v>
      </c>
      <c r="E237" s="216" t="s">
        <v>151</v>
      </c>
    </row>
    <row r="238" spans="1:5">
      <c r="B238" s="217" t="s">
        <v>108</v>
      </c>
      <c r="C238" s="217" t="s">
        <v>151</v>
      </c>
      <c r="D238" s="217" t="s">
        <v>154</v>
      </c>
      <c r="E238" s="217" t="s">
        <v>149</v>
      </c>
    </row>
    <row r="241" spans="1:15">
      <c r="B241" s="201" t="s">
        <v>195</v>
      </c>
    </row>
    <row r="242" spans="1:15">
      <c r="B242" s="195"/>
    </row>
    <row r="243" spans="1:15">
      <c r="B243" s="195" t="s">
        <v>196</v>
      </c>
    </row>
    <row r="244" spans="1:15">
      <c r="B244" s="195" t="s">
        <v>197</v>
      </c>
    </row>
    <row r="247" spans="1:15">
      <c r="B247" s="218"/>
      <c r="C247" s="218"/>
      <c r="D247" s="218"/>
      <c r="E247" s="218"/>
      <c r="F247" s="218"/>
      <c r="G247" s="218"/>
      <c r="H247" s="364"/>
      <c r="I247" s="364"/>
      <c r="J247" s="364"/>
      <c r="K247" s="218"/>
      <c r="L247" s="219"/>
      <c r="M247" s="218"/>
      <c r="N247" s="218"/>
      <c r="O247" s="218"/>
    </row>
    <row r="250" spans="1:15">
      <c r="B250" s="201" t="s">
        <v>198</v>
      </c>
    </row>
    <row r="252" spans="1:15">
      <c r="A252" s="188" t="s">
        <v>77</v>
      </c>
      <c r="B252" s="189" t="s">
        <v>140</v>
      </c>
      <c r="C252" s="189" t="s">
        <v>141</v>
      </c>
      <c r="D252" s="201" t="s">
        <v>177</v>
      </c>
    </row>
    <row r="253" spans="1:15">
      <c r="A253" s="188" t="s">
        <v>78</v>
      </c>
      <c r="B253" s="189" t="s">
        <v>142</v>
      </c>
      <c r="C253" s="189" t="s">
        <v>141</v>
      </c>
      <c r="D253" s="201" t="s">
        <v>181</v>
      </c>
    </row>
    <row r="256" spans="1:15">
      <c r="B256" s="201" t="s">
        <v>201</v>
      </c>
    </row>
    <row r="258" spans="2:15">
      <c r="B258" s="215" t="s">
        <v>145</v>
      </c>
      <c r="C258" s="215" t="s">
        <v>146</v>
      </c>
      <c r="D258" s="215" t="s">
        <v>147</v>
      </c>
      <c r="E258" s="215" t="s">
        <v>148</v>
      </c>
    </row>
    <row r="259" spans="2:15">
      <c r="B259" s="216" t="s">
        <v>177</v>
      </c>
      <c r="C259" s="216" t="s">
        <v>163</v>
      </c>
      <c r="D259" s="216" t="s">
        <v>151</v>
      </c>
      <c r="E259" s="216" t="s">
        <v>164</v>
      </c>
    </row>
    <row r="260" spans="2:15">
      <c r="B260" s="217" t="s">
        <v>202</v>
      </c>
      <c r="C260" s="217" t="s">
        <v>151</v>
      </c>
      <c r="D260" s="217" t="s">
        <v>154</v>
      </c>
      <c r="E260" s="217" t="s">
        <v>149</v>
      </c>
    </row>
    <row r="261" spans="2:15">
      <c r="B261" s="216" t="s">
        <v>181</v>
      </c>
      <c r="C261" s="216" t="s">
        <v>164</v>
      </c>
      <c r="D261" s="216" t="s">
        <v>156</v>
      </c>
      <c r="E261" s="216" t="s">
        <v>155</v>
      </c>
    </row>
    <row r="262" spans="2:15">
      <c r="B262" s="217" t="s">
        <v>32</v>
      </c>
      <c r="C262" s="217" t="s">
        <v>150</v>
      </c>
      <c r="D262" s="217" t="s">
        <v>171</v>
      </c>
      <c r="E262" s="217" t="s">
        <v>151</v>
      </c>
    </row>
    <row r="265" spans="2:15">
      <c r="B265" s="201" t="s">
        <v>203</v>
      </c>
    </row>
    <row r="266" spans="2:15">
      <c r="B266" s="195"/>
    </row>
    <row r="267" spans="2:15">
      <c r="B267" s="195" t="s">
        <v>204</v>
      </c>
    </row>
    <row r="268" spans="2:15">
      <c r="B268" s="195" t="s">
        <v>205</v>
      </c>
    </row>
    <row r="270" spans="2:15">
      <c r="B270" s="218"/>
      <c r="C270" s="218"/>
      <c r="D270" s="218"/>
      <c r="E270" s="218"/>
      <c r="F270" s="218"/>
      <c r="G270" s="218"/>
      <c r="K270" s="218"/>
      <c r="L270" s="219"/>
      <c r="M270" s="218"/>
      <c r="N270" s="218"/>
      <c r="O270" s="218"/>
    </row>
    <row r="271" spans="2:15">
      <c r="H271" s="364"/>
      <c r="I271" s="364"/>
      <c r="J271" s="364"/>
    </row>
    <row r="274" spans="1:5">
      <c r="B274" s="201" t="s">
        <v>206</v>
      </c>
    </row>
    <row r="276" spans="1:5">
      <c r="A276" s="188" t="s">
        <v>79</v>
      </c>
      <c r="B276" s="189" t="s">
        <v>140</v>
      </c>
      <c r="C276" s="189" t="s">
        <v>141</v>
      </c>
      <c r="D276" s="201" t="s">
        <v>395</v>
      </c>
    </row>
    <row r="277" spans="1:5">
      <c r="A277" s="188" t="s">
        <v>80</v>
      </c>
      <c r="B277" s="189" t="s">
        <v>142</v>
      </c>
      <c r="C277" s="189" t="s">
        <v>141</v>
      </c>
      <c r="D277" s="201" t="s">
        <v>396</v>
      </c>
    </row>
    <row r="280" spans="1:5">
      <c r="B280" s="201" t="s">
        <v>208</v>
      </c>
    </row>
    <row r="282" spans="1:5">
      <c r="B282" s="215" t="s">
        <v>145</v>
      </c>
      <c r="C282" s="215" t="s">
        <v>146</v>
      </c>
      <c r="D282" s="215" t="s">
        <v>147</v>
      </c>
      <c r="E282" s="215" t="s">
        <v>148</v>
      </c>
    </row>
    <row r="283" spans="1:5">
      <c r="B283" s="216" t="s">
        <v>395</v>
      </c>
      <c r="C283" s="216" t="s">
        <v>163</v>
      </c>
      <c r="D283" s="216" t="s">
        <v>151</v>
      </c>
      <c r="E283" s="216" t="s">
        <v>164</v>
      </c>
    </row>
    <row r="284" spans="1:5">
      <c r="B284" s="217" t="s">
        <v>110</v>
      </c>
      <c r="C284" s="217" t="s">
        <v>151</v>
      </c>
      <c r="D284" s="217" t="s">
        <v>154</v>
      </c>
      <c r="E284" s="217" t="s">
        <v>149</v>
      </c>
    </row>
    <row r="285" spans="1:5">
      <c r="B285" s="216" t="s">
        <v>396</v>
      </c>
      <c r="C285" s="216" t="s">
        <v>164</v>
      </c>
      <c r="D285" s="216" t="s">
        <v>156</v>
      </c>
      <c r="E285" s="216" t="s">
        <v>155</v>
      </c>
    </row>
    <row r="286" spans="1:5">
      <c r="B286" s="217" t="s">
        <v>104</v>
      </c>
      <c r="C286" s="217" t="s">
        <v>150</v>
      </c>
      <c r="D286" s="217" t="s">
        <v>171</v>
      </c>
      <c r="E286" s="217" t="s">
        <v>151</v>
      </c>
    </row>
    <row r="289" spans="2:15">
      <c r="B289" s="201" t="s">
        <v>211</v>
      </c>
    </row>
    <row r="290" spans="2:15">
      <c r="B290" s="195"/>
    </row>
    <row r="291" spans="2:15">
      <c r="B291" s="195" t="s">
        <v>212</v>
      </c>
    </row>
    <row r="292" spans="2:15">
      <c r="B292" s="195" t="s">
        <v>213</v>
      </c>
    </row>
    <row r="295" spans="2:15">
      <c r="B295" s="218"/>
      <c r="C295" s="218"/>
      <c r="D295" s="218"/>
      <c r="E295" s="218"/>
      <c r="F295" s="218"/>
      <c r="G295" s="218"/>
      <c r="H295" s="364"/>
      <c r="I295" s="364"/>
      <c r="J295" s="364"/>
    </row>
    <row r="296" spans="2:15">
      <c r="K296" s="218"/>
      <c r="L296" s="219"/>
      <c r="M296" s="218"/>
      <c r="N296" s="218"/>
      <c r="O296" s="218"/>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9.xml><?xml version="1.0" encoding="utf-8"?>
<worksheet xmlns="http://schemas.openxmlformats.org/spreadsheetml/2006/main" xmlns:r="http://schemas.openxmlformats.org/officeDocument/2006/relationships">
  <sheetPr codeName="Blad11">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271</v>
      </c>
      <c r="L1" s="194"/>
      <c r="P1" s="193">
        <f>SUM(P14:P101)+E11+H11+L7+L11+Q11</f>
        <v>440</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Nederland</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Colombia</v>
      </c>
      <c r="C4" s="222">
        <f t="shared" si="1"/>
        <v>10</v>
      </c>
      <c r="D4" s="224" t="str">
        <f t="shared" si="2"/>
        <v>Italië</v>
      </c>
      <c r="E4" s="222">
        <f t="shared" si="3"/>
        <v>0</v>
      </c>
      <c r="F4" s="339" t="s">
        <v>450</v>
      </c>
      <c r="G4" s="195" t="str">
        <f>G88</f>
        <v>Italië</v>
      </c>
      <c r="H4" s="222">
        <f t="shared" si="4"/>
        <v>0</v>
      </c>
      <c r="I4" s="339" t="s">
        <v>458</v>
      </c>
      <c r="J4" s="195" t="str">
        <f>G94</f>
        <v>Duitsland</v>
      </c>
      <c r="L4" s="222">
        <f>IF(ISNA(MATCH(J4,teams_halve,0)),0,20)</f>
        <v>20</v>
      </c>
      <c r="Q4" s="224"/>
    </row>
    <row r="5" spans="1:21" s="195" customFormat="1" ht="15" customHeight="1">
      <c r="B5" s="224" t="str">
        <f t="shared" si="0"/>
        <v>Spanje</v>
      </c>
      <c r="C5" s="222">
        <f t="shared" si="1"/>
        <v>0</v>
      </c>
      <c r="D5" s="224" t="str">
        <f t="shared" si="2"/>
        <v>Mexico</v>
      </c>
      <c r="E5" s="222">
        <f t="shared" si="3"/>
        <v>10</v>
      </c>
      <c r="F5" s="339" t="s">
        <v>451</v>
      </c>
      <c r="G5" s="195" t="str">
        <f>E90</f>
        <v>Spanje</v>
      </c>
      <c r="H5" s="222">
        <f t="shared" si="4"/>
        <v>0</v>
      </c>
      <c r="I5" s="339" t="s">
        <v>459</v>
      </c>
      <c r="J5" s="195" t="str">
        <f>E95</f>
        <v>Spanje</v>
      </c>
      <c r="L5" s="222">
        <f>IF(ISNA(MATCH(J5,teams_halve,0)),0,20)</f>
        <v>0</v>
      </c>
    </row>
    <row r="6" spans="1:21" s="195" customFormat="1" ht="15" customHeight="1">
      <c r="B6" s="224" t="str">
        <f t="shared" si="0"/>
        <v>Uruguay</v>
      </c>
      <c r="C6" s="222">
        <f t="shared" si="1"/>
        <v>10</v>
      </c>
      <c r="D6" s="224" t="str">
        <f t="shared" si="2"/>
        <v>Griekenland</v>
      </c>
      <c r="E6" s="222">
        <f t="shared" si="3"/>
        <v>10</v>
      </c>
      <c r="F6" s="339" t="s">
        <v>452</v>
      </c>
      <c r="G6" s="195" t="str">
        <f>G90</f>
        <v>Uruguay</v>
      </c>
      <c r="H6" s="222">
        <f t="shared" si="4"/>
        <v>0</v>
      </c>
      <c r="I6" s="339" t="s">
        <v>460</v>
      </c>
      <c r="J6" s="195" t="str">
        <f>G95</f>
        <v>Portugal</v>
      </c>
      <c r="L6" s="222">
        <f>IF(ISNA(MATCH(J6,teams_halve,0)),0,20)</f>
        <v>0</v>
      </c>
    </row>
    <row r="7" spans="1:21" s="195" customFormat="1" ht="15" customHeight="1">
      <c r="B7" s="224" t="str">
        <f t="shared" si="0"/>
        <v>Zwitserland</v>
      </c>
      <c r="C7" s="222">
        <f t="shared" si="1"/>
        <v>10</v>
      </c>
      <c r="D7" s="224" t="str">
        <f t="shared" si="2"/>
        <v>Bosnië en Herzegovina</v>
      </c>
      <c r="E7" s="222">
        <f t="shared" si="3"/>
        <v>0</v>
      </c>
      <c r="F7" s="339" t="s">
        <v>453</v>
      </c>
      <c r="G7" s="195" t="str">
        <f>E89</f>
        <v>Zwitserland</v>
      </c>
      <c r="H7" s="222">
        <f t="shared" si="4"/>
        <v>0</v>
      </c>
      <c r="I7" s="339"/>
      <c r="J7" s="198" t="s">
        <v>83</v>
      </c>
      <c r="K7" s="199"/>
      <c r="L7" s="225">
        <f>SUM(L3:L6)</f>
        <v>40</v>
      </c>
    </row>
    <row r="8" spans="1:21" s="195" customFormat="1" ht="15" customHeight="1">
      <c r="B8" s="224" t="str">
        <f t="shared" si="0"/>
        <v>Duitsland</v>
      </c>
      <c r="C8" s="222">
        <f t="shared" si="1"/>
        <v>10</v>
      </c>
      <c r="D8" s="224" t="str">
        <f t="shared" si="2"/>
        <v>Rusland</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Frankrijk</v>
      </c>
      <c r="E9" s="222">
        <f t="shared" si="3"/>
        <v>10</v>
      </c>
      <c r="F9" s="339" t="s">
        <v>455</v>
      </c>
      <c r="G9" s="195" t="str">
        <f>E91</f>
        <v>Argentinië</v>
      </c>
      <c r="H9" s="222">
        <f t="shared" si="4"/>
        <v>15</v>
      </c>
      <c r="I9" s="339" t="s">
        <v>461</v>
      </c>
      <c r="J9" s="195" t="str">
        <f>E101</f>
        <v>Duitsland</v>
      </c>
      <c r="L9" s="222">
        <f>IF(ISNA(MATCH(J9,teams_fin,0)),0,30)</f>
        <v>30</v>
      </c>
      <c r="P9" s="444" t="str">
        <f>E98</f>
        <v>Brazilië</v>
      </c>
      <c r="Q9" s="222">
        <f>IF(ISNA(MATCH(P9,teams_troost,0)),0,25)</f>
        <v>25</v>
      </c>
    </row>
    <row r="10" spans="1:21" s="195" customFormat="1" ht="15" customHeight="1">
      <c r="B10" s="224" t="str">
        <f t="shared" si="0"/>
        <v>België</v>
      </c>
      <c r="C10" s="222">
        <f t="shared" si="1"/>
        <v>10</v>
      </c>
      <c r="D10" s="224" t="str">
        <f t="shared" si="2"/>
        <v>Portugal</v>
      </c>
      <c r="E10" s="222">
        <f t="shared" si="3"/>
        <v>0</v>
      </c>
      <c r="F10" s="339" t="s">
        <v>456</v>
      </c>
      <c r="G10" s="195" t="str">
        <f>G91</f>
        <v>Portugal</v>
      </c>
      <c r="H10" s="222">
        <f t="shared" si="4"/>
        <v>0</v>
      </c>
      <c r="I10" s="339" t="s">
        <v>462</v>
      </c>
      <c r="J10" s="195" t="str">
        <f>G101</f>
        <v>Spanje</v>
      </c>
      <c r="L10" s="222">
        <f>IF(ISNA(MATCH(J10,teams_fin,0)),0,30)</f>
        <v>0</v>
      </c>
      <c r="P10" s="444" t="str">
        <f>G98</f>
        <v>Portugal</v>
      </c>
      <c r="Q10" s="222">
        <f>IF(ISNA(MATCH(P10,teams_troost,0)),0,25)</f>
        <v>0</v>
      </c>
    </row>
    <row r="11" spans="1:21" s="195" customFormat="1" ht="15" customHeight="1">
      <c r="D11" s="198" t="s">
        <v>89</v>
      </c>
      <c r="E11" s="225">
        <f>SUM(C3:E10)</f>
        <v>110</v>
      </c>
      <c r="G11" s="198" t="s">
        <v>82</v>
      </c>
      <c r="H11" s="225">
        <f>SUM(H3:H10)</f>
        <v>45</v>
      </c>
      <c r="J11" s="198" t="s">
        <v>90</v>
      </c>
      <c r="K11" s="199"/>
      <c r="L11" s="225">
        <f>SUM(L9:L10)</f>
        <v>30</v>
      </c>
      <c r="P11" s="199"/>
      <c r="Q11" s="225">
        <f>SUM(Q9:Q10)</f>
        <v>25</v>
      </c>
    </row>
    <row r="12" spans="1:21">
      <c r="B12" s="201" t="s">
        <v>19</v>
      </c>
      <c r="C12" s="201"/>
      <c r="D12" s="339" t="s">
        <v>463</v>
      </c>
      <c r="E12" s="202" t="s">
        <v>138</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2</v>
      </c>
      <c r="I14" s="366" t="s">
        <v>29</v>
      </c>
      <c r="J14" s="366">
        <v>0</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2</v>
      </c>
      <c r="I15" s="366" t="s">
        <v>29</v>
      </c>
      <c r="J15" s="366">
        <v>1</v>
      </c>
      <c r="K15" s="212" t="str">
        <f t="shared" si="5"/>
        <v>1</v>
      </c>
      <c r="L15" s="210" t="str">
        <f>VLOOKUP($B15,Invulblad!$A$11:$S$103,13,0)</f>
        <v>1</v>
      </c>
      <c r="M15" s="211">
        <f>IF(L15&lt;&gt;"",VLOOKUP($B15,Invulblad!$A$11:$S$103,7,0),"")</f>
        <v>1</v>
      </c>
      <c r="N15" s="209" t="s">
        <v>29</v>
      </c>
      <c r="O15" s="211">
        <f>IF(L15&lt;&gt;"",VLOOKUP($B15,Invulblad!$A$11:$S$103,9,0),"")</f>
        <v>0</v>
      </c>
      <c r="P15" s="212">
        <f t="shared" si="6"/>
        <v>5</v>
      </c>
    </row>
    <row r="16" spans="1:21">
      <c r="A16" s="188">
        <v>3</v>
      </c>
      <c r="B16" s="195">
        <v>17</v>
      </c>
      <c r="C16" s="332">
        <v>41807</v>
      </c>
      <c r="D16" s="333">
        <v>0.875</v>
      </c>
      <c r="E16" s="189" t="s">
        <v>557</v>
      </c>
      <c r="F16" s="189" t="s">
        <v>29</v>
      </c>
      <c r="G16" s="189" t="s">
        <v>96</v>
      </c>
      <c r="H16" s="366">
        <v>2</v>
      </c>
      <c r="I16" s="366" t="s">
        <v>29</v>
      </c>
      <c r="J16" s="366">
        <v>1</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1</v>
      </c>
      <c r="I17" s="366" t="s">
        <v>29</v>
      </c>
      <c r="J17" s="366">
        <v>2</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0</v>
      </c>
      <c r="I18" s="366" t="s">
        <v>29</v>
      </c>
      <c r="J18" s="366">
        <v>3</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2</v>
      </c>
      <c r="I19" s="366" t="s">
        <v>29</v>
      </c>
      <c r="J19" s="366">
        <v>2</v>
      </c>
      <c r="K19" s="212">
        <f t="shared" si="5"/>
        <v>3</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3</v>
      </c>
      <c r="I22" s="366" t="s">
        <v>29</v>
      </c>
      <c r="J22" s="366">
        <v>1</v>
      </c>
      <c r="K22" s="212" t="str">
        <f t="shared" si="5"/>
        <v>1</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2</v>
      </c>
      <c r="I23" s="366" t="s">
        <v>29</v>
      </c>
      <c r="J23" s="366">
        <v>1</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3</v>
      </c>
      <c r="I24" s="366" t="s">
        <v>29</v>
      </c>
      <c r="J24" s="366">
        <v>1</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1</v>
      </c>
      <c r="I25" s="366" t="s">
        <v>29</v>
      </c>
      <c r="J25" s="366">
        <v>3</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0</v>
      </c>
      <c r="I26" s="366" t="s">
        <v>29</v>
      </c>
      <c r="J26" s="366">
        <v>4</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2</v>
      </c>
      <c r="I27" s="366" t="s">
        <v>29</v>
      </c>
      <c r="J27" s="366">
        <v>2</v>
      </c>
      <c r="K27" s="212">
        <f t="shared" si="5"/>
        <v>3</v>
      </c>
      <c r="L27" s="210" t="str">
        <f>VLOOKUP($B27,Invulblad!$A$11:$S$103,13,0)</f>
        <v>1</v>
      </c>
      <c r="M27" s="211">
        <f>IF(L27&lt;&gt;"",VLOOKUP($B27,Invulblad!$A$11:$S$103,7,0),"")</f>
        <v>2</v>
      </c>
      <c r="N27" s="209" t="s">
        <v>29</v>
      </c>
      <c r="O27" s="211">
        <f>IF(L27&lt;&gt;"",VLOOKUP($B27,Invulblad!$A$11:$S$103,9,0),"")</f>
        <v>0</v>
      </c>
      <c r="P27" s="212">
        <f t="shared" si="7"/>
        <v>0</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1</v>
      </c>
      <c r="I30" s="366" t="s">
        <v>29</v>
      </c>
      <c r="J30" s="366">
        <v>1</v>
      </c>
      <c r="K30" s="212">
        <f t="shared" si="5"/>
        <v>3</v>
      </c>
      <c r="L30" s="210" t="str">
        <f>VLOOKUP($B30,Invulblad!$A$11:$S$103,13,0)</f>
        <v>1</v>
      </c>
      <c r="M30" s="211">
        <f>IF(L30&lt;&gt;"",VLOOKUP($B30,Invulblad!$A$11:$S$103,7,0),"")</f>
        <v>3</v>
      </c>
      <c r="N30" s="209" t="s">
        <v>29</v>
      </c>
      <c r="O30" s="211">
        <f>IF(L30&lt;&gt;"",VLOOKUP($B30,Invulblad!$A$11:$S$103,9,0),"")</f>
        <v>0</v>
      </c>
      <c r="P30" s="212">
        <f t="shared" ref="P30:P35" si="8">IF(L30&lt;&gt;"",IF(AND(M30=H30,O30=J30),10,IF(K30=L30,5,0)),"")</f>
        <v>0</v>
      </c>
    </row>
    <row r="31" spans="1:16">
      <c r="A31" s="188">
        <v>18</v>
      </c>
      <c r="B31" s="195">
        <v>6</v>
      </c>
      <c r="C31" s="332">
        <v>41805</v>
      </c>
      <c r="D31" s="333">
        <v>0.125</v>
      </c>
      <c r="E31" s="189" t="s">
        <v>123</v>
      </c>
      <c r="F31" s="189" t="s">
        <v>29</v>
      </c>
      <c r="G31" s="189" t="s">
        <v>120</v>
      </c>
      <c r="H31" s="366">
        <v>2</v>
      </c>
      <c r="I31" s="366" t="s">
        <v>29</v>
      </c>
      <c r="J31" s="366">
        <v>1</v>
      </c>
      <c r="K31" s="212" t="str">
        <f t="shared" si="5"/>
        <v>1</v>
      </c>
      <c r="L31" s="210" t="str">
        <f>VLOOKUP($B31,Invulblad!$A$11:$S$103,13,0)</f>
        <v>1</v>
      </c>
      <c r="M31" s="211">
        <f>IF(L31&lt;&gt;"",VLOOKUP($B31,Invulblad!$A$11:$S$103,7,0),"")</f>
        <v>2</v>
      </c>
      <c r="N31" s="209" t="s">
        <v>29</v>
      </c>
      <c r="O31" s="211">
        <f>IF(L31&lt;&gt;"",VLOOKUP($B31,Invulblad!$A$11:$S$103,9,0),"")</f>
        <v>1</v>
      </c>
      <c r="P31" s="212">
        <f t="shared" si="8"/>
        <v>10</v>
      </c>
    </row>
    <row r="32" spans="1:16">
      <c r="A32" s="188">
        <v>19</v>
      </c>
      <c r="B32" s="195">
        <v>21</v>
      </c>
      <c r="C32" s="332">
        <v>41809</v>
      </c>
      <c r="D32" s="333">
        <v>0.75</v>
      </c>
      <c r="E32" s="189" t="s">
        <v>428</v>
      </c>
      <c r="F32" s="189" t="s">
        <v>29</v>
      </c>
      <c r="G32" s="189" t="s">
        <v>125</v>
      </c>
      <c r="H32" s="366">
        <v>2</v>
      </c>
      <c r="I32" s="366" t="s">
        <v>29</v>
      </c>
      <c r="J32" s="366">
        <v>1</v>
      </c>
      <c r="K32" s="212" t="str">
        <f t="shared" si="5"/>
        <v>1</v>
      </c>
      <c r="L32" s="210" t="str">
        <f>VLOOKUP($B32,Invulblad!$A$11:$S$103,13,0)</f>
        <v>1</v>
      </c>
      <c r="M32" s="211">
        <f>IF(L32&lt;&gt;"",VLOOKUP($B32,Invulblad!$A$11:$S$103,7,0),"")</f>
        <v>2</v>
      </c>
      <c r="N32" s="209" t="s">
        <v>29</v>
      </c>
      <c r="O32" s="211">
        <f>IF(L32&lt;&gt;"",VLOOKUP($B32,Invulblad!$A$11:$S$103,9,0),"")</f>
        <v>1</v>
      </c>
      <c r="P32" s="212">
        <f t="shared" si="8"/>
        <v>10</v>
      </c>
    </row>
    <row r="33" spans="1:16">
      <c r="A33" s="188">
        <v>20</v>
      </c>
      <c r="B33" s="195">
        <v>22</v>
      </c>
      <c r="C33" s="332">
        <v>41810</v>
      </c>
      <c r="D33" s="333">
        <v>0</v>
      </c>
      <c r="E33" s="189" t="s">
        <v>118</v>
      </c>
      <c r="F33" s="189" t="s">
        <v>29</v>
      </c>
      <c r="G33" s="189" t="s">
        <v>105</v>
      </c>
      <c r="H33" s="366">
        <v>0</v>
      </c>
      <c r="I33" s="366" t="s">
        <v>29</v>
      </c>
      <c r="J33" s="366">
        <v>2</v>
      </c>
      <c r="K33" s="212">
        <f t="shared" si="5"/>
        <v>2</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0</v>
      </c>
      <c r="I34" s="366" t="s">
        <v>29</v>
      </c>
      <c r="J34" s="366">
        <v>3</v>
      </c>
      <c r="K34" s="212">
        <f t="shared" si="5"/>
        <v>2</v>
      </c>
      <c r="L34" s="210">
        <f>VLOOKUP($B34,Invulblad!$A$11:$S$103,13,0)</f>
        <v>2</v>
      </c>
      <c r="M34" s="211">
        <f>IF(L34&lt;&gt;"",VLOOKUP($B34,Invulblad!$A$11:$S$103,7,0),"")</f>
        <v>1</v>
      </c>
      <c r="N34" s="209" t="s">
        <v>29</v>
      </c>
      <c r="O34" s="211">
        <f>IF(L34&lt;&gt;"",VLOOKUP($B34,Invulblad!$A$11:$S$103,9,0),"")</f>
        <v>4</v>
      </c>
      <c r="P34" s="212">
        <f t="shared" si="8"/>
        <v>5</v>
      </c>
    </row>
    <row r="35" spans="1:16">
      <c r="A35" s="188">
        <v>22</v>
      </c>
      <c r="B35" s="195">
        <v>38</v>
      </c>
      <c r="C35" s="332">
        <v>41814</v>
      </c>
      <c r="D35" s="333">
        <v>0.91666666666666663</v>
      </c>
      <c r="E35" s="189" t="s">
        <v>233</v>
      </c>
      <c r="F35" s="189" t="s">
        <v>29</v>
      </c>
      <c r="G35" s="189" t="s">
        <v>125</v>
      </c>
      <c r="H35" s="366">
        <v>2</v>
      </c>
      <c r="I35" s="366" t="s">
        <v>29</v>
      </c>
      <c r="J35" s="366">
        <v>0</v>
      </c>
      <c r="K35" s="212" t="str">
        <f t="shared" si="5"/>
        <v>1</v>
      </c>
      <c r="L35" s="210" t="str">
        <f>VLOOKUP($B35,Invulblad!$A$11:$S$103,13,0)</f>
        <v>1</v>
      </c>
      <c r="M35" s="211">
        <f>IF(L35&lt;&gt;"",VLOOKUP($B35,Invulblad!$A$11:$S$103,7,0),"")</f>
        <v>2</v>
      </c>
      <c r="N35" s="209" t="s">
        <v>29</v>
      </c>
      <c r="O35" s="211">
        <f>IF(L35&lt;&gt;"",VLOOKUP($B35,Invulblad!$A$11:$S$103,9,0),"")</f>
        <v>1</v>
      </c>
      <c r="P35" s="212">
        <f t="shared" si="8"/>
        <v>5</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3</v>
      </c>
      <c r="I38" s="366" t="s">
        <v>29</v>
      </c>
      <c r="J38" s="366">
        <v>1</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1</v>
      </c>
      <c r="K39" s="212">
        <f t="shared" si="5"/>
        <v>3</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2</v>
      </c>
      <c r="I40" s="366" t="s">
        <v>29</v>
      </c>
      <c r="J40" s="366">
        <v>2</v>
      </c>
      <c r="K40" s="212">
        <f t="shared" si="5"/>
        <v>3</v>
      </c>
      <c r="L40" s="210" t="str">
        <f>VLOOKUP($B40,Invulblad!$A$11:$S$103,13,0)</f>
        <v>1</v>
      </c>
      <c r="M40" s="211">
        <f>IF(L40&lt;&gt;"",VLOOKUP($B40,Invulblad!$A$11:$S$103,7,0),"")</f>
        <v>2</v>
      </c>
      <c r="N40" s="209" t="s">
        <v>29</v>
      </c>
      <c r="O40" s="211">
        <f>IF(L40&lt;&gt;"",VLOOKUP($B40,Invulblad!$A$11:$S$103,9,0),"")</f>
        <v>1</v>
      </c>
      <c r="P40" s="212">
        <f t="shared" si="9"/>
        <v>0</v>
      </c>
    </row>
    <row r="41" spans="1:16">
      <c r="A41" s="188">
        <v>28</v>
      </c>
      <c r="B41" s="195">
        <v>24</v>
      </c>
      <c r="C41" s="332">
        <v>41810</v>
      </c>
      <c r="D41" s="333">
        <v>0.75</v>
      </c>
      <c r="E41" s="189" t="s">
        <v>564</v>
      </c>
      <c r="F41" s="189" t="s">
        <v>29</v>
      </c>
      <c r="G41" s="189" t="s">
        <v>430</v>
      </c>
      <c r="H41" s="366">
        <v>2</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1</v>
      </c>
      <c r="I42" s="366" t="s">
        <v>29</v>
      </c>
      <c r="J42" s="366">
        <v>1</v>
      </c>
      <c r="K42" s="212">
        <f t="shared" si="5"/>
        <v>3</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1</v>
      </c>
      <c r="I43" s="366" t="s">
        <v>29</v>
      </c>
      <c r="J43" s="366">
        <v>2</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2</v>
      </c>
      <c r="I46" s="366" t="s">
        <v>29</v>
      </c>
      <c r="J46" s="366">
        <v>0</v>
      </c>
      <c r="K46" s="212" t="str">
        <f t="shared" si="5"/>
        <v>1</v>
      </c>
      <c r="L46" s="210" t="str">
        <f>VLOOKUP($B46,Invulblad!$A$11:$S$103,13,0)</f>
        <v>1</v>
      </c>
      <c r="M46" s="211">
        <f>IF(L46&lt;&gt;"",VLOOKUP($B46,Invulblad!$A$11:$S$103,7,0),"")</f>
        <v>2</v>
      </c>
      <c r="N46" s="209" t="s">
        <v>29</v>
      </c>
      <c r="O46" s="211">
        <f>IF(L46&lt;&gt;"",VLOOKUP($B46,Invulblad!$A$11:$S$103,9,0),"")</f>
        <v>1</v>
      </c>
      <c r="P46" s="212">
        <f t="shared" ref="P46:P51" si="10">IF(L46&lt;&gt;"",IF(AND(M46=H46,O46=J46),10,IF(K46=L46,5,0)),"")</f>
        <v>5</v>
      </c>
    </row>
    <row r="47" spans="1:16">
      <c r="A47" s="188">
        <v>34</v>
      </c>
      <c r="B47" s="195">
        <v>10</v>
      </c>
      <c r="C47" s="332">
        <v>41805</v>
      </c>
      <c r="D47" s="333">
        <v>0.875</v>
      </c>
      <c r="E47" s="189" t="s">
        <v>100</v>
      </c>
      <c r="F47" s="189" t="s">
        <v>29</v>
      </c>
      <c r="G47" s="189" t="s">
        <v>132</v>
      </c>
      <c r="H47" s="366">
        <v>2</v>
      </c>
      <c r="I47" s="366" t="s">
        <v>29</v>
      </c>
      <c r="J47" s="366">
        <v>1</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2</v>
      </c>
      <c r="I48" s="366" t="s">
        <v>29</v>
      </c>
      <c r="J48" s="366">
        <v>1</v>
      </c>
      <c r="K48" s="212" t="str">
        <f t="shared" si="5"/>
        <v>1</v>
      </c>
      <c r="L48" s="210">
        <f>VLOOKUP($B48,Invulblad!$A$11:$S$103,13,0)</f>
        <v>2</v>
      </c>
      <c r="M48" s="211">
        <f>IF(L48&lt;&gt;"",VLOOKUP($B48,Invulblad!$A$11:$S$103,7,0),"")</f>
        <v>2</v>
      </c>
      <c r="N48" s="209" t="s">
        <v>29</v>
      </c>
      <c r="O48" s="211">
        <f>IF(L48&lt;&gt;"",VLOOKUP($B48,Invulblad!$A$11:$S$103,9,0),"")</f>
        <v>5</v>
      </c>
      <c r="P48" s="212">
        <f t="shared" si="10"/>
        <v>0</v>
      </c>
    </row>
    <row r="49" spans="1:16">
      <c r="A49" s="188">
        <v>36</v>
      </c>
      <c r="B49" s="195">
        <v>26</v>
      </c>
      <c r="C49" s="332">
        <v>41811</v>
      </c>
      <c r="D49" s="333">
        <v>0</v>
      </c>
      <c r="E49" s="189" t="s">
        <v>127</v>
      </c>
      <c r="F49" s="189" t="s">
        <v>29</v>
      </c>
      <c r="G49" s="189" t="s">
        <v>434</v>
      </c>
      <c r="H49" s="366">
        <v>1</v>
      </c>
      <c r="I49" s="366" t="s">
        <v>29</v>
      </c>
      <c r="J49" s="366">
        <v>1</v>
      </c>
      <c r="K49" s="212">
        <f t="shared" si="5"/>
        <v>3</v>
      </c>
      <c r="L49" s="210">
        <f>VLOOKUP($B49,Invulblad!$A$11:$S$103,13,0)</f>
        <v>2</v>
      </c>
      <c r="M49" s="211">
        <f>IF(L49&lt;&gt;"",VLOOKUP($B49,Invulblad!$A$11:$S$103,7,0),"")</f>
        <v>1</v>
      </c>
      <c r="N49" s="209" t="s">
        <v>29</v>
      </c>
      <c r="O49" s="211">
        <f>IF(L49&lt;&gt;"",VLOOKUP($B49,Invulblad!$A$11:$S$103,9,0),"")</f>
        <v>2</v>
      </c>
      <c r="P49" s="212">
        <f t="shared" si="10"/>
        <v>0</v>
      </c>
    </row>
    <row r="50" spans="1:16">
      <c r="A50" s="188">
        <v>37</v>
      </c>
      <c r="B50" s="195">
        <v>41</v>
      </c>
      <c r="C50" s="332">
        <v>41815</v>
      </c>
      <c r="D50" s="333">
        <v>0.91666666666666663</v>
      </c>
      <c r="E50" s="189" t="s">
        <v>127</v>
      </c>
      <c r="F50" s="189" t="s">
        <v>29</v>
      </c>
      <c r="G50" s="189" t="s">
        <v>130</v>
      </c>
      <c r="H50" s="366">
        <v>0</v>
      </c>
      <c r="I50" s="366" t="s">
        <v>29</v>
      </c>
      <c r="J50" s="366">
        <v>2</v>
      </c>
      <c r="K50" s="212">
        <f t="shared" ref="K50:K85" si="11">IF(AND(H50="",J50=""),"",IF(OR(H50="",J50=""),"FOUT",IF(H50&gt;J50,"1",IF(H50=J50,3,2))))</f>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1</v>
      </c>
      <c r="I51" s="366" t="s">
        <v>29</v>
      </c>
      <c r="J51" s="366">
        <v>2</v>
      </c>
      <c r="K51" s="212">
        <f t="shared" si="11"/>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367"/>
      <c r="I52" s="367"/>
      <c r="J52" s="367"/>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2</v>
      </c>
      <c r="I54" s="366" t="s">
        <v>29</v>
      </c>
      <c r="J54" s="366">
        <v>1</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10</v>
      </c>
    </row>
    <row r="55" spans="1:16">
      <c r="A55" s="188">
        <v>42</v>
      </c>
      <c r="B55" s="195">
        <v>12</v>
      </c>
      <c r="C55" s="332">
        <v>41806</v>
      </c>
      <c r="D55" s="333">
        <v>0.875</v>
      </c>
      <c r="E55" s="189" t="s">
        <v>438</v>
      </c>
      <c r="F55" s="189" t="s">
        <v>29</v>
      </c>
      <c r="G55" s="189" t="s">
        <v>103</v>
      </c>
      <c r="H55" s="366">
        <v>1</v>
      </c>
      <c r="I55" s="366" t="s">
        <v>29</v>
      </c>
      <c r="J55" s="366">
        <v>1</v>
      </c>
      <c r="K55" s="212">
        <f t="shared" si="11"/>
        <v>3</v>
      </c>
      <c r="L55" s="210">
        <f>VLOOKUP($B55,Invulblad!$A$11:$S$103,13,0)</f>
        <v>3</v>
      </c>
      <c r="M55" s="211">
        <f>IF(L55&lt;&gt;"",VLOOKUP($B55,Invulblad!$A$11:$S$103,7,0),"")</f>
        <v>0</v>
      </c>
      <c r="N55" s="209" t="s">
        <v>29</v>
      </c>
      <c r="O55" s="211">
        <f>IF(L55&lt;&gt;"",VLOOKUP($B55,Invulblad!$A$11:$S$103,9,0),"")</f>
        <v>0</v>
      </c>
      <c r="P55" s="212">
        <f t="shared" si="12"/>
        <v>5</v>
      </c>
    </row>
    <row r="56" spans="1:16">
      <c r="A56" s="188">
        <v>43</v>
      </c>
      <c r="B56" s="195">
        <v>27</v>
      </c>
      <c r="C56" s="332">
        <v>41811</v>
      </c>
      <c r="D56" s="333">
        <v>0.75</v>
      </c>
      <c r="E56" s="189" t="s">
        <v>565</v>
      </c>
      <c r="F56" s="189" t="s">
        <v>29</v>
      </c>
      <c r="G56" s="189" t="s">
        <v>439</v>
      </c>
      <c r="H56" s="366">
        <v>2</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1</v>
      </c>
      <c r="I57" s="366" t="s">
        <v>29</v>
      </c>
      <c r="J57" s="366">
        <v>2</v>
      </c>
      <c r="K57" s="212">
        <f t="shared" si="11"/>
        <v>2</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0</v>
      </c>
      <c r="I58" s="366" t="s">
        <v>29</v>
      </c>
      <c r="J58" s="366">
        <v>3</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1</v>
      </c>
      <c r="I59" s="366" t="s">
        <v>29</v>
      </c>
      <c r="J59" s="366">
        <v>1</v>
      </c>
      <c r="K59" s="212">
        <f t="shared" si="11"/>
        <v>3</v>
      </c>
      <c r="L59" s="210" t="str">
        <f>VLOOKUP($B59,Invulblad!$A$11:$S$103,13,0)</f>
        <v>1</v>
      </c>
      <c r="M59" s="211">
        <f>IF(L59&lt;&gt;"",VLOOKUP($B59,Invulblad!$A$11:$S$103,7,0),"")</f>
        <v>3</v>
      </c>
      <c r="N59" s="209" t="s">
        <v>29</v>
      </c>
      <c r="O59" s="211">
        <f>IF(L59&lt;&gt;"",VLOOKUP($B59,Invulblad!$A$11:$S$103,9,0),"")</f>
        <v>1</v>
      </c>
      <c r="P59" s="212">
        <f t="shared" si="12"/>
        <v>0</v>
      </c>
    </row>
    <row r="60" spans="1:16">
      <c r="A60" s="188">
        <v>47</v>
      </c>
      <c r="B60" s="201" t="s">
        <v>36</v>
      </c>
      <c r="H60" s="367"/>
      <c r="I60" s="367"/>
      <c r="J60" s="367"/>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1</v>
      </c>
      <c r="I62" s="366" t="s">
        <v>29</v>
      </c>
      <c r="J62" s="366">
        <v>1</v>
      </c>
      <c r="K62" s="212">
        <f t="shared" si="11"/>
        <v>3</v>
      </c>
      <c r="L62" s="210" t="str">
        <f>VLOOKUP($B62,Invulblad!$A$11:$S$103,13,0)</f>
        <v>1</v>
      </c>
      <c r="M62" s="211">
        <f>IF(L62&lt;&gt;"",VLOOKUP($B62,Invulblad!$A$11:$S$103,7,0),"")</f>
        <v>4</v>
      </c>
      <c r="N62" s="209" t="s">
        <v>29</v>
      </c>
      <c r="O62" s="211">
        <f>IF(L62&lt;&gt;"",VLOOKUP($B62,Invulblad!$A$11:$S$103,9,0),"")</f>
        <v>0</v>
      </c>
      <c r="P62" s="212">
        <f t="shared" ref="P62:P67" si="13">IF(L62&lt;&gt;"",IF(AND(M62=H62,O62=J62),10,IF(K62=L62,5,0)),"")</f>
        <v>0</v>
      </c>
    </row>
    <row r="63" spans="1:16">
      <c r="A63" s="188">
        <v>50</v>
      </c>
      <c r="B63" s="195">
        <v>14</v>
      </c>
      <c r="C63" s="332">
        <v>41807</v>
      </c>
      <c r="D63" s="333">
        <v>0</v>
      </c>
      <c r="E63" s="189" t="s">
        <v>115</v>
      </c>
      <c r="F63" s="189" t="s">
        <v>29</v>
      </c>
      <c r="G63" s="189" t="s">
        <v>577</v>
      </c>
      <c r="H63" s="366">
        <v>1</v>
      </c>
      <c r="I63" s="366" t="s">
        <v>29</v>
      </c>
      <c r="J63" s="366">
        <v>2</v>
      </c>
      <c r="K63" s="212">
        <f t="shared" si="11"/>
        <v>2</v>
      </c>
      <c r="L63" s="210">
        <f>VLOOKUP($B63,Invulblad!$A$11:$S$103,13,0)</f>
        <v>2</v>
      </c>
      <c r="M63" s="211">
        <f>IF(L63&lt;&gt;"",VLOOKUP($B63,Invulblad!$A$11:$S$103,7,0),"")</f>
        <v>1</v>
      </c>
      <c r="N63" s="209" t="s">
        <v>29</v>
      </c>
      <c r="O63" s="211">
        <f>IF(L63&lt;&gt;"",VLOOKUP($B63,Invulblad!$A$11:$S$103,9,0),"")</f>
        <v>2</v>
      </c>
      <c r="P63" s="212">
        <f t="shared" si="13"/>
        <v>10</v>
      </c>
    </row>
    <row r="64" spans="1:16">
      <c r="A64" s="188">
        <v>51</v>
      </c>
      <c r="B64" s="195">
        <v>29</v>
      </c>
      <c r="C64" s="332">
        <v>41811</v>
      </c>
      <c r="D64" s="333">
        <v>0.875</v>
      </c>
      <c r="E64" s="189" t="s">
        <v>113</v>
      </c>
      <c r="F64" s="189" t="s">
        <v>29</v>
      </c>
      <c r="G64" s="189" t="s">
        <v>114</v>
      </c>
      <c r="H64" s="366">
        <v>3</v>
      </c>
      <c r="I64" s="366" t="s">
        <v>29</v>
      </c>
      <c r="J64" s="366">
        <v>0</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1</v>
      </c>
      <c r="I65" s="366" t="s">
        <v>29</v>
      </c>
      <c r="J65" s="366">
        <v>2</v>
      </c>
      <c r="K65" s="212">
        <f t="shared" si="11"/>
        <v>2</v>
      </c>
      <c r="L65" s="210">
        <f>VLOOKUP($B65,Invulblad!$A$11:$S$103,13,0)</f>
        <v>3</v>
      </c>
      <c r="M65" s="211">
        <f>IF(L65&lt;&gt;"",VLOOKUP($B65,Invulblad!$A$11:$S$103,7,0),"")</f>
        <v>2</v>
      </c>
      <c r="N65" s="209" t="s">
        <v>29</v>
      </c>
      <c r="O65" s="211">
        <f>IF(L65&lt;&gt;"",VLOOKUP($B65,Invulblad!$A$11:$S$103,9,0),"")</f>
        <v>2</v>
      </c>
      <c r="P65" s="212">
        <f t="shared" si="13"/>
        <v>0</v>
      </c>
    </row>
    <row r="66" spans="1:16">
      <c r="A66" s="188">
        <v>53</v>
      </c>
      <c r="B66" s="195">
        <v>45</v>
      </c>
      <c r="C66" s="332">
        <v>41816</v>
      </c>
      <c r="D66" s="333">
        <v>0.75</v>
      </c>
      <c r="E66" s="189" t="s">
        <v>578</v>
      </c>
      <c r="F66" s="189" t="s">
        <v>29</v>
      </c>
      <c r="G66" s="189" t="s">
        <v>116</v>
      </c>
      <c r="H66" s="366">
        <v>1</v>
      </c>
      <c r="I66" s="366" t="s">
        <v>29</v>
      </c>
      <c r="J66" s="366">
        <v>2</v>
      </c>
      <c r="K66" s="212">
        <f t="shared" si="11"/>
        <v>2</v>
      </c>
      <c r="L66" s="210">
        <f>VLOOKUP($B66,Invulblad!$A$11:$S$103,13,0)</f>
        <v>2</v>
      </c>
      <c r="M66" s="211">
        <f>IF(L66&lt;&gt;"",VLOOKUP($B66,Invulblad!$A$11:$S$103,7,0),"")</f>
        <v>0</v>
      </c>
      <c r="N66" s="209" t="s">
        <v>29</v>
      </c>
      <c r="O66" s="211">
        <f>IF(L66&lt;&gt;"",VLOOKUP($B66,Invulblad!$A$11:$S$103,9,0),"")</f>
        <v>1</v>
      </c>
      <c r="P66" s="212">
        <f t="shared" si="13"/>
        <v>5</v>
      </c>
    </row>
    <row r="67" spans="1:16">
      <c r="A67" s="188">
        <v>54</v>
      </c>
      <c r="B67" s="195">
        <v>46</v>
      </c>
      <c r="C67" s="332">
        <v>41816</v>
      </c>
      <c r="D67" s="333">
        <v>0.75</v>
      </c>
      <c r="E67" s="189" t="s">
        <v>126</v>
      </c>
      <c r="F67" s="189" t="s">
        <v>29</v>
      </c>
      <c r="G67" s="189" t="s">
        <v>114</v>
      </c>
      <c r="H67" s="366">
        <v>2</v>
      </c>
      <c r="I67" s="366" t="s">
        <v>29</v>
      </c>
      <c r="J67" s="366">
        <v>0</v>
      </c>
      <c r="K67" s="212" t="str">
        <f t="shared" si="11"/>
        <v>1</v>
      </c>
      <c r="L67" s="210" t="str">
        <f>VLOOKUP($B67,Invulblad!$A$11:$S$103,13,0)</f>
        <v>1</v>
      </c>
      <c r="M67" s="211">
        <f>IF(L67&lt;&gt;"",VLOOKUP($B67,Invulblad!$A$11:$S$103,7,0),"")</f>
        <v>2</v>
      </c>
      <c r="N67" s="209" t="s">
        <v>29</v>
      </c>
      <c r="O67" s="211">
        <f>IF(L67&lt;&gt;"",VLOOKUP($B67,Invulblad!$A$11:$S$103,9,0),"")</f>
        <v>1</v>
      </c>
      <c r="P67" s="212">
        <f t="shared" si="13"/>
        <v>5</v>
      </c>
    </row>
    <row r="68" spans="1:16">
      <c r="A68" s="188">
        <v>55</v>
      </c>
      <c r="B68" s="201" t="s">
        <v>37</v>
      </c>
      <c r="H68" s="367"/>
      <c r="I68" s="367"/>
      <c r="J68" s="367"/>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2</v>
      </c>
      <c r="I70" s="366" t="s">
        <v>29</v>
      </c>
      <c r="J70" s="366">
        <v>1</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10</v>
      </c>
    </row>
    <row r="71" spans="1:16">
      <c r="A71" s="188">
        <v>58</v>
      </c>
      <c r="B71" s="195">
        <v>16</v>
      </c>
      <c r="C71" s="332">
        <v>41808</v>
      </c>
      <c r="D71" s="333">
        <v>0</v>
      </c>
      <c r="E71" s="189" t="s">
        <v>445</v>
      </c>
      <c r="F71" s="189" t="s">
        <v>29</v>
      </c>
      <c r="G71" s="189" t="s">
        <v>107</v>
      </c>
      <c r="H71" s="366">
        <v>2</v>
      </c>
      <c r="I71" s="366" t="s">
        <v>29</v>
      </c>
      <c r="J71" s="366">
        <v>1</v>
      </c>
      <c r="K71" s="212" t="str">
        <f t="shared" si="11"/>
        <v>1</v>
      </c>
      <c r="L71" s="210">
        <f>VLOOKUP($B71,Invulblad!$A$11:$S$103,13,0)</f>
        <v>3</v>
      </c>
      <c r="M71" s="211">
        <f>IF(L71&lt;&gt;"",VLOOKUP($B71,Invulblad!$A$11:$S$103,7,0),"")</f>
        <v>1</v>
      </c>
      <c r="N71" s="209" t="s">
        <v>29</v>
      </c>
      <c r="O71" s="211">
        <f>IF(L71&lt;&gt;"",VLOOKUP($B71,Invulblad!$A$11:$S$103,9,0),"")</f>
        <v>1</v>
      </c>
      <c r="P71" s="212">
        <f t="shared" si="14"/>
        <v>0</v>
      </c>
    </row>
    <row r="72" spans="1:16">
      <c r="A72" s="188">
        <v>59</v>
      </c>
      <c r="B72" s="195">
        <v>31</v>
      </c>
      <c r="C72" s="332">
        <v>41812</v>
      </c>
      <c r="D72" s="333">
        <v>0.75</v>
      </c>
      <c r="E72" s="189" t="s">
        <v>569</v>
      </c>
      <c r="F72" s="189" t="s">
        <v>29</v>
      </c>
      <c r="G72" s="189" t="s">
        <v>446</v>
      </c>
      <c r="H72" s="366">
        <v>2</v>
      </c>
      <c r="I72" s="366" t="s">
        <v>29</v>
      </c>
      <c r="J72" s="366">
        <v>1</v>
      </c>
      <c r="K72" s="212" t="str">
        <f t="shared" si="11"/>
        <v>1</v>
      </c>
      <c r="L72" s="210" t="str">
        <f>VLOOKUP($B72,Invulblad!$A$11:$S$103,13,0)</f>
        <v>1</v>
      </c>
      <c r="M72" s="211">
        <f>IF(L72&lt;&gt;"",VLOOKUP($B72,Invulblad!$A$11:$S$103,7,0),"")</f>
        <v>1</v>
      </c>
      <c r="N72" s="209" t="s">
        <v>29</v>
      </c>
      <c r="O72" s="211">
        <f>IF(L72&lt;&gt;"",VLOOKUP($B72,Invulblad!$A$11:$S$103,9,0),"")</f>
        <v>0</v>
      </c>
      <c r="P72" s="212">
        <f t="shared" si="14"/>
        <v>5</v>
      </c>
    </row>
    <row r="73" spans="1:16">
      <c r="A73" s="188">
        <v>60</v>
      </c>
      <c r="B73" s="195">
        <v>32</v>
      </c>
      <c r="C73" s="332">
        <v>41812</v>
      </c>
      <c r="D73" s="333">
        <v>0.875</v>
      </c>
      <c r="E73" s="189" t="s">
        <v>232</v>
      </c>
      <c r="F73" s="189" t="s">
        <v>29</v>
      </c>
      <c r="G73" s="189" t="s">
        <v>111</v>
      </c>
      <c r="H73" s="366">
        <v>1</v>
      </c>
      <c r="I73" s="366" t="s">
        <v>29</v>
      </c>
      <c r="J73" s="366">
        <v>2</v>
      </c>
      <c r="K73" s="212">
        <f t="shared" si="11"/>
        <v>2</v>
      </c>
      <c r="L73" s="210">
        <f>VLOOKUP($B73,Invulblad!$A$11:$S$103,13,0)</f>
        <v>2</v>
      </c>
      <c r="M73" s="211">
        <f>IF(L73&lt;&gt;"",VLOOKUP($B73,Invulblad!$A$11:$S$103,7,0),"")</f>
        <v>2</v>
      </c>
      <c r="N73" s="209" t="s">
        <v>29</v>
      </c>
      <c r="O73" s="211">
        <f>IF(L73&lt;&gt;"",VLOOKUP($B73,Invulblad!$A$11:$S$103,9,0),"")</f>
        <v>4</v>
      </c>
      <c r="P73" s="212">
        <f t="shared" si="14"/>
        <v>5</v>
      </c>
    </row>
    <row r="74" spans="1:16">
      <c r="A74" s="188">
        <v>61</v>
      </c>
      <c r="B74" s="195">
        <v>47</v>
      </c>
      <c r="C74" s="332">
        <v>41816</v>
      </c>
      <c r="D74" s="333">
        <v>0.91666666666666663</v>
      </c>
      <c r="E74" s="189" t="s">
        <v>232</v>
      </c>
      <c r="F74" s="189" t="s">
        <v>29</v>
      </c>
      <c r="G74" s="189" t="s">
        <v>570</v>
      </c>
      <c r="H74" s="366">
        <v>0</v>
      </c>
      <c r="I74" s="366" t="s">
        <v>29</v>
      </c>
      <c r="J74" s="366">
        <v>2</v>
      </c>
      <c r="K74" s="212">
        <f t="shared" si="11"/>
        <v>2</v>
      </c>
      <c r="L74" s="210">
        <f>VLOOKUP($B74,Invulblad!$A$11:$S$103,13,0)</f>
        <v>2</v>
      </c>
      <c r="M74" s="211">
        <f>IF(L74&lt;&gt;"",VLOOKUP($B74,Invulblad!$A$11:$S$103,7,0),"")</f>
        <v>0</v>
      </c>
      <c r="N74" s="209" t="s">
        <v>29</v>
      </c>
      <c r="O74" s="211">
        <f>IF(L74&lt;&gt;"",VLOOKUP($B74,Invulblad!$A$11:$S$103,9,0),"")</f>
        <v>1</v>
      </c>
      <c r="P74" s="212">
        <f t="shared" si="14"/>
        <v>5</v>
      </c>
    </row>
    <row r="75" spans="1:16">
      <c r="A75" s="188">
        <v>62</v>
      </c>
      <c r="B75" s="195">
        <v>48</v>
      </c>
      <c r="C75" s="332">
        <v>41816</v>
      </c>
      <c r="D75" s="333">
        <v>0.91666666666666663</v>
      </c>
      <c r="E75" s="189" t="s">
        <v>236</v>
      </c>
      <c r="F75" s="189" t="s">
        <v>29</v>
      </c>
      <c r="G75" s="189" t="s">
        <v>446</v>
      </c>
      <c r="H75" s="366">
        <v>1</v>
      </c>
      <c r="I75" s="366" t="s">
        <v>29</v>
      </c>
      <c r="J75" s="366">
        <v>2</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367"/>
      <c r="I76" s="367"/>
      <c r="J76" s="367"/>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135</v>
      </c>
      <c r="H78" s="366">
        <v>2</v>
      </c>
      <c r="I78" s="366" t="s">
        <v>29</v>
      </c>
      <c r="J78" s="366">
        <v>1</v>
      </c>
      <c r="K78" s="212" t="str">
        <f t="shared" si="11"/>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390</v>
      </c>
      <c r="F79" s="189" t="s">
        <v>29</v>
      </c>
      <c r="G79" s="189" t="s">
        <v>193</v>
      </c>
      <c r="H79" s="366">
        <v>1</v>
      </c>
      <c r="I79" s="366" t="s">
        <v>29</v>
      </c>
      <c r="J79" s="366">
        <v>1</v>
      </c>
      <c r="K79" s="212">
        <f t="shared" si="11"/>
        <v>3</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138</v>
      </c>
      <c r="F80" s="189" t="s">
        <v>29</v>
      </c>
      <c r="G80" s="189" t="s">
        <v>152</v>
      </c>
      <c r="H80" s="366">
        <v>3</v>
      </c>
      <c r="I80" s="366" t="s">
        <v>29</v>
      </c>
      <c r="J80" s="366">
        <v>1</v>
      </c>
      <c r="K80" s="212" t="str">
        <f t="shared" si="11"/>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97</v>
      </c>
      <c r="F81" s="189" t="s">
        <v>29</v>
      </c>
      <c r="G81" s="189" t="s">
        <v>106</v>
      </c>
      <c r="H81" s="366">
        <v>1</v>
      </c>
      <c r="I81" s="366" t="s">
        <v>29</v>
      </c>
      <c r="J81" s="366">
        <v>1</v>
      </c>
      <c r="K81" s="212">
        <f t="shared" si="11"/>
        <v>3</v>
      </c>
      <c r="L81" s="210">
        <f>VLOOKUP($B81,Invulblad!$A$11:$S$103,13,0)</f>
        <v>3</v>
      </c>
      <c r="M81" s="211">
        <f>IF(L81&lt;&gt;"",VLOOKUP($B81,Invulblad!$A$11:$S$103,7,0),"")</f>
        <v>1</v>
      </c>
      <c r="N81" s="209" t="s">
        <v>29</v>
      </c>
      <c r="O81" s="211">
        <f>IF(L81&lt;&gt;"",VLOOKUP($B81,Invulblad!$A$11:$S$103,9,0),"")</f>
        <v>1</v>
      </c>
      <c r="P81" s="212">
        <f t="shared" si="15"/>
        <v>10</v>
      </c>
    </row>
    <row r="82" spans="1:16">
      <c r="A82" s="188">
        <v>69</v>
      </c>
      <c r="B82" s="195">
        <v>53</v>
      </c>
      <c r="C82" s="332">
        <v>41820</v>
      </c>
      <c r="D82" s="333">
        <v>0.75</v>
      </c>
      <c r="E82" s="189" t="s">
        <v>209</v>
      </c>
      <c r="F82" s="189" t="s">
        <v>29</v>
      </c>
      <c r="G82" s="189" t="s">
        <v>572</v>
      </c>
      <c r="H82" s="366">
        <v>2</v>
      </c>
      <c r="I82" s="366" t="s">
        <v>29</v>
      </c>
      <c r="J82" s="366">
        <v>0</v>
      </c>
      <c r="K82" s="212" t="str">
        <f t="shared" si="11"/>
        <v>1</v>
      </c>
      <c r="L82" s="210" t="str">
        <f>VLOOKUP($B82,Invulblad!$A$11:$S$103,13,0)</f>
        <v>1</v>
      </c>
      <c r="M82" s="211">
        <f>IF(L82&lt;&gt;"",VLOOKUP($B82,Invulblad!$A$11:$S$103,7,0),"")</f>
        <v>2</v>
      </c>
      <c r="N82" s="209" t="s">
        <v>29</v>
      </c>
      <c r="O82" s="211">
        <f>IF(L82&lt;&gt;"",VLOOKUP($B82,Invulblad!$A$11:$S$103,9,0),"")</f>
        <v>0</v>
      </c>
      <c r="P82" s="212">
        <f t="shared" si="15"/>
        <v>10</v>
      </c>
    </row>
    <row r="83" spans="1:16">
      <c r="A83" s="188">
        <v>70</v>
      </c>
      <c r="B83" s="195">
        <v>54</v>
      </c>
      <c r="C83" s="332">
        <v>41820</v>
      </c>
      <c r="D83" s="333">
        <v>0.91666666666666663</v>
      </c>
      <c r="E83" s="189" t="s">
        <v>177</v>
      </c>
      <c r="F83" s="189" t="s">
        <v>29</v>
      </c>
      <c r="G83" s="189" t="s">
        <v>396</v>
      </c>
      <c r="H83" s="366">
        <v>2</v>
      </c>
      <c r="I83" s="366" t="s">
        <v>29</v>
      </c>
      <c r="J83" s="366">
        <v>0</v>
      </c>
      <c r="K83" s="212" t="str">
        <f t="shared" si="11"/>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143</v>
      </c>
      <c r="H84" s="366">
        <v>2</v>
      </c>
      <c r="I84" s="366" t="s">
        <v>29</v>
      </c>
      <c r="J84" s="366">
        <v>1</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395</v>
      </c>
      <c r="F85" s="189" t="s">
        <v>29</v>
      </c>
      <c r="G85" s="189" t="s">
        <v>202</v>
      </c>
      <c r="H85" s="366">
        <v>1</v>
      </c>
      <c r="I85" s="366" t="s">
        <v>29</v>
      </c>
      <c r="J85" s="366">
        <v>2</v>
      </c>
      <c r="K85" s="212">
        <f t="shared" si="11"/>
        <v>2</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193</v>
      </c>
      <c r="H88" s="366">
        <v>1</v>
      </c>
      <c r="I88" s="366" t="s">
        <v>29</v>
      </c>
      <c r="J88" s="366">
        <v>1</v>
      </c>
      <c r="K88" s="212">
        <f t="shared" si="16"/>
        <v>3</v>
      </c>
      <c r="L88" s="210" t="str">
        <f>VLOOKUP($B88,Invulblad!$A$11:$S$103,13,0)</f>
        <v>1</v>
      </c>
      <c r="M88" s="211">
        <f>IF(L88&lt;&gt;"",VLOOKUP($B88,Invulblad!$A$11:$S$103,7,0),"")</f>
        <v>2</v>
      </c>
      <c r="N88" s="209" t="s">
        <v>29</v>
      </c>
      <c r="O88" s="211">
        <f>IF(L88&lt;&gt;"",VLOOKUP($B88,Invulblad!$A$11:$S$103,9,0),"")</f>
        <v>1</v>
      </c>
      <c r="P88" s="212">
        <f>IF(L88&lt;&gt;"",IF(AND(M88=H88,O88=J88),10,IF(K88=L88,5,0)),"")</f>
        <v>0</v>
      </c>
    </row>
    <row r="89" spans="1:16">
      <c r="A89" s="188">
        <v>76</v>
      </c>
      <c r="B89" s="195">
        <v>58</v>
      </c>
      <c r="C89" s="332">
        <v>41824</v>
      </c>
      <c r="D89" s="333">
        <v>0.75</v>
      </c>
      <c r="E89" s="189" t="s">
        <v>209</v>
      </c>
      <c r="F89" s="189" t="s">
        <v>29</v>
      </c>
      <c r="G89" s="189" t="s">
        <v>177</v>
      </c>
      <c r="H89" s="366">
        <v>1</v>
      </c>
      <c r="I89" s="366" t="s">
        <v>29</v>
      </c>
      <c r="J89" s="366">
        <v>2</v>
      </c>
      <c r="K89" s="212">
        <f t="shared" si="16"/>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138</v>
      </c>
      <c r="F90" s="189" t="s">
        <v>29</v>
      </c>
      <c r="G90" s="189" t="s">
        <v>97</v>
      </c>
      <c r="H90" s="366">
        <v>2</v>
      </c>
      <c r="I90" s="366" t="s">
        <v>29</v>
      </c>
      <c r="J90" s="366">
        <v>1</v>
      </c>
      <c r="K90" s="212" t="str">
        <f t="shared" si="16"/>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202</v>
      </c>
      <c r="H91" s="366">
        <v>1</v>
      </c>
      <c r="I91" s="366" t="s">
        <v>29</v>
      </c>
      <c r="J91" s="366">
        <v>2</v>
      </c>
      <c r="K91" s="212">
        <f t="shared" si="16"/>
        <v>2</v>
      </c>
      <c r="L91" s="210" t="str">
        <f>VLOOKUP($B91,Invulblad!$A$11:$S$103,13,0)</f>
        <v>1</v>
      </c>
      <c r="M91" s="211">
        <f>IF(L91&lt;&gt;"",VLOOKUP($B91,Invulblad!$A$11:$S$103,7,0),"")</f>
        <v>1</v>
      </c>
      <c r="N91" s="209" t="s">
        <v>29</v>
      </c>
      <c r="O91" s="211">
        <f>IF(L91&lt;&gt;"",VLOOKUP($B91,Invulblad!$A$11:$S$103,9,0),"")</f>
        <v>0</v>
      </c>
      <c r="P91" s="212">
        <f>IF(L91&lt;&gt;"",IF(AND(M91=H91,O91=J91),10,IF(K91=L91,5,0)),"")</f>
        <v>0</v>
      </c>
    </row>
    <row r="92" spans="1:16">
      <c r="A92" s="188">
        <v>79</v>
      </c>
      <c r="B92" s="201" t="s">
        <v>88</v>
      </c>
      <c r="H92" s="367"/>
      <c r="I92" s="367"/>
      <c r="J92" s="367"/>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177</v>
      </c>
      <c r="H94" s="366">
        <v>1</v>
      </c>
      <c r="I94" s="366" t="s">
        <v>29</v>
      </c>
      <c r="J94" s="366">
        <v>1</v>
      </c>
      <c r="K94" s="212">
        <f t="shared" si="16"/>
        <v>3</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138</v>
      </c>
      <c r="F95" s="189" t="s">
        <v>29</v>
      </c>
      <c r="G95" s="189" t="s">
        <v>202</v>
      </c>
      <c r="H95" s="366">
        <v>2</v>
      </c>
      <c r="I95" s="366" t="s">
        <v>29</v>
      </c>
      <c r="J95" s="366">
        <v>1</v>
      </c>
      <c r="K95" s="212" t="str">
        <f t="shared" si="16"/>
        <v>1</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367"/>
      <c r="I96" s="367"/>
      <c r="J96" s="367"/>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199</v>
      </c>
      <c r="F98" s="189" t="s">
        <v>29</v>
      </c>
      <c r="G98" s="189" t="s">
        <v>202</v>
      </c>
      <c r="H98" s="366">
        <v>1</v>
      </c>
      <c r="I98" s="366" t="s">
        <v>29</v>
      </c>
      <c r="J98" s="366">
        <v>1</v>
      </c>
      <c r="K98" s="212">
        <f t="shared" si="16"/>
        <v>3</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367"/>
      <c r="I99" s="367"/>
      <c r="J99" s="367"/>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177</v>
      </c>
      <c r="F101" s="189" t="s">
        <v>29</v>
      </c>
      <c r="G101" s="189" t="s">
        <v>138</v>
      </c>
      <c r="H101" s="366">
        <v>1</v>
      </c>
      <c r="I101" s="366" t="s">
        <v>29</v>
      </c>
      <c r="J101" s="366">
        <v>2</v>
      </c>
      <c r="K101" s="212">
        <f t="shared" si="16"/>
        <v>2</v>
      </c>
      <c r="L101" s="210" t="str">
        <f>VLOOKUP($B101,Invulblad!$A$11:$S$103,13,0)</f>
        <v>1</v>
      </c>
      <c r="M101" s="211">
        <f>IF(L101&lt;&gt;"",VLOOKUP($B101,Invulblad!$A$11:$S$103,7,0),"")</f>
        <v>1</v>
      </c>
      <c r="N101" s="209" t="s">
        <v>29</v>
      </c>
      <c r="O101" s="211">
        <f>IF(L101&lt;&gt;"",VLOOKUP($B101,Invulblad!$A$11:$S$103,9,0),"")</f>
        <v>0</v>
      </c>
      <c r="P101" s="212">
        <f>IF(L101&lt;&gt;"",IF(AND(M101=H101,O101=J101),10,IF(K101=L101,5,0)),"")</f>
        <v>0</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152</v>
      </c>
    </row>
    <row r="112" spans="1:16">
      <c r="B112" s="201" t="s">
        <v>144</v>
      </c>
    </row>
    <row r="114" spans="2:15">
      <c r="B114" s="215" t="s">
        <v>145</v>
      </c>
      <c r="C114" s="215" t="s">
        <v>146</v>
      </c>
      <c r="D114" s="215" t="s">
        <v>147</v>
      </c>
      <c r="E114" s="215" t="s">
        <v>148</v>
      </c>
    </row>
    <row r="115" spans="2:15">
      <c r="B115" s="216" t="s">
        <v>199</v>
      </c>
      <c r="C115" s="216" t="s">
        <v>163</v>
      </c>
      <c r="D115" s="216" t="s">
        <v>164</v>
      </c>
      <c r="E115" s="216" t="s">
        <v>172</v>
      </c>
    </row>
    <row r="116" spans="2:15">
      <c r="B116" s="217" t="s">
        <v>389</v>
      </c>
      <c r="C116" s="217" t="s">
        <v>149</v>
      </c>
      <c r="D116" s="217" t="s">
        <v>154</v>
      </c>
      <c r="E116" s="217" t="s">
        <v>149</v>
      </c>
    </row>
    <row r="117" spans="2:15">
      <c r="B117" s="216" t="s">
        <v>152</v>
      </c>
      <c r="C117" s="216" t="s">
        <v>149</v>
      </c>
      <c r="D117" s="216" t="s">
        <v>150</v>
      </c>
      <c r="E117" s="216" t="s">
        <v>155</v>
      </c>
    </row>
    <row r="118" spans="2:15">
      <c r="B118" s="217" t="s">
        <v>185</v>
      </c>
      <c r="C118" s="217" t="s">
        <v>150</v>
      </c>
      <c r="D118" s="217" t="s">
        <v>162</v>
      </c>
      <c r="E118" s="217" t="s">
        <v>153</v>
      </c>
    </row>
    <row r="121" spans="2:15">
      <c r="B121" s="201" t="s">
        <v>157</v>
      </c>
    </row>
    <row r="122" spans="2:15">
      <c r="B122" s="195"/>
    </row>
    <row r="123" spans="2:15">
      <c r="B123" s="195" t="s">
        <v>158</v>
      </c>
    </row>
    <row r="124" spans="2:15">
      <c r="B124" s="195" t="s">
        <v>249</v>
      </c>
    </row>
    <row r="127" spans="2:15">
      <c r="B127" s="218"/>
      <c r="C127" s="218"/>
      <c r="D127" s="218"/>
      <c r="E127" s="218"/>
      <c r="F127" s="218"/>
      <c r="G127" s="218"/>
      <c r="H127" s="364"/>
      <c r="I127" s="364"/>
      <c r="J127" s="364"/>
      <c r="K127" s="218"/>
      <c r="L127" s="219"/>
      <c r="M127" s="218"/>
      <c r="N127" s="218"/>
      <c r="O127" s="218"/>
    </row>
    <row r="130" spans="1:5">
      <c r="B130" s="201" t="s">
        <v>160</v>
      </c>
    </row>
    <row r="132" spans="1:5">
      <c r="A132" s="227" t="s">
        <v>67</v>
      </c>
      <c r="B132" s="189" t="s">
        <v>140</v>
      </c>
      <c r="C132" s="189" t="s">
        <v>141</v>
      </c>
      <c r="D132" s="201" t="s">
        <v>138</v>
      </c>
    </row>
    <row r="133" spans="1:5">
      <c r="A133" s="188" t="s">
        <v>68</v>
      </c>
      <c r="B133" s="189" t="s">
        <v>142</v>
      </c>
      <c r="C133" s="189" t="s">
        <v>141</v>
      </c>
      <c r="D133" s="201" t="s">
        <v>135</v>
      </c>
    </row>
    <row r="136" spans="1:5">
      <c r="B136" s="201" t="s">
        <v>161</v>
      </c>
    </row>
    <row r="138" spans="1:5">
      <c r="B138" s="215" t="s">
        <v>145</v>
      </c>
      <c r="C138" s="215" t="s">
        <v>146</v>
      </c>
      <c r="D138" s="215" t="s">
        <v>147</v>
      </c>
      <c r="E138" s="215" t="s">
        <v>148</v>
      </c>
    </row>
    <row r="139" spans="1:5">
      <c r="B139" s="216" t="s">
        <v>138</v>
      </c>
      <c r="C139" s="216" t="s">
        <v>163</v>
      </c>
      <c r="D139" s="216" t="s">
        <v>243</v>
      </c>
      <c r="E139" s="216" t="s">
        <v>244</v>
      </c>
    </row>
    <row r="140" spans="1:5">
      <c r="B140" s="217" t="s">
        <v>135</v>
      </c>
      <c r="C140" s="217" t="s">
        <v>149</v>
      </c>
      <c r="D140" s="217" t="s">
        <v>150</v>
      </c>
      <c r="E140" s="217" t="s">
        <v>164</v>
      </c>
    </row>
    <row r="141" spans="1:5">
      <c r="B141" s="216" t="s">
        <v>207</v>
      </c>
      <c r="C141" s="216" t="s">
        <v>149</v>
      </c>
      <c r="D141" s="216" t="s">
        <v>154</v>
      </c>
      <c r="E141" s="216" t="s">
        <v>155</v>
      </c>
    </row>
    <row r="142" spans="1:5">
      <c r="B142" s="217" t="s">
        <v>179</v>
      </c>
      <c r="C142" s="217" t="s">
        <v>150</v>
      </c>
      <c r="D142" s="217" t="s">
        <v>188</v>
      </c>
      <c r="E142" s="217" t="s">
        <v>153</v>
      </c>
    </row>
    <row r="145" spans="1:15">
      <c r="B145" s="201" t="s">
        <v>166</v>
      </c>
    </row>
    <row r="146" spans="1:15">
      <c r="B146" s="195"/>
    </row>
    <row r="147" spans="1:15">
      <c r="B147" s="195" t="s">
        <v>167</v>
      </c>
    </row>
    <row r="148" spans="1:15">
      <c r="B148" s="195" t="s">
        <v>273</v>
      </c>
    </row>
    <row r="151" spans="1:15">
      <c r="B151" s="218"/>
      <c r="C151" s="218"/>
      <c r="D151" s="218"/>
      <c r="E151" s="218"/>
      <c r="F151" s="218"/>
      <c r="G151" s="218"/>
      <c r="H151" s="364"/>
      <c r="I151" s="364"/>
      <c r="J151" s="364"/>
      <c r="K151" s="218"/>
      <c r="L151" s="219"/>
      <c r="M151" s="218"/>
      <c r="N151" s="218"/>
      <c r="O151" s="218"/>
    </row>
    <row r="154" spans="1:15">
      <c r="B154" s="201" t="s">
        <v>169</v>
      </c>
    </row>
    <row r="156" spans="1:15">
      <c r="A156" s="188" t="s">
        <v>69</v>
      </c>
      <c r="B156" s="189" t="s">
        <v>140</v>
      </c>
      <c r="C156" s="189" t="s">
        <v>141</v>
      </c>
      <c r="D156" s="201" t="s">
        <v>390</v>
      </c>
    </row>
    <row r="157" spans="1:15">
      <c r="A157" s="188" t="s">
        <v>70</v>
      </c>
      <c r="B157" s="189" t="s">
        <v>142</v>
      </c>
      <c r="C157" s="189" t="s">
        <v>141</v>
      </c>
      <c r="D157" s="201" t="s">
        <v>106</v>
      </c>
    </row>
    <row r="160" spans="1:15">
      <c r="B160" s="201" t="s">
        <v>170</v>
      </c>
    </row>
    <row r="162" spans="2:15">
      <c r="B162" s="215" t="s">
        <v>145</v>
      </c>
      <c r="C162" s="215" t="s">
        <v>146</v>
      </c>
      <c r="D162" s="215" t="s">
        <v>147</v>
      </c>
      <c r="E162" s="215" t="s">
        <v>148</v>
      </c>
    </row>
    <row r="163" spans="2:15">
      <c r="B163" s="216" t="s">
        <v>390</v>
      </c>
      <c r="C163" s="216" t="s">
        <v>172</v>
      </c>
      <c r="D163" s="216" t="s">
        <v>149</v>
      </c>
      <c r="E163" s="216" t="s">
        <v>164</v>
      </c>
    </row>
    <row r="164" spans="2:15">
      <c r="B164" s="217" t="s">
        <v>106</v>
      </c>
      <c r="C164" s="217" t="s">
        <v>172</v>
      </c>
      <c r="D164" s="217" t="s">
        <v>149</v>
      </c>
      <c r="E164" s="217" t="s">
        <v>155</v>
      </c>
    </row>
    <row r="165" spans="2:15">
      <c r="B165" s="216" t="s">
        <v>200</v>
      </c>
      <c r="C165" s="216" t="s">
        <v>151</v>
      </c>
      <c r="D165" s="216" t="s">
        <v>165</v>
      </c>
      <c r="E165" s="216" t="s">
        <v>151</v>
      </c>
    </row>
    <row r="166" spans="2:15">
      <c r="B166" s="217" t="s">
        <v>187</v>
      </c>
      <c r="C166" s="217" t="s">
        <v>150</v>
      </c>
      <c r="D166" s="217" t="s">
        <v>241</v>
      </c>
      <c r="E166" s="217" t="s">
        <v>156</v>
      </c>
    </row>
    <row r="169" spans="2:15">
      <c r="B169" s="201" t="s">
        <v>173</v>
      </c>
    </row>
    <row r="170" spans="2:15">
      <c r="B170" s="195"/>
    </row>
    <row r="171" spans="2:15">
      <c r="B171" s="195" t="s">
        <v>530</v>
      </c>
    </row>
    <row r="172" spans="2:15">
      <c r="B172" s="195"/>
    </row>
    <row r="175" spans="2:15">
      <c r="B175" s="218"/>
      <c r="C175" s="218"/>
      <c r="D175" s="218"/>
      <c r="E175" s="218"/>
      <c r="F175" s="218"/>
      <c r="G175" s="218"/>
      <c r="H175" s="364"/>
      <c r="I175" s="364"/>
      <c r="J175" s="364"/>
      <c r="K175" s="218"/>
      <c r="L175" s="219"/>
      <c r="M175" s="218"/>
      <c r="N175" s="218"/>
      <c r="O175" s="218"/>
    </row>
    <row r="178" spans="1:5">
      <c r="B178" s="201" t="s">
        <v>176</v>
      </c>
    </row>
    <row r="180" spans="1:5">
      <c r="A180" s="188" t="s">
        <v>71</v>
      </c>
      <c r="B180" s="189" t="s">
        <v>140</v>
      </c>
      <c r="C180" s="189" t="s">
        <v>141</v>
      </c>
      <c r="D180" s="201" t="s">
        <v>97</v>
      </c>
    </row>
    <row r="181" spans="1:5">
      <c r="A181" s="188" t="s">
        <v>72</v>
      </c>
      <c r="B181" s="189" t="s">
        <v>142</v>
      </c>
      <c r="C181" s="189" t="s">
        <v>141</v>
      </c>
      <c r="D181" s="201" t="s">
        <v>193</v>
      </c>
    </row>
    <row r="184" spans="1:5">
      <c r="B184" s="201" t="s">
        <v>178</v>
      </c>
    </row>
    <row r="186" spans="1:5">
      <c r="B186" s="215" t="s">
        <v>145</v>
      </c>
      <c r="C186" s="215" t="s">
        <v>146</v>
      </c>
      <c r="D186" s="215" t="s">
        <v>147</v>
      </c>
      <c r="E186" s="215" t="s">
        <v>148</v>
      </c>
    </row>
    <row r="187" spans="1:5">
      <c r="B187" s="216" t="s">
        <v>97</v>
      </c>
      <c r="C187" s="216" t="s">
        <v>155</v>
      </c>
      <c r="D187" s="216" t="s">
        <v>153</v>
      </c>
      <c r="E187" s="216" t="s">
        <v>164</v>
      </c>
    </row>
    <row r="188" spans="1:5">
      <c r="B188" s="217" t="s">
        <v>391</v>
      </c>
      <c r="C188" s="217" t="s">
        <v>150</v>
      </c>
      <c r="D188" s="217" t="s">
        <v>162</v>
      </c>
      <c r="E188" s="217" t="s">
        <v>153</v>
      </c>
    </row>
    <row r="189" spans="1:5">
      <c r="B189" s="216" t="s">
        <v>109</v>
      </c>
      <c r="C189" s="216" t="s">
        <v>155</v>
      </c>
      <c r="D189" s="216" t="s">
        <v>156</v>
      </c>
      <c r="E189" s="216" t="s">
        <v>155</v>
      </c>
    </row>
    <row r="190" spans="1:5">
      <c r="B190" s="217" t="s">
        <v>193</v>
      </c>
      <c r="C190" s="217" t="s">
        <v>155</v>
      </c>
      <c r="D190" s="217" t="s">
        <v>153</v>
      </c>
      <c r="E190" s="217" t="s">
        <v>149</v>
      </c>
    </row>
    <row r="193" spans="1:15">
      <c r="B193" s="201" t="s">
        <v>182</v>
      </c>
    </row>
    <row r="194" spans="1:15">
      <c r="B194" s="195"/>
    </row>
    <row r="195" spans="1:15">
      <c r="B195" s="195" t="s">
        <v>274</v>
      </c>
    </row>
    <row r="196" spans="1:15">
      <c r="B196" s="195"/>
    </row>
    <row r="198" spans="1:15">
      <c r="K198" s="218"/>
      <c r="L198" s="219"/>
      <c r="M198" s="218"/>
      <c r="N198" s="218"/>
      <c r="O198" s="218"/>
    </row>
    <row r="199" spans="1:15">
      <c r="B199" s="218"/>
      <c r="C199" s="218"/>
      <c r="D199" s="218"/>
      <c r="E199" s="218"/>
      <c r="F199" s="218"/>
      <c r="G199" s="218"/>
      <c r="H199" s="364"/>
      <c r="I199" s="364"/>
      <c r="J199" s="364"/>
    </row>
    <row r="202" spans="1:15">
      <c r="B202" s="201" t="s">
        <v>184</v>
      </c>
    </row>
    <row r="204" spans="1:15">
      <c r="A204" s="188" t="s">
        <v>73</v>
      </c>
      <c r="B204" s="189" t="s">
        <v>140</v>
      </c>
      <c r="C204" s="189" t="s">
        <v>141</v>
      </c>
      <c r="D204" s="201" t="s">
        <v>209</v>
      </c>
    </row>
    <row r="205" spans="1:15">
      <c r="A205" s="188" t="s">
        <v>74</v>
      </c>
      <c r="B205" s="189" t="s">
        <v>142</v>
      </c>
      <c r="C205" s="189" t="s">
        <v>141</v>
      </c>
      <c r="D205" s="201" t="s">
        <v>143</v>
      </c>
    </row>
    <row r="208" spans="1:15">
      <c r="B208" s="201" t="s">
        <v>186</v>
      </c>
    </row>
    <row r="210" spans="2:15">
      <c r="B210" s="215" t="s">
        <v>145</v>
      </c>
      <c r="C210" s="215" t="s">
        <v>146</v>
      </c>
      <c r="D210" s="215" t="s">
        <v>147</v>
      </c>
      <c r="E210" s="215" t="s">
        <v>148</v>
      </c>
    </row>
    <row r="211" spans="2:15">
      <c r="B211" s="216" t="s">
        <v>209</v>
      </c>
      <c r="C211" s="216" t="s">
        <v>163</v>
      </c>
      <c r="D211" s="216" t="s">
        <v>155</v>
      </c>
      <c r="E211" s="216" t="s">
        <v>164</v>
      </c>
    </row>
    <row r="212" spans="2:15">
      <c r="B212" s="217" t="s">
        <v>392</v>
      </c>
      <c r="C212" s="217" t="s">
        <v>156</v>
      </c>
      <c r="D212" s="217" t="s">
        <v>171</v>
      </c>
      <c r="E212" s="217" t="s">
        <v>153</v>
      </c>
    </row>
    <row r="213" spans="2:15">
      <c r="B213" s="216" t="s">
        <v>143</v>
      </c>
      <c r="C213" s="216" t="s">
        <v>164</v>
      </c>
      <c r="D213" s="216" t="s">
        <v>156</v>
      </c>
      <c r="E213" s="216" t="s">
        <v>155</v>
      </c>
    </row>
    <row r="214" spans="2:15">
      <c r="B214" s="217" t="s">
        <v>210</v>
      </c>
      <c r="C214" s="217" t="s">
        <v>156</v>
      </c>
      <c r="D214" s="217" t="s">
        <v>171</v>
      </c>
      <c r="E214" s="217" t="s">
        <v>153</v>
      </c>
    </row>
    <row r="217" spans="2:15">
      <c r="B217" s="201" t="s">
        <v>189</v>
      </c>
    </row>
    <row r="218" spans="2:15">
      <c r="B218" s="195"/>
    </row>
    <row r="219" spans="2:15">
      <c r="B219" s="195" t="s">
        <v>190</v>
      </c>
    </row>
    <row r="220" spans="2:15">
      <c r="B220" s="195" t="s">
        <v>191</v>
      </c>
    </row>
    <row r="222" spans="2:15">
      <c r="K222" s="218"/>
      <c r="L222" s="219"/>
      <c r="M222" s="218"/>
      <c r="N222" s="218"/>
      <c r="O222" s="218"/>
    </row>
    <row r="223" spans="2:15">
      <c r="B223" s="218"/>
      <c r="C223" s="218"/>
      <c r="D223" s="218"/>
      <c r="E223" s="218"/>
      <c r="F223" s="218"/>
      <c r="G223" s="218"/>
      <c r="H223" s="364"/>
      <c r="I223" s="364"/>
      <c r="J223" s="364"/>
    </row>
    <row r="226" spans="1:5">
      <c r="B226" s="201" t="s">
        <v>192</v>
      </c>
    </row>
    <row r="228" spans="1:5">
      <c r="A228" s="188" t="s">
        <v>75</v>
      </c>
      <c r="B228" s="189" t="s">
        <v>140</v>
      </c>
      <c r="C228" s="189" t="s">
        <v>141</v>
      </c>
      <c r="D228" s="201" t="s">
        <v>102</v>
      </c>
    </row>
    <row r="229" spans="1:5">
      <c r="A229" s="188" t="s">
        <v>76</v>
      </c>
      <c r="B229" s="189" t="s">
        <v>142</v>
      </c>
      <c r="C229" s="189" t="s">
        <v>141</v>
      </c>
      <c r="D229" s="201" t="s">
        <v>572</v>
      </c>
    </row>
    <row r="232" spans="1:5">
      <c r="B232" s="201" t="s">
        <v>194</v>
      </c>
    </row>
    <row r="234" spans="1:5">
      <c r="B234" s="215" t="s">
        <v>145</v>
      </c>
      <c r="C234" s="215" t="s">
        <v>146</v>
      </c>
      <c r="D234" s="215" t="s">
        <v>147</v>
      </c>
      <c r="E234" s="215" t="s">
        <v>148</v>
      </c>
    </row>
    <row r="235" spans="1:5">
      <c r="B235" s="216" t="s">
        <v>102</v>
      </c>
      <c r="C235" s="216" t="s">
        <v>163</v>
      </c>
      <c r="D235" s="216" t="s">
        <v>164</v>
      </c>
      <c r="E235" s="216" t="s">
        <v>172</v>
      </c>
    </row>
    <row r="236" spans="1:5">
      <c r="B236" s="217" t="s">
        <v>572</v>
      </c>
      <c r="C236" s="217" t="s">
        <v>149</v>
      </c>
      <c r="D236" s="217" t="s">
        <v>150</v>
      </c>
      <c r="E236" s="217" t="s">
        <v>149</v>
      </c>
    </row>
    <row r="237" spans="1:5">
      <c r="B237" s="216" t="s">
        <v>394</v>
      </c>
      <c r="C237" s="216" t="s">
        <v>153</v>
      </c>
      <c r="D237" s="216" t="s">
        <v>165</v>
      </c>
      <c r="E237" s="216" t="s">
        <v>153</v>
      </c>
    </row>
    <row r="238" spans="1:5">
      <c r="B238" s="217" t="s">
        <v>108</v>
      </c>
      <c r="C238" s="217" t="s">
        <v>156</v>
      </c>
      <c r="D238" s="217" t="s">
        <v>180</v>
      </c>
      <c r="E238" s="217" t="s">
        <v>153</v>
      </c>
    </row>
    <row r="241" spans="1:15">
      <c r="B241" s="201" t="s">
        <v>195</v>
      </c>
    </row>
    <row r="242" spans="1:15">
      <c r="B242" s="195"/>
    </row>
    <row r="243" spans="1:15">
      <c r="B243" s="195" t="s">
        <v>196</v>
      </c>
    </row>
    <row r="244" spans="1:15">
      <c r="B244" s="195" t="s">
        <v>197</v>
      </c>
    </row>
    <row r="246" spans="1:15">
      <c r="K246" s="218"/>
      <c r="L246" s="219"/>
      <c r="M246" s="218"/>
      <c r="N246" s="218"/>
      <c r="O246" s="218"/>
    </row>
    <row r="247" spans="1:15">
      <c r="B247" s="218"/>
      <c r="C247" s="218"/>
      <c r="D247" s="218"/>
      <c r="E247" s="218"/>
      <c r="F247" s="218"/>
      <c r="G247" s="218"/>
      <c r="H247" s="364"/>
      <c r="I247" s="364"/>
      <c r="J247" s="364"/>
    </row>
    <row r="250" spans="1:15">
      <c r="B250" s="201" t="s">
        <v>198</v>
      </c>
    </row>
    <row r="252" spans="1:15">
      <c r="A252" s="188" t="s">
        <v>77</v>
      </c>
      <c r="B252" s="189" t="s">
        <v>140</v>
      </c>
      <c r="C252" s="189" t="s">
        <v>141</v>
      </c>
      <c r="D252" s="201" t="s">
        <v>177</v>
      </c>
    </row>
    <row r="253" spans="1:15">
      <c r="A253" s="188" t="s">
        <v>78</v>
      </c>
      <c r="B253" s="189" t="s">
        <v>142</v>
      </c>
      <c r="C253" s="189" t="s">
        <v>141</v>
      </c>
      <c r="D253" s="201" t="s">
        <v>202</v>
      </c>
    </row>
    <row r="256" spans="1:15">
      <c r="B256" s="201" t="s">
        <v>201</v>
      </c>
    </row>
    <row r="258" spans="2:10">
      <c r="B258" s="215" t="s">
        <v>145</v>
      </c>
      <c r="C258" s="215" t="s">
        <v>146</v>
      </c>
      <c r="D258" s="215" t="s">
        <v>147</v>
      </c>
      <c r="E258" s="215" t="s">
        <v>148</v>
      </c>
    </row>
    <row r="259" spans="2:10">
      <c r="B259" s="216" t="s">
        <v>177</v>
      </c>
      <c r="C259" s="216" t="s">
        <v>172</v>
      </c>
      <c r="D259" s="216" t="s">
        <v>149</v>
      </c>
      <c r="E259" s="216" t="s">
        <v>164</v>
      </c>
    </row>
    <row r="260" spans="2:10">
      <c r="B260" s="217" t="s">
        <v>202</v>
      </c>
      <c r="C260" s="217" t="s">
        <v>172</v>
      </c>
      <c r="D260" s="217" t="s">
        <v>151</v>
      </c>
      <c r="E260" s="217" t="s">
        <v>155</v>
      </c>
    </row>
    <row r="261" spans="2:10">
      <c r="B261" s="216" t="s">
        <v>181</v>
      </c>
      <c r="C261" s="216" t="s">
        <v>150</v>
      </c>
      <c r="D261" s="216" t="s">
        <v>241</v>
      </c>
      <c r="E261" s="216" t="s">
        <v>156</v>
      </c>
    </row>
    <row r="262" spans="2:10">
      <c r="B262" s="217" t="s">
        <v>32</v>
      </c>
      <c r="C262" s="217" t="s">
        <v>151</v>
      </c>
      <c r="D262" s="217" t="s">
        <v>154</v>
      </c>
      <c r="E262" s="217" t="s">
        <v>149</v>
      </c>
    </row>
    <row r="265" spans="2:10">
      <c r="B265" s="201" t="s">
        <v>203</v>
      </c>
    </row>
    <row r="266" spans="2:10">
      <c r="B266" s="195"/>
    </row>
    <row r="267" spans="2:10">
      <c r="B267" s="195" t="s">
        <v>247</v>
      </c>
    </row>
    <row r="268" spans="2:10">
      <c r="B268" s="195"/>
    </row>
    <row r="270" spans="2:10">
      <c r="B270" s="218"/>
      <c r="C270" s="218"/>
      <c r="D270" s="218"/>
      <c r="E270" s="218"/>
      <c r="F270" s="218"/>
      <c r="G270" s="218"/>
    </row>
    <row r="271" spans="2:10">
      <c r="H271" s="364"/>
      <c r="I271" s="364"/>
      <c r="J271" s="364"/>
    </row>
    <row r="274" spans="1:5">
      <c r="B274" s="201" t="s">
        <v>206</v>
      </c>
    </row>
    <row r="276" spans="1:5">
      <c r="A276" s="188" t="s">
        <v>79</v>
      </c>
      <c r="B276" s="189" t="s">
        <v>140</v>
      </c>
      <c r="C276" s="189" t="s">
        <v>141</v>
      </c>
      <c r="D276" s="201" t="s">
        <v>395</v>
      </c>
    </row>
    <row r="277" spans="1:5">
      <c r="A277" s="188" t="s">
        <v>80</v>
      </c>
      <c r="B277" s="189" t="s">
        <v>142</v>
      </c>
      <c r="C277" s="189" t="s">
        <v>141</v>
      </c>
      <c r="D277" s="201" t="s">
        <v>396</v>
      </c>
    </row>
    <row r="280" spans="1:5">
      <c r="B280" s="201" t="s">
        <v>208</v>
      </c>
    </row>
    <row r="282" spans="1:5">
      <c r="B282" s="215" t="s">
        <v>145</v>
      </c>
      <c r="C282" s="215" t="s">
        <v>146</v>
      </c>
      <c r="D282" s="215" t="s">
        <v>147</v>
      </c>
      <c r="E282" s="215" t="s">
        <v>148</v>
      </c>
    </row>
    <row r="283" spans="1:5">
      <c r="B283" s="216" t="s">
        <v>395</v>
      </c>
      <c r="C283" s="216" t="s">
        <v>163</v>
      </c>
      <c r="D283" s="216" t="s">
        <v>149</v>
      </c>
      <c r="E283" s="216" t="s">
        <v>164</v>
      </c>
    </row>
    <row r="284" spans="1:5">
      <c r="B284" s="217" t="s">
        <v>110</v>
      </c>
      <c r="C284" s="217" t="s">
        <v>151</v>
      </c>
      <c r="D284" s="217" t="s">
        <v>154</v>
      </c>
      <c r="E284" s="217" t="s">
        <v>149</v>
      </c>
    </row>
    <row r="285" spans="1:5">
      <c r="B285" s="216" t="s">
        <v>396</v>
      </c>
      <c r="C285" s="216" t="s">
        <v>164</v>
      </c>
      <c r="D285" s="216" t="s">
        <v>156</v>
      </c>
      <c r="E285" s="216" t="s">
        <v>155</v>
      </c>
    </row>
    <row r="286" spans="1:5">
      <c r="B286" s="217" t="s">
        <v>104</v>
      </c>
      <c r="C286" s="217" t="s">
        <v>150</v>
      </c>
      <c r="D286" s="217" t="s">
        <v>180</v>
      </c>
      <c r="E286" s="217" t="s">
        <v>153</v>
      </c>
    </row>
    <row r="289" spans="2:15">
      <c r="B289" s="201" t="s">
        <v>211</v>
      </c>
    </row>
    <row r="290" spans="2:15">
      <c r="B290" s="195"/>
    </row>
    <row r="291" spans="2:15">
      <c r="B291" s="195" t="s">
        <v>212</v>
      </c>
    </row>
    <row r="292" spans="2:15">
      <c r="B292" s="195" t="s">
        <v>213</v>
      </c>
    </row>
    <row r="294" spans="2:15">
      <c r="K294" s="218"/>
      <c r="L294" s="219"/>
      <c r="M294" s="218"/>
      <c r="N294" s="218"/>
      <c r="O294" s="218"/>
    </row>
    <row r="295" spans="2:15">
      <c r="B295" s="218"/>
      <c r="C295" s="218"/>
      <c r="D295" s="218"/>
      <c r="E295" s="218"/>
      <c r="F295" s="218"/>
      <c r="G295" s="218"/>
      <c r="H295" s="364"/>
      <c r="I295" s="364"/>
      <c r="J295" s="364"/>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3.xml><?xml version="1.0" encoding="utf-8"?>
<worksheet xmlns="http://schemas.openxmlformats.org/spreadsheetml/2006/main" xmlns:r="http://schemas.openxmlformats.org/officeDocument/2006/relationships">
  <sheetPr codeName="Blad31"/>
  <dimension ref="B1:BB132"/>
  <sheetViews>
    <sheetView topLeftCell="AB1" workbookViewId="0">
      <selection activeCell="AH17" sqref="AH17"/>
    </sheetView>
  </sheetViews>
  <sheetFormatPr defaultRowHeight="11.25" zeroHeight="1"/>
  <cols>
    <col min="1" max="1" width="2.28515625" style="59" customWidth="1"/>
    <col min="2" max="2" width="3" style="59" customWidth="1"/>
    <col min="3" max="3" width="15.42578125" style="59" customWidth="1"/>
    <col min="4" max="4" width="2.7109375" style="59" customWidth="1"/>
    <col min="5" max="5" width="2.42578125" style="59" customWidth="1"/>
    <col min="6" max="7" width="2.140625" style="59" customWidth="1"/>
    <col min="8" max="8" width="4.140625" style="59" customWidth="1"/>
    <col min="9" max="10" width="4" style="59" customWidth="1"/>
    <col min="11" max="11" width="2.5703125" style="59" customWidth="1"/>
    <col min="12" max="12" width="2.5703125" style="247" customWidth="1"/>
    <col min="13" max="13" width="9.140625" style="59"/>
    <col min="14" max="14" width="9.28515625" style="59" customWidth="1"/>
    <col min="15" max="15" width="2.5703125" style="59" customWidth="1"/>
    <col min="16" max="16" width="2.5703125" style="247" customWidth="1"/>
    <col min="17" max="17" width="2" style="59" customWidth="1"/>
    <col min="18" max="18" width="6.5703125" style="59" customWidth="1"/>
    <col min="19" max="20" width="2.42578125" style="59" customWidth="1"/>
    <col min="21" max="21" width="3.7109375" style="59" customWidth="1"/>
    <col min="22" max="22" width="6.140625" style="59" customWidth="1"/>
    <col min="23" max="23" width="6.85546875" style="59" customWidth="1"/>
    <col min="24" max="24" width="7" style="59" customWidth="1"/>
    <col min="25" max="25" width="8.28515625" style="59" customWidth="1"/>
    <col min="26" max="26" width="4.28515625" style="59" customWidth="1"/>
    <col min="27" max="27" width="8.28515625" style="59" customWidth="1"/>
    <col min="28" max="28" width="4.85546875" style="59" customWidth="1"/>
    <col min="29" max="29" width="10.140625" style="59" customWidth="1"/>
    <col min="30" max="30" width="3.85546875" style="59" customWidth="1"/>
    <col min="31" max="31" width="3" style="59" customWidth="1"/>
    <col min="32" max="47" width="8.7109375" style="59" customWidth="1"/>
    <col min="48" max="48" width="8.140625" style="59" customWidth="1"/>
    <col min="49" max="52" width="7.5703125" style="88" customWidth="1"/>
    <col min="53" max="53" width="3.5703125" style="422" customWidth="1"/>
    <col min="54" max="54" width="4.140625" style="59" customWidth="1"/>
    <col min="55" max="16384" width="9.140625" style="59"/>
  </cols>
  <sheetData>
    <row r="1" spans="2:54" s="248" customFormat="1">
      <c r="L1" s="249"/>
      <c r="P1" s="249"/>
      <c r="AW1" s="416"/>
      <c r="AX1" s="416"/>
      <c r="AY1" s="416"/>
      <c r="AZ1" s="416"/>
      <c r="BA1" s="421"/>
    </row>
    <row r="2" spans="2:54" s="248" customFormat="1">
      <c r="L2" s="249"/>
      <c r="P2" s="249"/>
      <c r="AB2" s="456" t="s">
        <v>285</v>
      </c>
      <c r="AC2" s="456"/>
      <c r="AW2" s="416"/>
      <c r="AX2" s="416"/>
      <c r="AY2" s="416"/>
      <c r="AZ2" s="416"/>
      <c r="BA2" s="421"/>
    </row>
    <row r="3" spans="2:54" s="248" customFormat="1">
      <c r="L3" s="249"/>
      <c r="P3" s="249"/>
      <c r="Z3" s="427"/>
      <c r="AA3" s="427" t="s">
        <v>290</v>
      </c>
      <c r="AB3" s="250" t="s">
        <v>22</v>
      </c>
      <c r="AC3" s="72">
        <v>100000</v>
      </c>
      <c r="AW3" s="416"/>
      <c r="AX3" s="416"/>
      <c r="AY3" s="416"/>
      <c r="AZ3" s="416"/>
      <c r="BA3" s="421"/>
    </row>
    <row r="4" spans="2:54" s="248" customFormat="1">
      <c r="L4" s="249"/>
      <c r="P4" s="249"/>
      <c r="Z4" s="427"/>
      <c r="AA4" s="427" t="s">
        <v>291</v>
      </c>
      <c r="AB4" s="251" t="s">
        <v>28</v>
      </c>
      <c r="AC4" s="81">
        <v>10000</v>
      </c>
      <c r="AE4" s="353" t="s">
        <v>473</v>
      </c>
      <c r="AF4" s="354" t="s">
        <v>472</v>
      </c>
      <c r="AG4" s="354"/>
      <c r="AH4" s="354">
        <v>10</v>
      </c>
      <c r="AW4" s="416"/>
      <c r="AX4" s="416"/>
      <c r="AY4" s="416"/>
      <c r="AZ4" s="416"/>
      <c r="BA4" s="421"/>
    </row>
    <row r="5" spans="2:54" s="248" customFormat="1">
      <c r="L5" s="249"/>
      <c r="P5" s="249"/>
      <c r="Z5" s="427"/>
      <c r="AA5" s="427" t="s">
        <v>292</v>
      </c>
      <c r="AB5" s="250" t="s">
        <v>26</v>
      </c>
      <c r="AC5" s="72">
        <v>1000</v>
      </c>
      <c r="AE5" s="353" t="s">
        <v>474</v>
      </c>
      <c r="AF5" s="354" t="s">
        <v>468</v>
      </c>
      <c r="AG5" s="354"/>
      <c r="AH5" s="354">
        <v>9</v>
      </c>
      <c r="AW5" s="416"/>
      <c r="AX5" s="416"/>
      <c r="AY5" s="416"/>
      <c r="AZ5" s="416"/>
      <c r="BA5" s="421"/>
    </row>
    <row r="6" spans="2:54" s="248" customFormat="1">
      <c r="L6" s="249"/>
      <c r="P6" s="249"/>
      <c r="Z6" s="427"/>
      <c r="AA6" s="427" t="s">
        <v>551</v>
      </c>
      <c r="AB6" s="250" t="s">
        <v>552</v>
      </c>
      <c r="AC6" s="72">
        <v>100</v>
      </c>
      <c r="AE6" s="353" t="s">
        <v>475</v>
      </c>
      <c r="AF6" s="354" t="s">
        <v>469</v>
      </c>
      <c r="AG6" s="354"/>
      <c r="AH6" s="354">
        <v>9</v>
      </c>
      <c r="AW6" s="416"/>
      <c r="AX6" s="416"/>
      <c r="AY6" s="416"/>
      <c r="AZ6" s="416"/>
      <c r="BA6" s="421"/>
    </row>
    <row r="7" spans="2:54" s="248" customFormat="1">
      <c r="L7" s="249"/>
      <c r="P7" s="249"/>
      <c r="AE7" s="353" t="s">
        <v>476</v>
      </c>
      <c r="AF7" s="354" t="s">
        <v>470</v>
      </c>
      <c r="AG7" s="354"/>
      <c r="AH7" s="354">
        <v>7</v>
      </c>
      <c r="AW7" s="416"/>
      <c r="AX7" s="416"/>
      <c r="AY7" s="416"/>
      <c r="AZ7" s="416"/>
      <c r="BA7" s="421"/>
    </row>
    <row r="8" spans="2:54" s="248" customFormat="1">
      <c r="L8" s="249"/>
      <c r="P8" s="249"/>
      <c r="AE8" s="353" t="s">
        <v>477</v>
      </c>
      <c r="AF8" s="354" t="s">
        <v>471</v>
      </c>
      <c r="AG8" s="354"/>
      <c r="AH8" s="354">
        <v>7</v>
      </c>
      <c r="AW8" s="416"/>
      <c r="AX8" s="416"/>
      <c r="AY8" s="416"/>
      <c r="AZ8" s="416"/>
      <c r="BA8" s="421"/>
    </row>
    <row r="9" spans="2:54" s="248" customFormat="1">
      <c r="L9" s="249"/>
      <c r="P9" s="249"/>
      <c r="AW9" s="416"/>
      <c r="AX9" s="416"/>
      <c r="AY9" s="416"/>
      <c r="AZ9" s="416"/>
      <c r="BA9" s="421"/>
    </row>
    <row r="10" spans="2:54" s="248" customFormat="1">
      <c r="L10" s="249"/>
      <c r="P10" s="249"/>
      <c r="AF10" s="248" t="s">
        <v>478</v>
      </c>
      <c r="AW10" s="416"/>
      <c r="AX10" s="416"/>
      <c r="AY10" s="416"/>
      <c r="AZ10" s="416"/>
      <c r="BA10" s="421"/>
    </row>
    <row r="11" spans="2:54" s="248" customFormat="1">
      <c r="L11" s="249"/>
      <c r="P11" s="249"/>
      <c r="AW11" s="416"/>
      <c r="AX11" s="416"/>
      <c r="AY11" s="416"/>
      <c r="AZ11" s="416"/>
      <c r="BA11" s="421"/>
    </row>
    <row r="12" spans="2:54" s="248" customFormat="1">
      <c r="L12" s="249"/>
      <c r="P12" s="249"/>
      <c r="AW12" s="416"/>
      <c r="AX12" s="416"/>
      <c r="AY12" s="416"/>
      <c r="AZ12" s="416"/>
      <c r="BA12" s="421"/>
    </row>
    <row r="13" spans="2:54">
      <c r="M13" s="252" t="s">
        <v>286</v>
      </c>
      <c r="N13" s="252" t="s">
        <v>286</v>
      </c>
      <c r="Q13" s="253" t="s">
        <v>287</v>
      </c>
      <c r="R13" s="253"/>
    </row>
    <row r="14" spans="2:54">
      <c r="N14" s="59" t="s">
        <v>288</v>
      </c>
    </row>
    <row r="15" spans="2:54">
      <c r="Q15" s="254" t="s">
        <v>289</v>
      </c>
      <c r="R15" s="87"/>
      <c r="S15" s="87"/>
      <c r="V15" s="59" t="s">
        <v>290</v>
      </c>
      <c r="W15" s="59" t="s">
        <v>291</v>
      </c>
      <c r="X15" s="59" t="s">
        <v>292</v>
      </c>
      <c r="Z15" s="59" t="s">
        <v>551</v>
      </c>
      <c r="AG15" s="59" t="s">
        <v>547</v>
      </c>
      <c r="AL15" s="59" t="s">
        <v>548</v>
      </c>
      <c r="AQ15" s="59" t="s">
        <v>550</v>
      </c>
    </row>
    <row r="16" spans="2:54">
      <c r="B16" s="255"/>
      <c r="C16" s="255" t="s">
        <v>19</v>
      </c>
      <c r="D16" s="255" t="s">
        <v>293</v>
      </c>
      <c r="E16" s="255" t="s">
        <v>23</v>
      </c>
      <c r="F16" s="255" t="s">
        <v>24</v>
      </c>
      <c r="G16" s="255" t="s">
        <v>25</v>
      </c>
      <c r="H16" s="255" t="s">
        <v>26</v>
      </c>
      <c r="I16" s="255" t="s">
        <v>27</v>
      </c>
      <c r="J16" s="255" t="s">
        <v>28</v>
      </c>
      <c r="M16" s="255" t="s">
        <v>294</v>
      </c>
      <c r="N16" s="255" t="s">
        <v>295</v>
      </c>
      <c r="Q16" s="255" t="str">
        <f>C16</f>
        <v>Groep A</v>
      </c>
      <c r="R16" s="256"/>
      <c r="S16" s="256"/>
      <c r="T16" s="256"/>
      <c r="U16" s="256"/>
      <c r="V16" s="255" t="s">
        <v>296</v>
      </c>
      <c r="W16" s="255" t="s">
        <v>28</v>
      </c>
      <c r="X16" s="255" t="s">
        <v>26</v>
      </c>
      <c r="Y16" s="255" t="s">
        <v>553</v>
      </c>
      <c r="Z16" s="255" t="s">
        <v>552</v>
      </c>
      <c r="AA16" s="255" t="s">
        <v>554</v>
      </c>
      <c r="AC16" s="255" t="s">
        <v>294</v>
      </c>
      <c r="AD16" s="255">
        <f>SUM(AC17:AC20)</f>
        <v>10</v>
      </c>
      <c r="AE16" s="257"/>
      <c r="AF16" s="255"/>
      <c r="AG16" s="408" t="str">
        <f>AF17</f>
        <v>Brazilië</v>
      </c>
      <c r="AH16" s="408" t="str">
        <f>AF18</f>
        <v>Kroatië</v>
      </c>
      <c r="AI16" s="408" t="str">
        <f>AF19</f>
        <v>Mexico</v>
      </c>
      <c r="AJ16" s="408" t="str">
        <f>AF20</f>
        <v>Kameroen</v>
      </c>
      <c r="AL16" s="408" t="str">
        <f>AG16</f>
        <v>Brazilië</v>
      </c>
      <c r="AM16" s="408" t="str">
        <f t="shared" ref="AM16:AO16" si="0">AH16</f>
        <v>Kroatië</v>
      </c>
      <c r="AN16" s="408" t="str">
        <f t="shared" si="0"/>
        <v>Mexico</v>
      </c>
      <c r="AO16" s="408" t="str">
        <f t="shared" si="0"/>
        <v>Kameroen</v>
      </c>
      <c r="AQ16" s="408" t="str">
        <f>AL16</f>
        <v>Brazilië</v>
      </c>
      <c r="AR16" s="408" t="str">
        <f t="shared" ref="AR16" si="1">AM16</f>
        <v>Kroatië</v>
      </c>
      <c r="AS16" s="408" t="str">
        <f t="shared" ref="AS16" si="2">AN16</f>
        <v>Mexico</v>
      </c>
      <c r="AT16" s="408" t="str">
        <f t="shared" ref="AT16" si="3">AO16</f>
        <v>Kameroen</v>
      </c>
      <c r="AW16" s="417">
        <f t="array" ref="AW16:AZ16">TRANSPOSE(AV17:AV20)</f>
        <v>757000</v>
      </c>
      <c r="AX16" s="417">
        <v>306000</v>
      </c>
      <c r="AY16" s="417">
        <v>734000</v>
      </c>
      <c r="AZ16" s="417">
        <v>-79000</v>
      </c>
      <c r="BA16" s="423"/>
      <c r="BB16" s="255" t="s">
        <v>552</v>
      </c>
    </row>
    <row r="17" spans="2:54">
      <c r="B17" s="68" t="str">
        <f>Toernooigegevens!M4</f>
        <v>A1</v>
      </c>
      <c r="C17" s="68" t="str">
        <f>Toernooigegevens!N4</f>
        <v>Brazilië</v>
      </c>
      <c r="D17" s="68">
        <f>(E17*3)+(F17*1)</f>
        <v>7</v>
      </c>
      <c r="E17" s="68">
        <f>SUMPRODUCT((Invulblad!$F$11:$F$16=C17)*(Invulblad!$M$11:$M$16="1"))+SUMPRODUCT((Invulblad!$J$11:$J$16=C17)*(Invulblad!$M$11:$M$16=2))</f>
        <v>2</v>
      </c>
      <c r="F17" s="68">
        <f>SUMPRODUCT((Invulblad!$F$11:$F$16=C17)*(Invulblad!$M$11:$M$16=3))+SUMPRODUCT((Invulblad!$J$11:$J$16=C17)*(Invulblad!$M$11:$M$16=3))</f>
        <v>1</v>
      </c>
      <c r="G17" s="68">
        <f>SUMPRODUCT((Invulblad!$F$11:$F$16=C17)*(Invulblad!$M$11:$M$16=2))+SUMPRODUCT((Invulblad!$J$11:$J$16=C17)*(Invulblad!$M$11:$M$16="1"))</f>
        <v>0</v>
      </c>
      <c r="H17" s="68">
        <f>SUMIF(Invulblad!$J$11:$J$16,C17,Invulblad!$I$11:$I$16)+SUMIF(Invulblad!$F$11:$F$16,C17,Invulblad!$G$11:$G$16)</f>
        <v>7</v>
      </c>
      <c r="I17" s="68">
        <f>SUMIF(Invulblad!$J$11:$J$16,C17,Invulblad!$G$11:$G$16)+SUMIF(Invulblad!$F$11:$F$16,C17,Invulblad!$I$11:$I$16)</f>
        <v>2</v>
      </c>
      <c r="J17" s="68">
        <f>H17-I17</f>
        <v>5</v>
      </c>
      <c r="M17" s="70">
        <f>IF(N17&gt;0,N17,AC17)</f>
        <v>1</v>
      </c>
      <c r="N17" s="124"/>
      <c r="O17" s="258"/>
      <c r="Q17" s="68">
        <v>4</v>
      </c>
      <c r="R17" s="68" t="str">
        <f>IF(SUM(E17:G17)&gt;0,"Ja","Nee")</f>
        <v>Ja</v>
      </c>
      <c r="S17" s="68">
        <f>IF(COUNTIF(R17:R20,"Ja")=4,-Q17,"")</f>
        <v>-4</v>
      </c>
      <c r="T17" s="68"/>
      <c r="U17" s="68" t="str">
        <f>IF(SUM(E17:G17)=3,"Ja","Nee")</f>
        <v>Ja</v>
      </c>
      <c r="V17" s="68">
        <f>D17*$AC$3</f>
        <v>700000</v>
      </c>
      <c r="W17" s="68">
        <f>J17*$AC$4</f>
        <v>50000</v>
      </c>
      <c r="X17" s="68">
        <f>H17*$AC$5</f>
        <v>7000</v>
      </c>
      <c r="Y17" s="68">
        <f>SUM(Q17:X17)</f>
        <v>757000</v>
      </c>
      <c r="Z17" s="68">
        <f>$AC$6*BB17</f>
        <v>0</v>
      </c>
      <c r="AA17" s="68">
        <f>SUM(Y17:Z17)</f>
        <v>757000</v>
      </c>
      <c r="AC17" s="70">
        <f>RANK(AA17,AA17:AA20)</f>
        <v>1</v>
      </c>
      <c r="AE17" s="257"/>
      <c r="AF17" s="409" t="str">
        <f>C17</f>
        <v>Brazilië</v>
      </c>
      <c r="AG17" s="68">
        <f>SUMPRODUCT((Invulblad!F11:F16=AF17)*(Invulblad!J11:J16=AG16)*(Invulblad!G11:G16))+SUMPRODUCT((Invulblad!J11:J16=AF17)*(Invulblad!F11:F16=AG16)*(Invulblad!I11:I16))</f>
        <v>0</v>
      </c>
      <c r="AH17" s="68">
        <f>SUMPRODUCT((Invulblad!F11:F16=AF17)*(Invulblad!J11:J16=AH16)*(Invulblad!G11:G16))+SUMPRODUCT((Invulblad!J11:J16=AF17)*(Invulblad!F11:F16=AH16)*(Invulblad!I11:I16))</f>
        <v>3</v>
      </c>
      <c r="AI17" s="68">
        <f>SUMPRODUCT((Invulblad!F11:F16=AF17)*(Invulblad!J11:J16=AI16)*(Invulblad!G11:G16))+SUMPRODUCT((Invulblad!J11:J16=AF17)*(Invulblad!F11:F16=AI16)*(Invulblad!I11:I16))</f>
        <v>0</v>
      </c>
      <c r="AJ17" s="68">
        <f>SUMPRODUCT((Invulblad!F11:F16=AF17)*(Invulblad!J11:J16=AJ16)*(Invulblad!G11:G16))+SUMPRODUCT((Invulblad!J11:J16=AF17)*(Invulblad!F11:F16=AJ16)*(Invulblad!I11:I16))</f>
        <v>4</v>
      </c>
      <c r="AL17" s="68">
        <f t="array" ref="AL17:AO20">TRANSPOSE(AG17:AJ20)</f>
        <v>0</v>
      </c>
      <c r="AM17" s="68">
        <v>1</v>
      </c>
      <c r="AN17" s="68">
        <v>0</v>
      </c>
      <c r="AO17" s="68">
        <v>1</v>
      </c>
      <c r="AQ17" s="68">
        <f>AG17-AL17</f>
        <v>0</v>
      </c>
      <c r="AR17" s="68">
        <f t="shared" ref="AR17:AR20" si="4">AH17-AM17</f>
        <v>2</v>
      </c>
      <c r="AS17" s="68">
        <f t="shared" ref="AS17:AS20" si="5">AI17-AN17</f>
        <v>0</v>
      </c>
      <c r="AT17" s="68">
        <f t="shared" ref="AT17:AT20" si="6">AJ17-AO17</f>
        <v>3</v>
      </c>
      <c r="AV17" s="256">
        <f>Y17</f>
        <v>757000</v>
      </c>
      <c r="AW17" s="70">
        <f>IF(AND($AV17=AW$16,AQ17&gt;0),1,)</f>
        <v>0</v>
      </c>
      <c r="AX17" s="70">
        <f t="shared" ref="AX17:AX20" si="7">IF(AND($AV17=AX$16,AR17&gt;0),1,)</f>
        <v>0</v>
      </c>
      <c r="AY17" s="418">
        <f t="shared" ref="AY17:AY20" si="8">IF(AND($AV17=AY$16,AS17&gt;0),1,)</f>
        <v>0</v>
      </c>
      <c r="AZ17" s="418">
        <f t="shared" ref="AZ17:AZ20" si="9">IF(AND($AV17=AZ$16,AT17&gt;0),1,)</f>
        <v>0</v>
      </c>
      <c r="BA17" s="424"/>
      <c r="BB17" s="409">
        <f>SUM(AW17:AZ17)</f>
        <v>0</v>
      </c>
    </row>
    <row r="18" spans="2:54">
      <c r="B18" s="77" t="str">
        <f>Toernooigegevens!M5</f>
        <v>A2</v>
      </c>
      <c r="C18" s="77" t="str">
        <f>Toernooigegevens!N5</f>
        <v>Kroatië</v>
      </c>
      <c r="D18" s="77">
        <f>(E18*3)+(F18*1)</f>
        <v>3</v>
      </c>
      <c r="E18" s="77">
        <f>SUMPRODUCT((Invulblad!$F$11:$F$16=C18)*(Invulblad!$M$11:$M$16="1"))+SUMPRODUCT((Invulblad!$J$11:$J$16=C18)*(Invulblad!$M$11:$M$16=2))</f>
        <v>1</v>
      </c>
      <c r="F18" s="77">
        <f>SUMPRODUCT((Invulblad!$F$11:$F$16=C18)*(Invulblad!$M$11:$M$16=3))+SUMPRODUCT((Invulblad!$J$11:$J$16=C18)*(Invulblad!$M$11:$M$16=3))</f>
        <v>0</v>
      </c>
      <c r="G18" s="77">
        <f>SUMPRODUCT((Invulblad!$F$11:$F$16=C18)*(Invulblad!$M$11:$M$16=2))+SUMPRODUCT((Invulblad!$J$11:$J$16=C18)*(Invulblad!$M$11:$M$16="1"))</f>
        <v>2</v>
      </c>
      <c r="H18" s="77">
        <f>SUMIF(Invulblad!$J$11:$J$16,C18,Invulblad!$I$11:$I$16)+SUMIF(Invulblad!$F$11:$F$16,C18,Invulblad!$G$11:$G$16)</f>
        <v>6</v>
      </c>
      <c r="I18" s="77">
        <f>SUMIF(Invulblad!$J$11:$J$16,C18,Invulblad!$G$11:$G$16)+SUMIF(Invulblad!$F$11:$F$16,C18,Invulblad!$I$11:$I$16)</f>
        <v>6</v>
      </c>
      <c r="J18" s="77">
        <f>H18-I18</f>
        <v>0</v>
      </c>
      <c r="M18" s="70">
        <f t="shared" ref="M18:M20" si="10">IF(N18&gt;0,N18,AC18)</f>
        <v>3</v>
      </c>
      <c r="N18" s="131"/>
      <c r="O18" s="258"/>
      <c r="Q18" s="77">
        <v>3</v>
      </c>
      <c r="R18" s="77" t="str">
        <f>IF(SUM(E18:G18)&gt;0,"Ja","Nee")</f>
        <v>Ja</v>
      </c>
      <c r="S18" s="77">
        <f>IF(COUNTIF(R17:R20,"Ja")=4,-Q18,"")</f>
        <v>-3</v>
      </c>
      <c r="T18" s="77"/>
      <c r="U18" s="77" t="str">
        <f>IF(SUM(E18:G18)=3,"Ja","Nee")</f>
        <v>Ja</v>
      </c>
      <c r="V18" s="77">
        <f>D18*$AC$3</f>
        <v>300000</v>
      </c>
      <c r="W18" s="77">
        <f>J18*$AC$4</f>
        <v>0</v>
      </c>
      <c r="X18" s="77">
        <f>H18*$AC$5</f>
        <v>6000</v>
      </c>
      <c r="Y18" s="77">
        <f>SUM(Q18:X18)</f>
        <v>306000</v>
      </c>
      <c r="Z18" s="77">
        <f t="shared" ref="Z18:Z20" si="11">$AC$6*BB18</f>
        <v>0</v>
      </c>
      <c r="AA18" s="77">
        <f>SUM(Y18:Z18)</f>
        <v>306000</v>
      </c>
      <c r="AC18" s="79">
        <f>RANK(AA18,AA17:AA20)</f>
        <v>3</v>
      </c>
      <c r="AE18" s="257"/>
      <c r="AF18" s="410" t="str">
        <f>C18</f>
        <v>Kroatië</v>
      </c>
      <c r="AG18" s="77">
        <f>SUMPRODUCT((Invulblad!F11:F16=AF18)*(Invulblad!J11:J16=AG16)*(Invulblad!G11:G16))+SUMPRODUCT((Invulblad!J11:J16=AF18)*(Invulblad!F11:F16=AG16)*(Invulblad!I11:I16))</f>
        <v>1</v>
      </c>
      <c r="AH18" s="77">
        <f>SUMPRODUCT((Invulblad!F11:F16=AF18)*(Invulblad!J11:J16=AH16)*(Invulblad!G11:G16))+SUMPRODUCT((Invulblad!J11:J16=AF18)*(Invulblad!F11:F16=AH16)*(Invulblad!I11:I16))</f>
        <v>0</v>
      </c>
      <c r="AI18" s="77">
        <f>SUMPRODUCT((Invulblad!F11:F16=AF18)*(Invulblad!J11:J16=AI16)*(Invulblad!G11:G16))+SUMPRODUCT((Invulblad!J11:J16=AF18)*(Invulblad!F11:F16=AI16)*(Invulblad!I11:I16))</f>
        <v>1</v>
      </c>
      <c r="AJ18" s="77">
        <f>SUMPRODUCT((Invulblad!F11:F16=AF18)*(Invulblad!J11:J16=AJ16)*(Invulblad!G11:G16))+SUMPRODUCT((Invulblad!J11:J16=AF18)*(Invulblad!F11:F16=AJ16)*(Invulblad!I11:I16))</f>
        <v>4</v>
      </c>
      <c r="AL18" s="77">
        <v>3</v>
      </c>
      <c r="AM18" s="77">
        <v>0</v>
      </c>
      <c r="AN18" s="77">
        <v>3</v>
      </c>
      <c r="AO18" s="77">
        <v>0</v>
      </c>
      <c r="AQ18" s="77">
        <f t="shared" ref="AQ18:AQ20" si="12">AG18-AL18</f>
        <v>-2</v>
      </c>
      <c r="AR18" s="77">
        <f t="shared" si="4"/>
        <v>0</v>
      </c>
      <c r="AS18" s="77">
        <f t="shared" si="5"/>
        <v>-2</v>
      </c>
      <c r="AT18" s="77">
        <f t="shared" si="6"/>
        <v>4</v>
      </c>
      <c r="AV18" s="256">
        <f t="shared" ref="AV18:AV20" si="13">Y18</f>
        <v>306000</v>
      </c>
      <c r="AW18" s="79">
        <f t="shared" ref="AW18:AW20" si="14">IF(AND($AV18=AW$16,AQ18&gt;0),1,)</f>
        <v>0</v>
      </c>
      <c r="AX18" s="79">
        <f t="shared" si="7"/>
        <v>0</v>
      </c>
      <c r="AY18" s="419">
        <f t="shared" si="8"/>
        <v>0</v>
      </c>
      <c r="AZ18" s="419">
        <f t="shared" si="9"/>
        <v>0</v>
      </c>
      <c r="BA18" s="425"/>
      <c r="BB18" s="410">
        <f>SUM(AW18:AZ18)</f>
        <v>0</v>
      </c>
    </row>
    <row r="19" spans="2:54">
      <c r="B19" s="68" t="str">
        <f>Toernooigegevens!M6</f>
        <v>A3</v>
      </c>
      <c r="C19" s="68" t="str">
        <f>Toernooigegevens!N6</f>
        <v>Mexico</v>
      </c>
      <c r="D19" s="68">
        <f>(E19*3)+(F19*1)</f>
        <v>7</v>
      </c>
      <c r="E19" s="68">
        <f>SUMPRODUCT((Invulblad!$F$11:$F$16=C19)*(Invulblad!$M$11:$M$16="1"))+SUMPRODUCT((Invulblad!$J$11:$J$16=C19)*(Invulblad!$M$11:$M$16=2))</f>
        <v>2</v>
      </c>
      <c r="F19" s="68">
        <f>SUMPRODUCT((Invulblad!$F$11:$F$16=C19)*(Invulblad!$M$11:$M$16=3))+SUMPRODUCT((Invulblad!$J$11:$J$16=C19)*(Invulblad!$M$11:$M$16=3))</f>
        <v>1</v>
      </c>
      <c r="G19" s="68">
        <f>SUMPRODUCT((Invulblad!$F$11:$F$16=C19)*(Invulblad!$M$11:$M$16=2))+SUMPRODUCT((Invulblad!$J$11:$J$16=C19)*(Invulblad!$M$11:$M$16="1"))</f>
        <v>0</v>
      </c>
      <c r="H19" s="68">
        <f>SUMIF(Invulblad!$J$11:$J$16,C19,Invulblad!$I$11:$I$16)+SUMIF(Invulblad!$F$11:$F$16,C19,Invulblad!$G$11:$G$16)</f>
        <v>4</v>
      </c>
      <c r="I19" s="68">
        <f>SUMIF(Invulblad!$J$11:$J$16,C19,Invulblad!$G$11:$G$16)+SUMIF(Invulblad!$F$11:$F$16,C19,Invulblad!$I$11:$I$16)</f>
        <v>1</v>
      </c>
      <c r="J19" s="68">
        <f>H19-I19</f>
        <v>3</v>
      </c>
      <c r="M19" s="70">
        <f t="shared" si="10"/>
        <v>2</v>
      </c>
      <c r="N19" s="124"/>
      <c r="O19" s="258"/>
      <c r="Q19" s="68">
        <v>2</v>
      </c>
      <c r="R19" s="68" t="str">
        <f>IF(SUM(E19:G19)&gt;0,"Ja","Nee")</f>
        <v>Ja</v>
      </c>
      <c r="S19" s="68">
        <f>IF(COUNTIF(R17:R20,"Ja")=4,-Q19,"")</f>
        <v>-2</v>
      </c>
      <c r="T19" s="68"/>
      <c r="U19" s="68" t="str">
        <f>IF(SUM(E19:G19)=3,"Ja","Nee")</f>
        <v>Ja</v>
      </c>
      <c r="V19" s="68">
        <f>D19*$AC$3</f>
        <v>700000</v>
      </c>
      <c r="W19" s="68">
        <f>J19*$AC$4</f>
        <v>30000</v>
      </c>
      <c r="X19" s="68">
        <f>H19*$AC$5</f>
        <v>4000</v>
      </c>
      <c r="Y19" s="68">
        <f>SUM(Q19:X19)</f>
        <v>734000</v>
      </c>
      <c r="Z19" s="68">
        <f t="shared" si="11"/>
        <v>0</v>
      </c>
      <c r="AA19" s="68">
        <f>SUM(Y19:Z19)</f>
        <v>734000</v>
      </c>
      <c r="AC19" s="70">
        <f>RANK(AA19,AA17:AA20)</f>
        <v>2</v>
      </c>
      <c r="AE19" s="257"/>
      <c r="AF19" s="409" t="str">
        <f>C19</f>
        <v>Mexico</v>
      </c>
      <c r="AG19" s="68">
        <f>SUMPRODUCT((Invulblad!F11:F16=AF19)*(Invulblad!J11:J16=AG16)*(Invulblad!G11:G16))+SUMPRODUCT((Invulblad!J11:J16=AF19)*(Invulblad!F11:F16=AG16)*(Invulblad!I11:I16))</f>
        <v>0</v>
      </c>
      <c r="AH19" s="68">
        <f>SUMPRODUCT((Invulblad!F11:F16=AF19)*(Invulblad!J11:J16=AH16)*(Invulblad!G11:G16))+SUMPRODUCT((Invulblad!J11:J16=AF19)*(Invulblad!F11:F16=AH16)*(Invulblad!I11:I16))</f>
        <v>3</v>
      </c>
      <c r="AI19" s="68">
        <f>SUMPRODUCT((Invulblad!F11:F16=AF19)*(Invulblad!J11:J16=AI16)*(Invulblad!G11:G16))+SUMPRODUCT((Invulblad!J11:J16=AF19)*(Invulblad!F11:F16=AI16)*(Invulblad!I11:I16))</f>
        <v>0</v>
      </c>
      <c r="AJ19" s="68">
        <f>SUMPRODUCT((Invulblad!F11:F16=AF19)*(Invulblad!J11:J16=AJ16)*(Invulblad!G11:G16))+SUMPRODUCT((Invulblad!J11:J16=AF19)*(Invulblad!F11:F16=AJ16)*(Invulblad!I11:I16))</f>
        <v>1</v>
      </c>
      <c r="AL19" s="68">
        <v>0</v>
      </c>
      <c r="AM19" s="68">
        <v>1</v>
      </c>
      <c r="AN19" s="68">
        <v>0</v>
      </c>
      <c r="AO19" s="68">
        <v>0</v>
      </c>
      <c r="AQ19" s="68">
        <f t="shared" si="12"/>
        <v>0</v>
      </c>
      <c r="AR19" s="68">
        <f t="shared" si="4"/>
        <v>2</v>
      </c>
      <c r="AS19" s="68">
        <f t="shared" si="5"/>
        <v>0</v>
      </c>
      <c r="AT19" s="68">
        <f t="shared" si="6"/>
        <v>1</v>
      </c>
      <c r="AV19" s="256">
        <f t="shared" si="13"/>
        <v>734000</v>
      </c>
      <c r="AW19" s="70">
        <f t="shared" si="14"/>
        <v>0</v>
      </c>
      <c r="AX19" s="70">
        <f t="shared" si="7"/>
        <v>0</v>
      </c>
      <c r="AY19" s="418">
        <f t="shared" si="8"/>
        <v>0</v>
      </c>
      <c r="AZ19" s="418">
        <f t="shared" si="9"/>
        <v>0</v>
      </c>
      <c r="BA19" s="424"/>
      <c r="BB19" s="409">
        <f>SUM(AW19:AZ19)</f>
        <v>0</v>
      </c>
    </row>
    <row r="20" spans="2:54">
      <c r="B20" s="77" t="str">
        <f>Toernooigegevens!M7</f>
        <v>A4</v>
      </c>
      <c r="C20" s="77" t="str">
        <f>Toernooigegevens!N7</f>
        <v>Kameroen</v>
      </c>
      <c r="D20" s="77">
        <f>(E20*3)+(F20*1)</f>
        <v>0</v>
      </c>
      <c r="E20" s="77">
        <f>SUMPRODUCT((Invulblad!$F$11:$F$16=C20)*(Invulblad!$M$11:$M$16="1"))+SUMPRODUCT((Invulblad!$J$11:$J$16=C20)*(Invulblad!$M$11:$M$16=2))</f>
        <v>0</v>
      </c>
      <c r="F20" s="77">
        <f>SUMPRODUCT((Invulblad!$F$11:$F$16=C20)*(Invulblad!$M$11:$M$16=3))+SUMPRODUCT((Invulblad!$J$11:$J$16=C20)*(Invulblad!$M$11:$M$16=3))</f>
        <v>0</v>
      </c>
      <c r="G20" s="77">
        <f>SUMPRODUCT((Invulblad!$F$11:$F$16=C20)*(Invulblad!$M$11:$M$16=2))+SUMPRODUCT((Invulblad!$J$11:$J$16=C20)*(Invulblad!$M$11:$M$16="1"))</f>
        <v>3</v>
      </c>
      <c r="H20" s="77">
        <f>SUMIF(Invulblad!$J$11:$J$16,C20,Invulblad!$I$11:$I$16)+SUMIF(Invulblad!$F$11:$F$16,C20,Invulblad!$G$11:$G$16)</f>
        <v>1</v>
      </c>
      <c r="I20" s="77">
        <f>SUMIF(Invulblad!$J$11:$J$16,C20,Invulblad!$G$11:$G$16)+SUMIF(Invulblad!$F$11:$F$16,C20,Invulblad!$I$11:$I$16)</f>
        <v>9</v>
      </c>
      <c r="J20" s="77">
        <f>H20-I20</f>
        <v>-8</v>
      </c>
      <c r="M20" s="70">
        <f t="shared" si="10"/>
        <v>4</v>
      </c>
      <c r="N20" s="131"/>
      <c r="O20" s="258"/>
      <c r="Q20" s="77">
        <v>1</v>
      </c>
      <c r="R20" s="77" t="str">
        <f>IF(SUM(E20:G20)&gt;0,"Ja","Nee")</f>
        <v>Ja</v>
      </c>
      <c r="S20" s="77">
        <f>IF(COUNTIF(R17:R20,"Ja")=4,-Q20,"")</f>
        <v>-1</v>
      </c>
      <c r="T20" s="77"/>
      <c r="U20" s="77" t="str">
        <f>IF(SUM(E20:G20)=3,"Ja","Nee")</f>
        <v>Ja</v>
      </c>
      <c r="V20" s="77">
        <f>D20*$AC$3</f>
        <v>0</v>
      </c>
      <c r="W20" s="77">
        <f>J20*$AC$4</f>
        <v>-80000</v>
      </c>
      <c r="X20" s="77">
        <f>H20*$AC$5</f>
        <v>1000</v>
      </c>
      <c r="Y20" s="77">
        <f>SUM(Q20:X20)</f>
        <v>-79000</v>
      </c>
      <c r="Z20" s="77">
        <f t="shared" si="11"/>
        <v>0</v>
      </c>
      <c r="AA20" s="77">
        <f>SUM(Y20:Z20)</f>
        <v>-79000</v>
      </c>
      <c r="AC20" s="79">
        <f>RANK(AA20,AA17:AA20)</f>
        <v>4</v>
      </c>
      <c r="AE20" s="257"/>
      <c r="AF20" s="410" t="str">
        <f>C20</f>
        <v>Kameroen</v>
      </c>
      <c r="AG20" s="77">
        <f>SUMPRODUCT((Invulblad!F11:F16=AF20)*(Invulblad!J11:J16=AG16)*(Invulblad!G11:G16))+SUMPRODUCT((Invulblad!J11:J16=AF20)*(Invulblad!F11:F16=AG16)*(Invulblad!I11:I16))</f>
        <v>1</v>
      </c>
      <c r="AH20" s="77">
        <f>SUMPRODUCT((Invulblad!F11:F16=AF20)*(Invulblad!J11:J16=AH16)*(Invulblad!G11:G16))+SUMPRODUCT((Invulblad!J11:J16=AF20)*(Invulblad!F11:F16=AH16)*(Invulblad!I11:I16))</f>
        <v>0</v>
      </c>
      <c r="AI20" s="77">
        <f>SUMPRODUCT((Invulblad!F11:F16=AF20)*(Invulblad!J11:J16=AI16)*(Invulblad!G11:G16))+SUMPRODUCT((Invulblad!J11:J16=AF20)*(Invulblad!F11:F16=AI16)*(Invulblad!I11:I16))</f>
        <v>0</v>
      </c>
      <c r="AJ20" s="77">
        <f>SUMPRODUCT((Invulblad!F11:F16=AF20)*(Invulblad!J11:J16=AJ16)*(Invulblad!G11:G16))+SUMPRODUCT((Invulblad!J11:J16=AF20)*(Invulblad!F11:F16=AJ16)*(Invulblad!I11:I16))</f>
        <v>0</v>
      </c>
      <c r="AL20" s="77">
        <v>4</v>
      </c>
      <c r="AM20" s="77">
        <v>4</v>
      </c>
      <c r="AN20" s="77">
        <v>1</v>
      </c>
      <c r="AO20" s="77">
        <v>0</v>
      </c>
      <c r="AQ20" s="77">
        <f t="shared" si="12"/>
        <v>-3</v>
      </c>
      <c r="AR20" s="77">
        <f t="shared" si="4"/>
        <v>-4</v>
      </c>
      <c r="AS20" s="77">
        <f t="shared" si="5"/>
        <v>-1</v>
      </c>
      <c r="AT20" s="77">
        <f t="shared" si="6"/>
        <v>0</v>
      </c>
      <c r="AV20" s="256">
        <f t="shared" si="13"/>
        <v>-79000</v>
      </c>
      <c r="AW20" s="79">
        <f t="shared" si="14"/>
        <v>0</v>
      </c>
      <c r="AX20" s="79">
        <f t="shared" si="7"/>
        <v>0</v>
      </c>
      <c r="AY20" s="419">
        <f t="shared" si="8"/>
        <v>0</v>
      </c>
      <c r="AZ20" s="419">
        <f t="shared" si="9"/>
        <v>0</v>
      </c>
      <c r="BA20" s="425"/>
      <c r="BB20" s="410">
        <f>SUM(AW20:AZ20)</f>
        <v>0</v>
      </c>
    </row>
    <row r="21" spans="2:54">
      <c r="Q21" s="355" t="s">
        <v>479</v>
      </c>
      <c r="R21" s="415"/>
      <c r="S21" s="355"/>
      <c r="T21" s="356"/>
      <c r="U21" s="357"/>
      <c r="AE21" s="257"/>
      <c r="AF21" s="257"/>
      <c r="AG21" s="257"/>
      <c r="AH21" s="257"/>
      <c r="AI21" s="257"/>
      <c r="AJ21" s="257"/>
      <c r="AL21" s="257"/>
      <c r="AM21" s="257"/>
      <c r="AN21" s="257"/>
      <c r="AO21" s="257"/>
      <c r="AQ21" s="257"/>
      <c r="AR21" s="257"/>
      <c r="AS21" s="257"/>
      <c r="AT21" s="257"/>
      <c r="AV21" s="257"/>
      <c r="AZ21" s="420"/>
      <c r="BA21" s="426"/>
      <c r="BB21" s="85"/>
    </row>
    <row r="22" spans="2:54" ht="12.75">
      <c r="Q22" s="413" t="s">
        <v>549</v>
      </c>
      <c r="R22" s="414"/>
      <c r="S22" s="357"/>
      <c r="T22" s="358"/>
      <c r="U22" s="357"/>
      <c r="AE22" s="87"/>
      <c r="AF22" s="411"/>
      <c r="AG22" s="411"/>
    </row>
    <row r="23" spans="2:54">
      <c r="Q23" s="254" t="s">
        <v>297</v>
      </c>
      <c r="R23" s="87"/>
      <c r="S23" s="87"/>
      <c r="V23" s="59" t="s">
        <v>290</v>
      </c>
      <c r="W23" s="59" t="s">
        <v>291</v>
      </c>
      <c r="X23" s="59" t="s">
        <v>292</v>
      </c>
      <c r="Z23" s="59" t="s">
        <v>551</v>
      </c>
      <c r="AG23" s="59" t="s">
        <v>547</v>
      </c>
      <c r="AL23" s="59" t="s">
        <v>548</v>
      </c>
      <c r="AQ23" s="59" t="s">
        <v>550</v>
      </c>
    </row>
    <row r="24" spans="2:54">
      <c r="B24" s="255"/>
      <c r="C24" s="255" t="s">
        <v>30</v>
      </c>
      <c r="D24" s="255" t="s">
        <v>293</v>
      </c>
      <c r="E24" s="255" t="s">
        <v>23</v>
      </c>
      <c r="F24" s="255" t="s">
        <v>24</v>
      </c>
      <c r="G24" s="255" t="s">
        <v>25</v>
      </c>
      <c r="H24" s="255" t="s">
        <v>26</v>
      </c>
      <c r="I24" s="255" t="s">
        <v>27</v>
      </c>
      <c r="J24" s="255" t="s">
        <v>28</v>
      </c>
      <c r="M24" s="255" t="s">
        <v>294</v>
      </c>
      <c r="N24" s="255" t="s">
        <v>295</v>
      </c>
      <c r="Q24" s="255" t="str">
        <f>C24</f>
        <v>Groep B</v>
      </c>
      <c r="R24" s="256"/>
      <c r="S24" s="256"/>
      <c r="T24" s="256"/>
      <c r="U24" s="256"/>
      <c r="V24" s="255" t="s">
        <v>296</v>
      </c>
      <c r="W24" s="255" t="s">
        <v>28</v>
      </c>
      <c r="X24" s="255" t="s">
        <v>26</v>
      </c>
      <c r="Y24" s="255" t="s">
        <v>553</v>
      </c>
      <c r="Z24" s="255" t="s">
        <v>552</v>
      </c>
      <c r="AA24" s="255" t="s">
        <v>554</v>
      </c>
      <c r="AC24" s="255" t="s">
        <v>294</v>
      </c>
      <c r="AD24" s="255">
        <f>SUM(AC25:AC28)</f>
        <v>10</v>
      </c>
      <c r="AF24" s="255"/>
      <c r="AG24" s="408" t="str">
        <f>AF25</f>
        <v>Spanje</v>
      </c>
      <c r="AH24" s="408" t="str">
        <f>AF26</f>
        <v>Nederland</v>
      </c>
      <c r="AI24" s="408" t="str">
        <f>AF27</f>
        <v>Chili</v>
      </c>
      <c r="AJ24" s="408" t="str">
        <f>AF28</f>
        <v>Australië</v>
      </c>
      <c r="AL24" s="408" t="str">
        <f>AG24</f>
        <v>Spanje</v>
      </c>
      <c r="AM24" s="408" t="str">
        <f t="shared" ref="AM24" si="15">AH24</f>
        <v>Nederland</v>
      </c>
      <c r="AN24" s="408" t="str">
        <f t="shared" ref="AN24" si="16">AI24</f>
        <v>Chili</v>
      </c>
      <c r="AO24" s="408" t="str">
        <f t="shared" ref="AO24" si="17">AJ24</f>
        <v>Australië</v>
      </c>
      <c r="AQ24" s="408" t="str">
        <f>AL24</f>
        <v>Spanje</v>
      </c>
      <c r="AR24" s="408" t="str">
        <f t="shared" ref="AR24" si="18">AM24</f>
        <v>Nederland</v>
      </c>
      <c r="AS24" s="408" t="str">
        <f t="shared" ref="AS24" si="19">AN24</f>
        <v>Chili</v>
      </c>
      <c r="AT24" s="408" t="str">
        <f t="shared" ref="AT24" si="20">AO24</f>
        <v>Australië</v>
      </c>
      <c r="AW24" s="417">
        <f t="array" ref="AW24:AZ24">TRANSPOSE(AV25:AV28)</f>
        <v>274001</v>
      </c>
      <c r="AX24" s="417">
        <v>980002</v>
      </c>
      <c r="AY24" s="417">
        <v>625003</v>
      </c>
      <c r="AZ24" s="417">
        <v>-56996</v>
      </c>
      <c r="BA24" s="423"/>
      <c r="BB24" s="255" t="s">
        <v>552</v>
      </c>
    </row>
    <row r="25" spans="2:54">
      <c r="B25" s="68" t="str">
        <f>Toernooigegevens!M12</f>
        <v>B1</v>
      </c>
      <c r="C25" s="68" t="str">
        <f>Toernooigegevens!N12</f>
        <v>Spanje</v>
      </c>
      <c r="D25" s="68">
        <f>(E25*3)+(F25*1)</f>
        <v>3</v>
      </c>
      <c r="E25" s="68">
        <f>SUMPRODUCT((Invulblad!$F$19:$F$24=C25)*(Invulblad!$M$19:$M$24="1"))+SUMPRODUCT((Invulblad!$J$19:$J$24=C25)*(Invulblad!$M$19:$M$24=2))</f>
        <v>1</v>
      </c>
      <c r="F25" s="68">
        <f>SUMPRODUCT((Invulblad!$F$19:$F$24=C25)*(Invulblad!$M$19:$M$24=3))+SUMPRODUCT((Invulblad!$J$19:$J$24=C25)*(Invulblad!$M$19:$M$24=3))</f>
        <v>0</v>
      </c>
      <c r="G25" s="68">
        <f>SUMPRODUCT((Invulblad!$F$19:$F$24=C25)*(Invulblad!$M$19:$M$24=2))+SUMPRODUCT((Invulblad!$J$19:$J$24=C25)*(Invulblad!$M$19:$M$24="1"))</f>
        <v>2</v>
      </c>
      <c r="H25" s="68">
        <f>SUMIF(Invulblad!$J$19:$J$24,C25,Invulblad!$I$19:$I$24)+SUMIF(Invulblad!$F$19:$F$24,C25,Invulblad!$G$19:$G$24)</f>
        <v>4</v>
      </c>
      <c r="I25" s="68">
        <f>SUMIF(Invulblad!$J$19:$J$24,C25,Invulblad!$G$19:$G$24)+SUMIF(Invulblad!$F$19:$F$24,C25,Invulblad!$I$19:$I$24)</f>
        <v>7</v>
      </c>
      <c r="J25" s="68">
        <f>H25-I25</f>
        <v>-3</v>
      </c>
      <c r="M25" s="70">
        <f>IF(N25&gt;0,N25,AC25)</f>
        <v>3</v>
      </c>
      <c r="N25" s="124"/>
      <c r="O25" s="258"/>
      <c r="Q25" s="68">
        <v>4</v>
      </c>
      <c r="R25" s="68" t="str">
        <f>IF(SUM(E25:G25)&gt;0,"Ja","Nee")</f>
        <v>Ja</v>
      </c>
      <c r="S25" s="68">
        <f>IF(COUNTIF(R25:R28,"Ja")=4,-Q25,"")</f>
        <v>-4</v>
      </c>
      <c r="T25" s="68">
        <f>IF(S25&lt;&gt;"",(SUMPRODUCT(--(C25&lt;C25:C28))+1),"")</f>
        <v>1</v>
      </c>
      <c r="U25" s="68" t="str">
        <f>IF(SUM(E25:G25)=3,"Ja","Nee")</f>
        <v>Ja</v>
      </c>
      <c r="V25" s="68">
        <f>D25*$AC$3</f>
        <v>300000</v>
      </c>
      <c r="W25" s="68">
        <f>J25*$AC$4</f>
        <v>-30000</v>
      </c>
      <c r="X25" s="68">
        <f>H25*$AC$5</f>
        <v>4000</v>
      </c>
      <c r="Y25" s="68">
        <f>SUM(Q25:X25)</f>
        <v>274001</v>
      </c>
      <c r="Z25" s="68">
        <f>$AC$6*BB25</f>
        <v>0</v>
      </c>
      <c r="AA25" s="68">
        <f>SUM(Y25:Z25)</f>
        <v>274001</v>
      </c>
      <c r="AC25" s="70">
        <f>RANK(Y25,Y25:Y28)</f>
        <v>3</v>
      </c>
      <c r="AF25" s="409" t="str">
        <f>C25</f>
        <v>Spanje</v>
      </c>
      <c r="AG25" s="68">
        <f>SUMPRODUCT((Invulblad!F19:F24=AF25)*(Invulblad!J19:J24=AG24)*(Invulblad!G19:G24))+SUMPRODUCT((Invulblad!J19:J24=AF25)*(Invulblad!F19:F24=AG24)*(Invulblad!I19:I24))</f>
        <v>0</v>
      </c>
      <c r="AH25" s="68">
        <f>SUMPRODUCT((Invulblad!F19:F24=AF25)*(Invulblad!J19:J24=AH24)*(Invulblad!G19:G24))+SUMPRODUCT((Invulblad!J19:J24=AF25)*(Invulblad!F19:F24=AH24)*(Invulblad!I19:I24))</f>
        <v>1</v>
      </c>
      <c r="AI25" s="68">
        <f>SUMPRODUCT((Invulblad!F19:F24=AF25)*(Invulblad!J19:J24=AI24)*(Invulblad!G19:G24))+SUMPRODUCT((Invulblad!J19:J24=AF25)*(Invulblad!F19:F24=AI24)*(Invulblad!I19:I24))</f>
        <v>0</v>
      </c>
      <c r="AJ25" s="68">
        <f>SUMPRODUCT((Invulblad!F19:F24=AF25)*(Invulblad!J19:J24=AJ24)*(Invulblad!G19:G24))+SUMPRODUCT((Invulblad!J19:J24=AF25)*(Invulblad!F19:F24=AJ24)*(Invulblad!I19:I24))</f>
        <v>3</v>
      </c>
      <c r="AL25" s="68">
        <f t="array" ref="AL25:AO28">TRANSPOSE(AG25:AJ28)</f>
        <v>0</v>
      </c>
      <c r="AM25" s="68">
        <v>5</v>
      </c>
      <c r="AN25" s="68">
        <v>2</v>
      </c>
      <c r="AO25" s="68">
        <v>0</v>
      </c>
      <c r="AQ25" s="68">
        <f>AG25-AL25</f>
        <v>0</v>
      </c>
      <c r="AR25" s="68">
        <f t="shared" ref="AR25:AR28" si="21">AH25-AM25</f>
        <v>-4</v>
      </c>
      <c r="AS25" s="68">
        <f t="shared" ref="AS25:AS28" si="22">AI25-AN25</f>
        <v>-2</v>
      </c>
      <c r="AT25" s="68">
        <f t="shared" ref="AT25:AT28" si="23">AJ25-AO25</f>
        <v>3</v>
      </c>
      <c r="AV25" s="256">
        <f>Y25</f>
        <v>274001</v>
      </c>
      <c r="AW25" s="70">
        <f>IF(AND($AV25=AW$16,AQ25&gt;0),1,)</f>
        <v>0</v>
      </c>
      <c r="AX25" s="70">
        <f t="shared" ref="AX25:AX28" si="24">IF(AND($AV25=AX$16,AR25&gt;0),1,)</f>
        <v>0</v>
      </c>
      <c r="AY25" s="418">
        <f t="shared" ref="AY25:AY28" si="25">IF(AND($AV25=AY$16,AS25&gt;0),1,)</f>
        <v>0</v>
      </c>
      <c r="AZ25" s="418">
        <f t="shared" ref="AZ25:AZ28" si="26">IF(AND($AV25=AZ$16,AT25&gt;0),1,)</f>
        <v>0</v>
      </c>
      <c r="BA25" s="424"/>
      <c r="BB25" s="409">
        <f>SUM(AW25:AZ25)</f>
        <v>0</v>
      </c>
    </row>
    <row r="26" spans="2:54">
      <c r="B26" s="77" t="str">
        <f>Toernooigegevens!M13</f>
        <v>B2</v>
      </c>
      <c r="C26" s="77" t="str">
        <f>Toernooigegevens!N13</f>
        <v>Nederland</v>
      </c>
      <c r="D26" s="77">
        <f>(E26*3)+(F26*1)</f>
        <v>9</v>
      </c>
      <c r="E26" s="77">
        <f>SUMPRODUCT((Invulblad!$F$19:$F$24=C26)*(Invulblad!$M$19:$M$24="1"))+SUMPRODUCT((Invulblad!$J$19:$J$24=C26)*(Invulblad!$M$19:$M$24=2))</f>
        <v>3</v>
      </c>
      <c r="F26" s="77">
        <f>SUMPRODUCT((Invulblad!$F$19:$F$24=C26)*(Invulblad!$M$19:$M$24=3))+SUMPRODUCT((Invulblad!$J$19:$J$24=C26)*(Invulblad!$M$19:$M$24=3))</f>
        <v>0</v>
      </c>
      <c r="G26" s="77">
        <f>SUMPRODUCT((Invulblad!$F$19:$F$24=C26)*(Invulblad!$M$19:$M$24=2))+SUMPRODUCT((Invulblad!$J$19:$J$24=C26)*(Invulblad!$M$19:$M$24="1"))</f>
        <v>0</v>
      </c>
      <c r="H26" s="77">
        <f>SUMIF(Invulblad!$J$19:$J$24,C26,Invulblad!$I$19:$I$24)+SUMIF(Invulblad!$F$19:$F$24,C26,Invulblad!$G$19:$G$24)</f>
        <v>10</v>
      </c>
      <c r="I26" s="77">
        <f>SUMIF(Invulblad!$J$19:$J$24,C26,Invulblad!$G$19:$G$24)+SUMIF(Invulblad!$F$19:$F$24,C26,Invulblad!$I$19:$I$24)</f>
        <v>3</v>
      </c>
      <c r="J26" s="77">
        <f>H26-I26</f>
        <v>7</v>
      </c>
      <c r="M26" s="70">
        <f t="shared" ref="M26:M28" si="27">IF(N26&gt;0,N26,AC26)</f>
        <v>1</v>
      </c>
      <c r="N26" s="131"/>
      <c r="O26" s="258"/>
      <c r="Q26" s="77">
        <v>3</v>
      </c>
      <c r="R26" s="77" t="str">
        <f>IF(SUM(E26:G26)&gt;0,"Ja","Nee")</f>
        <v>Ja</v>
      </c>
      <c r="S26" s="77">
        <f>IF(COUNTIF(R25:R28,"Ja")=4,-Q26,"")</f>
        <v>-3</v>
      </c>
      <c r="T26" s="77">
        <f>IF(S26&lt;&gt;"",(SUMPRODUCT(--(C26&lt;C25:C28))+1),"")</f>
        <v>2</v>
      </c>
      <c r="U26" s="77" t="str">
        <f>IF(SUM(E26:G26)=3,"Ja","Nee")</f>
        <v>Ja</v>
      </c>
      <c r="V26" s="77">
        <f>D26*$AC$3</f>
        <v>900000</v>
      </c>
      <c r="W26" s="77">
        <f>J26*$AC$4</f>
        <v>70000</v>
      </c>
      <c r="X26" s="77">
        <f>H26*$AC$5</f>
        <v>10000</v>
      </c>
      <c r="Y26" s="77">
        <f>SUM(Q26:X26)</f>
        <v>980002</v>
      </c>
      <c r="Z26" s="77">
        <f t="shared" ref="Z26:Z28" si="28">$AC$6*BB26</f>
        <v>0</v>
      </c>
      <c r="AA26" s="77">
        <f>SUM(Y26:Z26)</f>
        <v>980002</v>
      </c>
      <c r="AC26" s="79">
        <f>RANK(Y26,Y25:Y28)</f>
        <v>1</v>
      </c>
      <c r="AF26" s="410" t="str">
        <f>C26</f>
        <v>Nederland</v>
      </c>
      <c r="AG26" s="77">
        <f>SUMPRODUCT((Invulblad!F19:F24=AF26)*(Invulblad!J19:J24=AG24)*(Invulblad!G19:G24))+SUMPRODUCT((Invulblad!J19:J24=AF26)*(Invulblad!F19:F24=AG24)*(Invulblad!I19:I24))</f>
        <v>5</v>
      </c>
      <c r="AH26" s="77">
        <f>SUMPRODUCT((Invulblad!F19:F24=AF26)*(Invulblad!J19:J24=AH24)*(Invulblad!G19:G24))+SUMPRODUCT((Invulblad!J19:J24=AF26)*(Invulblad!F19:F24=AH24)*(Invulblad!I19:I24))</f>
        <v>0</v>
      </c>
      <c r="AI26" s="77">
        <f>SUMPRODUCT((Invulblad!F19:F24=AF26)*(Invulblad!J19:J24=AI24)*(Invulblad!G19:G24))+SUMPRODUCT((Invulblad!J19:J24=AF26)*(Invulblad!F19:F24=AI24)*(Invulblad!I19:I24))</f>
        <v>2</v>
      </c>
      <c r="AJ26" s="77">
        <f>SUMPRODUCT((Invulblad!F19:F24=AF26)*(Invulblad!J19:J24=AJ24)*(Invulblad!G19:G24))+SUMPRODUCT((Invulblad!J19:J24=AF26)*(Invulblad!F19:F24=AJ24)*(Invulblad!I19:I24))</f>
        <v>3</v>
      </c>
      <c r="AL26" s="77">
        <v>1</v>
      </c>
      <c r="AM26" s="77">
        <v>0</v>
      </c>
      <c r="AN26" s="77">
        <v>0</v>
      </c>
      <c r="AO26" s="77">
        <v>2</v>
      </c>
      <c r="AQ26" s="77">
        <f t="shared" ref="AQ26:AQ28" si="29">AG26-AL26</f>
        <v>4</v>
      </c>
      <c r="AR26" s="77">
        <f t="shared" si="21"/>
        <v>0</v>
      </c>
      <c r="AS26" s="77">
        <f t="shared" si="22"/>
        <v>2</v>
      </c>
      <c r="AT26" s="77">
        <f t="shared" si="23"/>
        <v>1</v>
      </c>
      <c r="AV26" s="256">
        <f t="shared" ref="AV26:AV28" si="30">Y26</f>
        <v>980002</v>
      </c>
      <c r="AW26" s="79">
        <f t="shared" ref="AW26:AW28" si="31">IF(AND($AV26=AW$16,AQ26&gt;0),1,)</f>
        <v>0</v>
      </c>
      <c r="AX26" s="79">
        <f t="shared" si="24"/>
        <v>0</v>
      </c>
      <c r="AY26" s="419">
        <f t="shared" si="25"/>
        <v>0</v>
      </c>
      <c r="AZ26" s="419">
        <f t="shared" si="26"/>
        <v>0</v>
      </c>
      <c r="BA26" s="425"/>
      <c r="BB26" s="410">
        <f>SUM(AW26:AZ26)</f>
        <v>0</v>
      </c>
    </row>
    <row r="27" spans="2:54">
      <c r="B27" s="68" t="str">
        <f>Toernooigegevens!M14</f>
        <v>B3</v>
      </c>
      <c r="C27" s="68" t="str">
        <f>Toernooigegevens!N14</f>
        <v>Chili</v>
      </c>
      <c r="D27" s="68">
        <f>(E27*3)+(F27*1)</f>
        <v>6</v>
      </c>
      <c r="E27" s="68">
        <f>SUMPRODUCT((Invulblad!$F$19:$F$24=C27)*(Invulblad!$M$19:$M$24="1"))+SUMPRODUCT((Invulblad!$J$19:$J$24=C27)*(Invulblad!$M$19:$M$24=2))</f>
        <v>2</v>
      </c>
      <c r="F27" s="68">
        <f>SUMPRODUCT((Invulblad!$F$19:$F$24=C27)*(Invulblad!$M$19:$M$24=3))+SUMPRODUCT((Invulblad!$J$19:$J$24=C27)*(Invulblad!$M$19:$M$24=3))</f>
        <v>0</v>
      </c>
      <c r="G27" s="68">
        <f>SUMPRODUCT((Invulblad!$F$19:$F$24=C27)*(Invulblad!$M$19:$M$24=2))+SUMPRODUCT((Invulblad!$J$19:$J$24=C27)*(Invulblad!$M$19:$M$24="1"))</f>
        <v>1</v>
      </c>
      <c r="H27" s="68">
        <f>SUMIF(Invulblad!$J$19:$J$24,C27,Invulblad!$I$19:$I$24)+SUMIF(Invulblad!$F$19:$F$24,C27,Invulblad!$G$19:$G$24)</f>
        <v>5</v>
      </c>
      <c r="I27" s="68">
        <f>SUMIF(Invulblad!$J$19:$J$24,C27,Invulblad!$G$19:$G$24)+SUMIF(Invulblad!$F$19:$F$24,C27,Invulblad!$I$19:$I$24)</f>
        <v>3</v>
      </c>
      <c r="J27" s="68">
        <f>H27-I27</f>
        <v>2</v>
      </c>
      <c r="M27" s="70">
        <f t="shared" si="27"/>
        <v>2</v>
      </c>
      <c r="N27" s="124"/>
      <c r="O27" s="258"/>
      <c r="Q27" s="68">
        <v>2</v>
      </c>
      <c r="R27" s="68" t="str">
        <f>IF(SUM(E27:G27)&gt;0,"Ja","Nee")</f>
        <v>Ja</v>
      </c>
      <c r="S27" s="68">
        <f>IF(COUNTIF(R25:R28,"Ja")=4,-Q27,"")</f>
        <v>-2</v>
      </c>
      <c r="T27" s="68">
        <f>IF(S27&lt;&gt;"",(SUMPRODUCT(--(C27&lt;C25:C28))+1),"")</f>
        <v>3</v>
      </c>
      <c r="U27" s="68" t="str">
        <f>IF(SUM(E27:G27)=3,"Ja","Nee")</f>
        <v>Ja</v>
      </c>
      <c r="V27" s="68">
        <f>D27*$AC$3</f>
        <v>600000</v>
      </c>
      <c r="W27" s="68">
        <f>J27*$AC$4</f>
        <v>20000</v>
      </c>
      <c r="X27" s="68">
        <f>H27*$AC$5</f>
        <v>5000</v>
      </c>
      <c r="Y27" s="68">
        <f>SUM(Q27:X27)</f>
        <v>625003</v>
      </c>
      <c r="Z27" s="68">
        <f t="shared" si="28"/>
        <v>0</v>
      </c>
      <c r="AA27" s="68">
        <f>SUM(Y27:Z27)</f>
        <v>625003</v>
      </c>
      <c r="AC27" s="70">
        <f>RANK(Y27,Y25:Y28)</f>
        <v>2</v>
      </c>
      <c r="AF27" s="409" t="str">
        <f>C27</f>
        <v>Chili</v>
      </c>
      <c r="AG27" s="68">
        <f>SUMPRODUCT((Invulblad!F19:F24=AF27)*(Invulblad!J19:J24=AG24)*(Invulblad!G19:G24))+SUMPRODUCT((Invulblad!J19:J24=AF27)*(Invulblad!F19:F24=AG24)*(Invulblad!I19:I24))</f>
        <v>2</v>
      </c>
      <c r="AH27" s="68">
        <f>SUMPRODUCT((Invulblad!F19:F24=AF27)*(Invulblad!J19:J24=AH24)*(Invulblad!G19:G24))+SUMPRODUCT((Invulblad!J19:J24=AF27)*(Invulblad!F19:F24=AH24)*(Invulblad!I19:I24))</f>
        <v>0</v>
      </c>
      <c r="AI27" s="68">
        <f>SUMPRODUCT((Invulblad!F19:F24=AF27)*(Invulblad!J19:J24=AI24)*(Invulblad!G19:G24))+SUMPRODUCT((Invulblad!J19:J24=AF27)*(Invulblad!F19:F24=AI24)*(Invulblad!I19:I24))</f>
        <v>0</v>
      </c>
      <c r="AJ27" s="68">
        <f>SUMPRODUCT((Invulblad!F19:F24=AF27)*(Invulblad!J19:J24=AJ24)*(Invulblad!G19:G24))+SUMPRODUCT((Invulblad!J19:J24=AF27)*(Invulblad!F19:F24=AJ24)*(Invulblad!I19:I24))</f>
        <v>3</v>
      </c>
      <c r="AL27" s="68">
        <v>0</v>
      </c>
      <c r="AM27" s="68">
        <v>2</v>
      </c>
      <c r="AN27" s="68">
        <v>0</v>
      </c>
      <c r="AO27" s="68">
        <v>1</v>
      </c>
      <c r="AQ27" s="68">
        <f t="shared" si="29"/>
        <v>2</v>
      </c>
      <c r="AR27" s="68">
        <f t="shared" si="21"/>
        <v>-2</v>
      </c>
      <c r="AS27" s="68">
        <f t="shared" si="22"/>
        <v>0</v>
      </c>
      <c r="AT27" s="68">
        <f t="shared" si="23"/>
        <v>2</v>
      </c>
      <c r="AV27" s="256">
        <f t="shared" si="30"/>
        <v>625003</v>
      </c>
      <c r="AW27" s="70">
        <f t="shared" si="31"/>
        <v>0</v>
      </c>
      <c r="AX27" s="70">
        <f t="shared" si="24"/>
        <v>0</v>
      </c>
      <c r="AY27" s="418">
        <f t="shared" si="25"/>
        <v>0</v>
      </c>
      <c r="AZ27" s="418">
        <f t="shared" si="26"/>
        <v>0</v>
      </c>
      <c r="BA27" s="424"/>
      <c r="BB27" s="409">
        <f>SUM(AW27:AZ27)</f>
        <v>0</v>
      </c>
    </row>
    <row r="28" spans="2:54">
      <c r="B28" s="77" t="str">
        <f>Toernooigegevens!M15</f>
        <v>B4</v>
      </c>
      <c r="C28" s="77" t="str">
        <f>Toernooigegevens!N15</f>
        <v>Australië</v>
      </c>
      <c r="D28" s="77">
        <f>(E28*3)+(F28*1)</f>
        <v>0</v>
      </c>
      <c r="E28" s="77">
        <f>SUMPRODUCT((Invulblad!$F$19:$F$24=C28)*(Invulblad!$M$19:$M$24="1"))+SUMPRODUCT((Invulblad!$J$19:$J$24=C28)*(Invulblad!$M$19:$M$24=2))</f>
        <v>0</v>
      </c>
      <c r="F28" s="77">
        <f>SUMPRODUCT((Invulblad!$F$19:$F$24=C28)*(Invulblad!$M$19:$M$24=3))+SUMPRODUCT((Invulblad!$J$19:$J$24=C28)*(Invulblad!$M$19:$M$24=3))</f>
        <v>0</v>
      </c>
      <c r="G28" s="77">
        <f>SUMPRODUCT((Invulblad!$F$19:$F$24=C28)*(Invulblad!$M$19:$M$24=2))+SUMPRODUCT((Invulblad!$J$19:$J$24=C28)*(Invulblad!$M$19:$M$24="1"))</f>
        <v>3</v>
      </c>
      <c r="H28" s="77">
        <f>SUMIF(Invulblad!$J$19:$J$24,C28,Invulblad!$I$19:$I$24)+SUMIF(Invulblad!$F$19:$F$24,C28,Invulblad!$G$19:$G$24)</f>
        <v>3</v>
      </c>
      <c r="I28" s="77">
        <f>SUMIF(Invulblad!$J$19:$J$24,C28,Invulblad!$G$19:$G$24)+SUMIF(Invulblad!$F$19:$F$24,C28,Invulblad!$I$19:$I$24)</f>
        <v>9</v>
      </c>
      <c r="J28" s="77">
        <f>H28-I28</f>
        <v>-6</v>
      </c>
      <c r="M28" s="70">
        <f t="shared" si="27"/>
        <v>4</v>
      </c>
      <c r="N28" s="131"/>
      <c r="O28" s="258"/>
      <c r="Q28" s="77">
        <v>1</v>
      </c>
      <c r="R28" s="77" t="str">
        <f>IF(SUM(E28:G28)&gt;0,"Ja","Nee")</f>
        <v>Ja</v>
      </c>
      <c r="S28" s="77">
        <f>IF(COUNTIF(R25:R28,"Ja")=4,-Q28,"")</f>
        <v>-1</v>
      </c>
      <c r="T28" s="77">
        <f>IF(S28&lt;&gt;"",(SUMPRODUCT(--(C28&lt;C25:C28))+1),"")</f>
        <v>4</v>
      </c>
      <c r="U28" s="77" t="str">
        <f>IF(SUM(E28:G28)=3,"Ja","Nee")</f>
        <v>Ja</v>
      </c>
      <c r="V28" s="77">
        <f>D28*$AC$3</f>
        <v>0</v>
      </c>
      <c r="W28" s="77">
        <f>J28*$AC$4</f>
        <v>-60000</v>
      </c>
      <c r="X28" s="77">
        <f>H28*$AC$5</f>
        <v>3000</v>
      </c>
      <c r="Y28" s="77">
        <f>SUM(Q28:X28)</f>
        <v>-56996</v>
      </c>
      <c r="Z28" s="77">
        <f t="shared" si="28"/>
        <v>0</v>
      </c>
      <c r="AA28" s="77">
        <f>SUM(Y28:Z28)</f>
        <v>-56996</v>
      </c>
      <c r="AC28" s="79">
        <f>RANK(Y28,Y25:Y28)</f>
        <v>4</v>
      </c>
      <c r="AF28" s="410" t="str">
        <f>C28</f>
        <v>Australië</v>
      </c>
      <c r="AG28" s="77">
        <f>SUMPRODUCT((Invulblad!F19:F24=AF28)*(Invulblad!J19:J24=AG24)*(Invulblad!G19:G24))+SUMPRODUCT((Invulblad!J19:J24=AF28)*(Invulblad!F19:F24=AG24)*(Invulblad!I19:I24))</f>
        <v>0</v>
      </c>
      <c r="AH28" s="77">
        <f>SUMPRODUCT((Invulblad!F19:F24=AF28)*(Invulblad!J19:J24=AH24)*(Invulblad!G19:G24))+SUMPRODUCT((Invulblad!J19:J24=AF28)*(Invulblad!F19:F24=AH24)*(Invulblad!I19:I24))</f>
        <v>2</v>
      </c>
      <c r="AI28" s="77">
        <f>SUMPRODUCT((Invulblad!F19:F24=AF28)*(Invulblad!J19:J24=AI24)*(Invulblad!G19:G24))+SUMPRODUCT((Invulblad!J19:J24=AF28)*(Invulblad!F19:F24=AI24)*(Invulblad!I19:I24))</f>
        <v>1</v>
      </c>
      <c r="AJ28" s="77">
        <f>SUMPRODUCT((Invulblad!F19:F24=AF28)*(Invulblad!J19:J24=AJ24)*(Invulblad!G19:G24))+SUMPRODUCT((Invulblad!J19:J24=AF28)*(Invulblad!F19:F24=AJ24)*(Invulblad!I19:I24))</f>
        <v>0</v>
      </c>
      <c r="AL28" s="77">
        <v>3</v>
      </c>
      <c r="AM28" s="77">
        <v>3</v>
      </c>
      <c r="AN28" s="77">
        <v>3</v>
      </c>
      <c r="AO28" s="77">
        <v>0</v>
      </c>
      <c r="AQ28" s="77">
        <f t="shared" si="29"/>
        <v>-3</v>
      </c>
      <c r="AR28" s="77">
        <f t="shared" si="21"/>
        <v>-1</v>
      </c>
      <c r="AS28" s="77">
        <f t="shared" si="22"/>
        <v>-2</v>
      </c>
      <c r="AT28" s="77">
        <f t="shared" si="23"/>
        <v>0</v>
      </c>
      <c r="AV28" s="256">
        <f t="shared" si="30"/>
        <v>-56996</v>
      </c>
      <c r="AW28" s="79">
        <f t="shared" si="31"/>
        <v>0</v>
      </c>
      <c r="AX28" s="79">
        <f t="shared" si="24"/>
        <v>0</v>
      </c>
      <c r="AY28" s="419">
        <f t="shared" si="25"/>
        <v>0</v>
      </c>
      <c r="AZ28" s="419">
        <f t="shared" si="26"/>
        <v>0</v>
      </c>
      <c r="BA28" s="425"/>
      <c r="BB28" s="410">
        <f>SUM(AW28:AZ28)</f>
        <v>0</v>
      </c>
    </row>
    <row r="29" spans="2:54">
      <c r="AC29" s="357" t="s">
        <v>480</v>
      </c>
      <c r="AF29" s="87"/>
      <c r="AG29" s="87"/>
      <c r="AH29" s="87"/>
      <c r="AI29" s="87"/>
      <c r="AJ29" s="87"/>
      <c r="AK29" s="87"/>
      <c r="AL29" s="87"/>
      <c r="AM29" s="87"/>
      <c r="AN29" s="87"/>
      <c r="AO29" s="87"/>
      <c r="AP29" s="87"/>
      <c r="AQ29" s="87"/>
      <c r="AR29" s="87"/>
      <c r="AS29" s="87"/>
      <c r="AT29" s="87"/>
      <c r="AU29" s="87"/>
      <c r="AV29" s="257"/>
      <c r="AZ29" s="420"/>
      <c r="BA29" s="426"/>
      <c r="BB29" s="85"/>
    </row>
    <row r="30" spans="2:54">
      <c r="AF30" s="87"/>
      <c r="AG30" s="87"/>
      <c r="AH30" s="87"/>
      <c r="AI30" s="87"/>
      <c r="AJ30" s="87"/>
      <c r="AK30" s="87"/>
      <c r="AL30" s="87"/>
      <c r="AM30" s="87"/>
      <c r="AN30" s="87"/>
      <c r="AO30" s="87"/>
      <c r="AP30" s="87"/>
      <c r="AQ30" s="87"/>
      <c r="AR30" s="87"/>
      <c r="AS30" s="87"/>
      <c r="AT30" s="87"/>
      <c r="AU30" s="87"/>
      <c r="AV30" s="87"/>
    </row>
    <row r="31" spans="2:54">
      <c r="Q31" s="254" t="s">
        <v>297</v>
      </c>
      <c r="R31" s="87"/>
      <c r="S31" s="87"/>
      <c r="V31" s="59" t="s">
        <v>290</v>
      </c>
      <c r="W31" s="59" t="s">
        <v>291</v>
      </c>
      <c r="X31" s="59" t="s">
        <v>292</v>
      </c>
      <c r="Z31" s="59" t="s">
        <v>551</v>
      </c>
      <c r="AG31" s="59" t="s">
        <v>547</v>
      </c>
      <c r="AL31" s="59" t="s">
        <v>548</v>
      </c>
      <c r="AP31" s="87"/>
      <c r="AQ31" s="59" t="s">
        <v>550</v>
      </c>
      <c r="AU31" s="87"/>
    </row>
    <row r="32" spans="2:54">
      <c r="B32" s="255"/>
      <c r="C32" s="255" t="s">
        <v>31</v>
      </c>
      <c r="D32" s="255" t="s">
        <v>293</v>
      </c>
      <c r="E32" s="255" t="s">
        <v>23</v>
      </c>
      <c r="F32" s="255" t="s">
        <v>24</v>
      </c>
      <c r="G32" s="255" t="s">
        <v>25</v>
      </c>
      <c r="H32" s="255" t="s">
        <v>26</v>
      </c>
      <c r="I32" s="255" t="s">
        <v>27</v>
      </c>
      <c r="J32" s="255" t="s">
        <v>28</v>
      </c>
      <c r="M32" s="255" t="s">
        <v>294</v>
      </c>
      <c r="N32" s="255" t="s">
        <v>295</v>
      </c>
      <c r="Q32" s="255" t="str">
        <f>C32</f>
        <v>Groep C</v>
      </c>
      <c r="R32" s="256"/>
      <c r="S32" s="256"/>
      <c r="T32" s="256"/>
      <c r="U32" s="256"/>
      <c r="V32" s="255" t="s">
        <v>296</v>
      </c>
      <c r="W32" s="255" t="s">
        <v>28</v>
      </c>
      <c r="X32" s="255" t="s">
        <v>26</v>
      </c>
      <c r="Y32" s="255" t="s">
        <v>553</v>
      </c>
      <c r="Z32" s="255" t="s">
        <v>552</v>
      </c>
      <c r="AA32" s="255" t="s">
        <v>554</v>
      </c>
      <c r="AC32" s="255" t="s">
        <v>294</v>
      </c>
      <c r="AD32" s="255">
        <f>SUM(AC33:AC36)</f>
        <v>10</v>
      </c>
      <c r="AF32" s="255"/>
      <c r="AG32" s="408" t="str">
        <f>AF33</f>
        <v>Colombia</v>
      </c>
      <c r="AH32" s="408" t="str">
        <f>AF34</f>
        <v>Griekenland</v>
      </c>
      <c r="AI32" s="408" t="str">
        <f>AF35</f>
        <v>Ivoorkust</v>
      </c>
      <c r="AJ32" s="408" t="str">
        <f>AF36</f>
        <v>Japan</v>
      </c>
      <c r="AL32" s="408" t="str">
        <f>AG32</f>
        <v>Colombia</v>
      </c>
      <c r="AM32" s="408" t="str">
        <f t="shared" ref="AM32" si="32">AH32</f>
        <v>Griekenland</v>
      </c>
      <c r="AN32" s="408" t="str">
        <f t="shared" ref="AN32" si="33">AI32</f>
        <v>Ivoorkust</v>
      </c>
      <c r="AO32" s="408" t="str">
        <f t="shared" ref="AO32" si="34">AJ32</f>
        <v>Japan</v>
      </c>
      <c r="AP32" s="87"/>
      <c r="AQ32" s="408" t="str">
        <f>AL32</f>
        <v>Colombia</v>
      </c>
      <c r="AR32" s="408" t="str">
        <f t="shared" ref="AR32" si="35">AM32</f>
        <v>Griekenland</v>
      </c>
      <c r="AS32" s="408" t="str">
        <f t="shared" ref="AS32" si="36">AN32</f>
        <v>Ivoorkust</v>
      </c>
      <c r="AT32" s="408" t="str">
        <f t="shared" ref="AT32" si="37">AO32</f>
        <v>Japan</v>
      </c>
      <c r="AU32" s="87"/>
      <c r="AW32" s="417">
        <f t="array" ref="AW32:AZ32">TRANSPOSE(AV33:AV36)</f>
        <v>979004</v>
      </c>
      <c r="AX32" s="417">
        <v>382003</v>
      </c>
      <c r="AY32" s="417">
        <v>294002</v>
      </c>
      <c r="AZ32" s="417">
        <v>62001</v>
      </c>
      <c r="BA32" s="423"/>
      <c r="BB32" s="255" t="s">
        <v>552</v>
      </c>
    </row>
    <row r="33" spans="2:54">
      <c r="B33" s="68" t="str">
        <f>Toernooigegevens!M20</f>
        <v>C1</v>
      </c>
      <c r="C33" s="68" t="str">
        <f>Toernooigegevens!N20</f>
        <v>Colombia</v>
      </c>
      <c r="D33" s="68">
        <f>(E33*3)+(F33*1)</f>
        <v>9</v>
      </c>
      <c r="E33" s="68">
        <f>SUMPRODUCT((Invulblad!$F$27:$F$32=C33)*(Invulblad!$M$27:$M$32="1"))+SUMPRODUCT((Invulblad!$J$27:$J$32=C33)*(Invulblad!$M$27:$M$32=2))</f>
        <v>3</v>
      </c>
      <c r="F33" s="68">
        <f>SUMPRODUCT((Invulblad!$F$27:$F$32=C33)*(Invulblad!$M$27:$M$32=3))+SUMPRODUCT((Invulblad!$J$27:$J$32=C33)*(Invulblad!$M$27:$M$32=3))</f>
        <v>0</v>
      </c>
      <c r="G33" s="68">
        <f>SUMPRODUCT((Invulblad!$F$27:$F$32=C33)*(Invulblad!$M$27:$M$32=2))+SUMPRODUCT((Invulblad!$J$27:$J$32=C33)*(Invulblad!$M$27:$M$32="1"))</f>
        <v>0</v>
      </c>
      <c r="H33" s="68">
        <f>SUMIF(Invulblad!$J$27:$J$32,C33,Invulblad!$I$27:$I$32)+SUMIF(Invulblad!$F$27:$F$32,C33,Invulblad!$G$27:$G$32)</f>
        <v>9</v>
      </c>
      <c r="I33" s="68">
        <f>SUMIF(Invulblad!$J$27:$J$32,C33,Invulblad!$G$27:$G$32)+SUMIF(Invulblad!$F$27:$F$32,C33,Invulblad!$I$27:$I$32)</f>
        <v>2</v>
      </c>
      <c r="J33" s="68">
        <f>H33-I33</f>
        <v>7</v>
      </c>
      <c r="M33" s="70">
        <f>IF(N33&gt;0,N33,AC33)</f>
        <v>1</v>
      </c>
      <c r="N33" s="124"/>
      <c r="O33" s="258"/>
      <c r="Q33" s="68">
        <v>4</v>
      </c>
      <c r="R33" s="68" t="str">
        <f>IF(SUM(E33:G33)&gt;0,"Ja","Nee")</f>
        <v>Ja</v>
      </c>
      <c r="S33" s="68">
        <f>IF(COUNTIF(R33:R36,"Ja")=4,-Q33,"")</f>
        <v>-4</v>
      </c>
      <c r="T33" s="68">
        <f>IF(S33&lt;&gt;"",(SUMPRODUCT(--(C33&lt;C33:C36))+1),"")</f>
        <v>4</v>
      </c>
      <c r="U33" s="68" t="str">
        <f>IF(SUM(E33:G33)=3,"Ja","Nee")</f>
        <v>Ja</v>
      </c>
      <c r="V33" s="68">
        <f>D33*$AC$3</f>
        <v>900000</v>
      </c>
      <c r="W33" s="68">
        <f>J33*$AC$4</f>
        <v>70000</v>
      </c>
      <c r="X33" s="68">
        <f>H33*$AC$5</f>
        <v>9000</v>
      </c>
      <c r="Y33" s="68">
        <f>SUM(Q33:X33)</f>
        <v>979004</v>
      </c>
      <c r="Z33" s="68">
        <f>$AC$6*BB33</f>
        <v>0</v>
      </c>
      <c r="AA33" s="68">
        <f>SUM(Y33:Z33)</f>
        <v>979004</v>
      </c>
      <c r="AC33" s="70">
        <f>RANK(Y33,Y33:Y36)</f>
        <v>1</v>
      </c>
      <c r="AF33" s="409" t="str">
        <f>C33</f>
        <v>Colombia</v>
      </c>
      <c r="AG33" s="68">
        <f>SUMPRODUCT((Invulblad!F27:F32=AF33)*(Invulblad!J27:J32=AG32)*(Invulblad!G27:G32))+SUMPRODUCT((Invulblad!J27:J32=AF33)*(Invulblad!F27:F32=AG32)*(Invulblad!I27:I32))</f>
        <v>0</v>
      </c>
      <c r="AH33" s="68">
        <f>SUMPRODUCT((Invulblad!F27:F32=AF33)*(Invulblad!J27:J32=AH32)*(Invulblad!G27:G32))+SUMPRODUCT((Invulblad!J27:J32=AF33)*(Invulblad!F27:F32=AH32)*(Invulblad!I27:I32))</f>
        <v>3</v>
      </c>
      <c r="AI33" s="68">
        <f>SUMPRODUCT((Invulblad!F27:F32=AF33)*(Invulblad!J27:J32=AI32)*(Invulblad!G27:G32))+SUMPRODUCT((Invulblad!J27:J32=AF33)*(Invulblad!F27:F32=AI32)*(Invulblad!I27:I32))</f>
        <v>2</v>
      </c>
      <c r="AJ33" s="68">
        <f>SUMPRODUCT((Invulblad!F27:F32=AF33)*(Invulblad!J27:J32=AJ32)*(Invulblad!G27:G32))+SUMPRODUCT((Invulblad!J27:J32=AF33)*(Invulblad!F27:F32=AJ32)*(Invulblad!I27:I32))</f>
        <v>4</v>
      </c>
      <c r="AL33" s="68">
        <f t="array" ref="AL33:AO36">TRANSPOSE(AG33:AJ36)</f>
        <v>0</v>
      </c>
      <c r="AM33" s="68">
        <v>0</v>
      </c>
      <c r="AN33" s="68">
        <v>1</v>
      </c>
      <c r="AO33" s="68">
        <v>1</v>
      </c>
      <c r="AP33" s="87"/>
      <c r="AQ33" s="68">
        <f>AG33-AL33</f>
        <v>0</v>
      </c>
      <c r="AR33" s="68">
        <f t="shared" ref="AR33:AR36" si="38">AH33-AM33</f>
        <v>3</v>
      </c>
      <c r="AS33" s="68">
        <f t="shared" ref="AS33:AS36" si="39">AI33-AN33</f>
        <v>1</v>
      </c>
      <c r="AT33" s="68">
        <f t="shared" ref="AT33:AT36" si="40">AJ33-AO33</f>
        <v>3</v>
      </c>
      <c r="AU33" s="87"/>
      <c r="AV33" s="256">
        <f>Y33</f>
        <v>979004</v>
      </c>
      <c r="AW33" s="70">
        <f>IF(AND($AV33=AW$16,AQ33&gt;0),1,)</f>
        <v>0</v>
      </c>
      <c r="AX33" s="70">
        <f t="shared" ref="AX33:AX36" si="41">IF(AND($AV33=AX$16,AR33&gt;0),1,)</f>
        <v>0</v>
      </c>
      <c r="AY33" s="418">
        <f t="shared" ref="AY33:AY36" si="42">IF(AND($AV33=AY$16,AS33&gt;0),1,)</f>
        <v>0</v>
      </c>
      <c r="AZ33" s="418">
        <f t="shared" ref="AZ33:AZ36" si="43">IF(AND($AV33=AZ$16,AT33&gt;0),1,)</f>
        <v>0</v>
      </c>
      <c r="BA33" s="424"/>
      <c r="BB33" s="409">
        <f>SUM(AW33:AZ33)</f>
        <v>0</v>
      </c>
    </row>
    <row r="34" spans="2:54">
      <c r="B34" s="77" t="str">
        <f>Toernooigegevens!M21</f>
        <v>C2</v>
      </c>
      <c r="C34" s="77" t="str">
        <f>Toernooigegevens!N21</f>
        <v>Griekenland</v>
      </c>
      <c r="D34" s="77">
        <f>(E34*3)+(F34*1)</f>
        <v>4</v>
      </c>
      <c r="E34" s="77">
        <f>SUMPRODUCT((Invulblad!$F$27:$F$32=C34)*(Invulblad!$M$27:$M$32="1"))+SUMPRODUCT((Invulblad!$J$27:$J$32=C34)*(Invulblad!$M$27:$M$32=2))</f>
        <v>1</v>
      </c>
      <c r="F34" s="77">
        <f>SUMPRODUCT((Invulblad!$F$27:$F$32=C34)*(Invulblad!$M$27:$M$32=3))+SUMPRODUCT((Invulblad!$J$27:$J$32=C34)*(Invulblad!$M$27:$M$32=3))</f>
        <v>1</v>
      </c>
      <c r="G34" s="77">
        <f>SUMPRODUCT((Invulblad!$F$27:$F$32=C34)*(Invulblad!$M$27:$M$32=2))+SUMPRODUCT((Invulblad!$J$27:$J$32=C34)*(Invulblad!$M$27:$M$32="1"))</f>
        <v>1</v>
      </c>
      <c r="H34" s="77">
        <f>SUMIF(Invulblad!$J$27:$J$32,C34,Invulblad!$I$27:$I$32)+SUMIF(Invulblad!$F$27:$F$32,C34,Invulblad!$G$27:$G$32)</f>
        <v>2</v>
      </c>
      <c r="I34" s="77">
        <f>SUMIF(Invulblad!$J$27:$J$32,C34,Invulblad!$G$27:$G$32)+SUMIF(Invulblad!$F$27:$F$32,C34,Invulblad!$I$27:$I$32)</f>
        <v>4</v>
      </c>
      <c r="J34" s="77">
        <f>H34-I34</f>
        <v>-2</v>
      </c>
      <c r="M34" s="70">
        <f t="shared" ref="M34:M36" si="44">IF(N34&gt;0,N34,AC34)</f>
        <v>2</v>
      </c>
      <c r="N34" s="131"/>
      <c r="O34" s="258"/>
      <c r="Q34" s="77">
        <v>3</v>
      </c>
      <c r="R34" s="77" t="str">
        <f>IF(SUM(E34:G34)&gt;0,"Ja","Nee")</f>
        <v>Ja</v>
      </c>
      <c r="S34" s="77">
        <f>IF(COUNTIF(R33:R36,"Ja")=4,-Q34,"")</f>
        <v>-3</v>
      </c>
      <c r="T34" s="77">
        <f>IF(S34&lt;&gt;"",(SUMPRODUCT(--(C34&lt;C33:C36))+1),"")</f>
        <v>3</v>
      </c>
      <c r="U34" s="77" t="str">
        <f>IF(SUM(E34:G34)=3,"Ja","Nee")</f>
        <v>Ja</v>
      </c>
      <c r="V34" s="77">
        <f>D34*$AC$3</f>
        <v>400000</v>
      </c>
      <c r="W34" s="77">
        <f>J34*$AC$4</f>
        <v>-20000</v>
      </c>
      <c r="X34" s="77">
        <f>H34*$AC$5</f>
        <v>2000</v>
      </c>
      <c r="Y34" s="77">
        <f>SUM(Q34:X34)</f>
        <v>382003</v>
      </c>
      <c r="Z34" s="77">
        <f t="shared" ref="Z34:Z36" si="45">$AC$6*BB34</f>
        <v>0</v>
      </c>
      <c r="AA34" s="77">
        <f>SUM(Y34:Z34)</f>
        <v>382003</v>
      </c>
      <c r="AC34" s="79">
        <f>RANK(Y34,Y33:Y36)</f>
        <v>2</v>
      </c>
      <c r="AF34" s="410" t="str">
        <f>C34</f>
        <v>Griekenland</v>
      </c>
      <c r="AG34" s="77">
        <f>SUMPRODUCT((Invulblad!F27:F32=AF34)*(Invulblad!J27:J32=AG32)*(Invulblad!G27:G32))+SUMPRODUCT((Invulblad!J27:J32=AF34)*(Invulblad!F27:F32=AG32)*(Invulblad!I27:I32))</f>
        <v>0</v>
      </c>
      <c r="AH34" s="77">
        <f>SUMPRODUCT((Invulblad!F27:F32=AF34)*(Invulblad!J27:J32=AH32)*(Invulblad!G27:G32))+SUMPRODUCT((Invulblad!J27:J32=AF34)*(Invulblad!F27:F32=AH32)*(Invulblad!I27:I32))</f>
        <v>0</v>
      </c>
      <c r="AI34" s="77">
        <f>SUMPRODUCT((Invulblad!F27:F32=AF34)*(Invulblad!J27:J32=AI32)*(Invulblad!G27:G32))+SUMPRODUCT((Invulblad!J27:J32=AF34)*(Invulblad!F27:F32=AI32)*(Invulblad!I27:I32))</f>
        <v>2</v>
      </c>
      <c r="AJ34" s="77">
        <f>SUMPRODUCT((Invulblad!F27:F32=AF34)*(Invulblad!J27:J32=AJ32)*(Invulblad!G27:G32))+SUMPRODUCT((Invulblad!J27:J32=AF34)*(Invulblad!F27:F32=AJ32)*(Invulblad!I27:I32))</f>
        <v>0</v>
      </c>
      <c r="AL34" s="77">
        <v>3</v>
      </c>
      <c r="AM34" s="77">
        <v>0</v>
      </c>
      <c r="AN34" s="77">
        <v>1</v>
      </c>
      <c r="AO34" s="77">
        <v>0</v>
      </c>
      <c r="AP34" s="87"/>
      <c r="AQ34" s="77">
        <f t="shared" ref="AQ34:AQ36" si="46">AG34-AL34</f>
        <v>-3</v>
      </c>
      <c r="AR34" s="77">
        <f t="shared" si="38"/>
        <v>0</v>
      </c>
      <c r="AS34" s="77">
        <f t="shared" si="39"/>
        <v>1</v>
      </c>
      <c r="AT34" s="77">
        <f t="shared" si="40"/>
        <v>0</v>
      </c>
      <c r="AU34" s="87"/>
      <c r="AV34" s="256">
        <f t="shared" ref="AV34:AV36" si="47">Y34</f>
        <v>382003</v>
      </c>
      <c r="AW34" s="79">
        <f t="shared" ref="AW34:AW36" si="48">IF(AND($AV34=AW$16,AQ34&gt;0),1,)</f>
        <v>0</v>
      </c>
      <c r="AX34" s="79">
        <f t="shared" si="41"/>
        <v>0</v>
      </c>
      <c r="AY34" s="419">
        <f t="shared" si="42"/>
        <v>0</v>
      </c>
      <c r="AZ34" s="419">
        <f t="shared" si="43"/>
        <v>0</v>
      </c>
      <c r="BA34" s="425"/>
      <c r="BB34" s="410">
        <f>SUM(AW34:AZ34)</f>
        <v>0</v>
      </c>
    </row>
    <row r="35" spans="2:54">
      <c r="B35" s="68" t="str">
        <f>Toernooigegevens!M22</f>
        <v>C3</v>
      </c>
      <c r="C35" s="68" t="str">
        <f>Toernooigegevens!N22</f>
        <v>Ivoorkust</v>
      </c>
      <c r="D35" s="68">
        <f>(E35*3)+(F35*1)</f>
        <v>3</v>
      </c>
      <c r="E35" s="68">
        <f>SUMPRODUCT((Invulblad!$F$27:$F$32=C35)*(Invulblad!$M$27:$M$32="1"))+SUMPRODUCT((Invulblad!$J$27:$J$32=C35)*(Invulblad!$M$27:$M$32=2))</f>
        <v>1</v>
      </c>
      <c r="F35" s="68">
        <f>SUMPRODUCT((Invulblad!$F$27:$F$32=C35)*(Invulblad!$M$27:$M$32=3))+SUMPRODUCT((Invulblad!$J$27:$J$32=C35)*(Invulblad!$M$27:$M$32=3))</f>
        <v>0</v>
      </c>
      <c r="G35" s="68">
        <f>SUMPRODUCT((Invulblad!$F$27:$F$32=C35)*(Invulblad!$M$27:$M$32=2))+SUMPRODUCT((Invulblad!$J$27:$J$32=C35)*(Invulblad!$M$27:$M$32="1"))</f>
        <v>2</v>
      </c>
      <c r="H35" s="68">
        <f>SUMIF(Invulblad!$J$27:$J$32,C35,Invulblad!$I$27:$I$32)+SUMIF(Invulblad!$F$27:$F$32,C35,Invulblad!$G$27:$G$32)</f>
        <v>4</v>
      </c>
      <c r="I35" s="68">
        <f>SUMIF(Invulblad!$J$27:$J$32,C35,Invulblad!$G$27:$G$32)+SUMIF(Invulblad!$F$27:$F$32,C35,Invulblad!$I$27:$I$32)</f>
        <v>5</v>
      </c>
      <c r="J35" s="68">
        <f>H35-I35</f>
        <v>-1</v>
      </c>
      <c r="M35" s="70">
        <f t="shared" si="44"/>
        <v>3</v>
      </c>
      <c r="N35" s="124"/>
      <c r="O35" s="258"/>
      <c r="Q35" s="68">
        <v>2</v>
      </c>
      <c r="R35" s="68" t="str">
        <f>IF(SUM(E35:G35)&gt;0,"Ja","Nee")</f>
        <v>Ja</v>
      </c>
      <c r="S35" s="68">
        <f>IF(COUNTIF(R33:R36,"Ja")=4,-Q35,"")</f>
        <v>-2</v>
      </c>
      <c r="T35" s="68">
        <f>IF(S35&lt;&gt;"",(SUMPRODUCT(--(C35&lt;C33:C36))+1),"")</f>
        <v>2</v>
      </c>
      <c r="U35" s="68" t="str">
        <f>IF(SUM(E35:G35)=3,"Ja","Nee")</f>
        <v>Ja</v>
      </c>
      <c r="V35" s="68">
        <f>D35*$AC$3</f>
        <v>300000</v>
      </c>
      <c r="W35" s="68">
        <f>J35*$AC$4</f>
        <v>-10000</v>
      </c>
      <c r="X35" s="68">
        <f>H35*$AC$5</f>
        <v>4000</v>
      </c>
      <c r="Y35" s="68">
        <f>SUM(Q35:X35)</f>
        <v>294002</v>
      </c>
      <c r="Z35" s="68">
        <f t="shared" si="45"/>
        <v>0</v>
      </c>
      <c r="AA35" s="68">
        <f>SUM(Y35:Z35)</f>
        <v>294002</v>
      </c>
      <c r="AC35" s="70">
        <f>RANK(Y35,Y33:Y36)</f>
        <v>3</v>
      </c>
      <c r="AF35" s="409" t="str">
        <f>C35</f>
        <v>Ivoorkust</v>
      </c>
      <c r="AG35" s="68">
        <f>SUMPRODUCT((Invulblad!F27:F32=AF35)*(Invulblad!J27:J32=AG32)*(Invulblad!G27:G32))+SUMPRODUCT((Invulblad!J27:J32=AF35)*(Invulblad!F27:F32=AG32)*(Invulblad!I27:I32))</f>
        <v>1</v>
      </c>
      <c r="AH35" s="68">
        <f>SUMPRODUCT((Invulblad!F27:F32=AF35)*(Invulblad!J27:J32=AH32)*(Invulblad!G27:G32))+SUMPRODUCT((Invulblad!J27:J32=AF35)*(Invulblad!F27:F32=AH32)*(Invulblad!I27:I32))</f>
        <v>1</v>
      </c>
      <c r="AI35" s="68">
        <f>SUMPRODUCT((Invulblad!F27:F32=AF35)*(Invulblad!J27:J32=AI32)*(Invulblad!G27:G32))+SUMPRODUCT((Invulblad!J27:J32=AF35)*(Invulblad!F27:F32=AI32)*(Invulblad!I27:I32))</f>
        <v>0</v>
      </c>
      <c r="AJ35" s="68">
        <f>SUMPRODUCT((Invulblad!F27:F32=AF35)*(Invulblad!J27:J32=AJ32)*(Invulblad!G27:G32))+SUMPRODUCT((Invulblad!J27:J32=AF35)*(Invulblad!F27:F32=AJ32)*(Invulblad!I27:I32))</f>
        <v>2</v>
      </c>
      <c r="AL35" s="68">
        <v>2</v>
      </c>
      <c r="AM35" s="68">
        <v>2</v>
      </c>
      <c r="AN35" s="68">
        <v>0</v>
      </c>
      <c r="AO35" s="68">
        <v>1</v>
      </c>
      <c r="AP35" s="87"/>
      <c r="AQ35" s="68">
        <f t="shared" si="46"/>
        <v>-1</v>
      </c>
      <c r="AR35" s="68">
        <f t="shared" si="38"/>
        <v>-1</v>
      </c>
      <c r="AS35" s="68">
        <f t="shared" si="39"/>
        <v>0</v>
      </c>
      <c r="AT35" s="68">
        <f t="shared" si="40"/>
        <v>1</v>
      </c>
      <c r="AU35" s="87"/>
      <c r="AV35" s="256">
        <f t="shared" si="47"/>
        <v>294002</v>
      </c>
      <c r="AW35" s="70">
        <f t="shared" si="48"/>
        <v>0</v>
      </c>
      <c r="AX35" s="70">
        <f t="shared" si="41"/>
        <v>0</v>
      </c>
      <c r="AY35" s="418">
        <f t="shared" si="42"/>
        <v>0</v>
      </c>
      <c r="AZ35" s="418">
        <f t="shared" si="43"/>
        <v>0</v>
      </c>
      <c r="BA35" s="424"/>
      <c r="BB35" s="409">
        <f>SUM(AW35:AZ35)</f>
        <v>0</v>
      </c>
    </row>
    <row r="36" spans="2:54">
      <c r="B36" s="77" t="str">
        <f>Toernooigegevens!M23</f>
        <v>C4</v>
      </c>
      <c r="C36" s="77" t="str">
        <f>Toernooigegevens!N23</f>
        <v>Japan</v>
      </c>
      <c r="D36" s="77">
        <f>(E36*3)+(F36*1)</f>
        <v>1</v>
      </c>
      <c r="E36" s="77">
        <f>SUMPRODUCT((Invulblad!$F$27:$F$32=C36)*(Invulblad!$M$27:$M$32="1"))+SUMPRODUCT((Invulblad!$J$27:$J$32=C36)*(Invulblad!$M$27:$M$32=2))</f>
        <v>0</v>
      </c>
      <c r="F36" s="77">
        <f>SUMPRODUCT((Invulblad!$F$27:$F$32=C36)*(Invulblad!$M$27:$M$32=3))+SUMPRODUCT((Invulblad!$J$27:$J$32=C36)*(Invulblad!$M$27:$M$32=3))</f>
        <v>1</v>
      </c>
      <c r="G36" s="77">
        <f>SUMPRODUCT((Invulblad!$F$27:$F$32=C36)*(Invulblad!$M$27:$M$32=2))+SUMPRODUCT((Invulblad!$J$27:$J$32=C36)*(Invulblad!$M$27:$M$32="1"))</f>
        <v>2</v>
      </c>
      <c r="H36" s="77">
        <f>SUMIF(Invulblad!$J$27:$J$32,C36,Invulblad!$I$27:$I$32)+SUMIF(Invulblad!$F$27:$F$32,C36,Invulblad!$G$27:$G$32)</f>
        <v>2</v>
      </c>
      <c r="I36" s="77">
        <f>SUMIF(Invulblad!$J$27:$J$32,C36,Invulblad!$G$27:$G$32)+SUMIF(Invulblad!$F$27:$F$32,C36,Invulblad!$I$27:$I$32)</f>
        <v>6</v>
      </c>
      <c r="J36" s="77">
        <f>H36-I36</f>
        <v>-4</v>
      </c>
      <c r="M36" s="70">
        <f t="shared" si="44"/>
        <v>4</v>
      </c>
      <c r="N36" s="131"/>
      <c r="O36" s="258"/>
      <c r="Q36" s="77">
        <v>1</v>
      </c>
      <c r="R36" s="77" t="str">
        <f>IF(SUM(E36:G36)&gt;0,"Ja","Nee")</f>
        <v>Ja</v>
      </c>
      <c r="S36" s="77">
        <f>IF(COUNTIF(R33:R36,"Ja")=4,-Q36,"")</f>
        <v>-1</v>
      </c>
      <c r="T36" s="77">
        <f>IF(S36&lt;&gt;"",(SUMPRODUCT(--(C36&lt;C33:C36))+1),"")</f>
        <v>1</v>
      </c>
      <c r="U36" s="77" t="str">
        <f>IF(SUM(E36:G36)=3,"Ja","Nee")</f>
        <v>Ja</v>
      </c>
      <c r="V36" s="77">
        <f>D36*$AC$3</f>
        <v>100000</v>
      </c>
      <c r="W36" s="77">
        <f>J36*$AC$4</f>
        <v>-40000</v>
      </c>
      <c r="X36" s="77">
        <f>H36*$AC$5</f>
        <v>2000</v>
      </c>
      <c r="Y36" s="77">
        <f>SUM(Q36:X36)</f>
        <v>62001</v>
      </c>
      <c r="Z36" s="77">
        <f t="shared" si="45"/>
        <v>0</v>
      </c>
      <c r="AA36" s="77">
        <f>SUM(Y36:Z36)</f>
        <v>62001</v>
      </c>
      <c r="AC36" s="79">
        <f>RANK(Y36,Y33:Y36)</f>
        <v>4</v>
      </c>
      <c r="AF36" s="410" t="str">
        <f>C36</f>
        <v>Japan</v>
      </c>
      <c r="AG36" s="77">
        <f>SUMPRODUCT((Invulblad!F27:F32=AF36)*(Invulblad!J27:J32=AG32)*(Invulblad!G27:G32))+SUMPRODUCT((Invulblad!J27:J32=AF36)*(Invulblad!F27:F32=AG32)*(Invulblad!I27:I32))</f>
        <v>1</v>
      </c>
      <c r="AH36" s="77">
        <f>SUMPRODUCT((Invulblad!F27:F32=AF36)*(Invulblad!J27:J32=AH32)*(Invulblad!G27:G32))+SUMPRODUCT((Invulblad!J27:J32=AF36)*(Invulblad!F27:F32=AH32)*(Invulblad!I27:I32))</f>
        <v>0</v>
      </c>
      <c r="AI36" s="77">
        <f>SUMPRODUCT((Invulblad!F27:F32=AF36)*(Invulblad!J27:J32=AI32)*(Invulblad!G27:G32))+SUMPRODUCT((Invulblad!J27:J32=AF36)*(Invulblad!F27:F32=AI32)*(Invulblad!I27:I32))</f>
        <v>1</v>
      </c>
      <c r="AJ36" s="77">
        <f>SUMPRODUCT((Invulblad!F27:F32=AF36)*(Invulblad!J27:J32=AJ32)*(Invulblad!G27:G32))+SUMPRODUCT((Invulblad!J27:J32=AF36)*(Invulblad!F27:F32=AJ32)*(Invulblad!I27:I32))</f>
        <v>0</v>
      </c>
      <c r="AL36" s="77">
        <v>4</v>
      </c>
      <c r="AM36" s="77">
        <v>0</v>
      </c>
      <c r="AN36" s="77">
        <v>2</v>
      </c>
      <c r="AO36" s="77">
        <v>0</v>
      </c>
      <c r="AP36" s="87"/>
      <c r="AQ36" s="77">
        <f t="shared" si="46"/>
        <v>-3</v>
      </c>
      <c r="AR36" s="77">
        <f t="shared" si="38"/>
        <v>0</v>
      </c>
      <c r="AS36" s="77">
        <f t="shared" si="39"/>
        <v>-1</v>
      </c>
      <c r="AT36" s="77">
        <f t="shared" si="40"/>
        <v>0</v>
      </c>
      <c r="AU36" s="87"/>
      <c r="AV36" s="256">
        <f t="shared" si="47"/>
        <v>62001</v>
      </c>
      <c r="AW36" s="79">
        <f t="shared" si="48"/>
        <v>0</v>
      </c>
      <c r="AX36" s="79">
        <f t="shared" si="41"/>
        <v>0</v>
      </c>
      <c r="AY36" s="419">
        <f t="shared" si="42"/>
        <v>0</v>
      </c>
      <c r="AZ36" s="419">
        <f t="shared" si="43"/>
        <v>0</v>
      </c>
      <c r="BA36" s="425"/>
      <c r="BB36" s="410">
        <f>SUM(AW36:AZ36)</f>
        <v>0</v>
      </c>
    </row>
    <row r="37" spans="2:54">
      <c r="AF37" s="257"/>
      <c r="AG37" s="257"/>
      <c r="AH37" s="257"/>
      <c r="AI37" s="257"/>
      <c r="AJ37" s="257"/>
      <c r="AL37" s="257"/>
      <c r="AM37" s="257"/>
      <c r="AN37" s="257"/>
      <c r="AO37" s="257"/>
      <c r="AP37" s="87"/>
      <c r="AQ37" s="87"/>
      <c r="AR37" s="87"/>
      <c r="AS37" s="87"/>
      <c r="AT37" s="87"/>
      <c r="AU37" s="87"/>
      <c r="AV37" s="257"/>
      <c r="AZ37" s="420"/>
      <c r="BA37" s="426"/>
      <c r="BB37" s="85"/>
    </row>
    <row r="38" spans="2:54" ht="11.25" customHeight="1">
      <c r="AF38" s="411"/>
      <c r="AG38" s="411"/>
      <c r="AH38" s="411"/>
      <c r="AI38" s="411"/>
      <c r="AJ38" s="411"/>
      <c r="AK38" s="412"/>
      <c r="AL38" s="87"/>
      <c r="AM38" s="87"/>
      <c r="AN38" s="87"/>
      <c r="AO38" s="87"/>
      <c r="AP38" s="87"/>
      <c r="AQ38" s="87"/>
      <c r="AR38" s="87"/>
      <c r="AS38" s="87"/>
      <c r="AT38" s="87"/>
      <c r="AU38" s="87"/>
      <c r="AV38" s="87"/>
    </row>
    <row r="39" spans="2:54">
      <c r="Q39" s="254" t="s">
        <v>297</v>
      </c>
      <c r="R39" s="87"/>
      <c r="S39" s="87"/>
      <c r="V39" s="59" t="s">
        <v>290</v>
      </c>
      <c r="W39" s="59" t="s">
        <v>291</v>
      </c>
      <c r="X39" s="59" t="s">
        <v>292</v>
      </c>
      <c r="Z39" s="59" t="s">
        <v>551</v>
      </c>
      <c r="AG39" s="59" t="s">
        <v>547</v>
      </c>
      <c r="AL39" s="59" t="s">
        <v>548</v>
      </c>
      <c r="AP39" s="87"/>
      <c r="AQ39" s="59" t="s">
        <v>550</v>
      </c>
      <c r="AU39" s="87"/>
    </row>
    <row r="40" spans="2:54">
      <c r="B40" s="255"/>
      <c r="C40" s="255" t="s">
        <v>33</v>
      </c>
      <c r="D40" s="255" t="s">
        <v>293</v>
      </c>
      <c r="E40" s="255" t="s">
        <v>23</v>
      </c>
      <c r="F40" s="255" t="s">
        <v>24</v>
      </c>
      <c r="G40" s="255" t="s">
        <v>25</v>
      </c>
      <c r="H40" s="255" t="s">
        <v>26</v>
      </c>
      <c r="I40" s="255" t="s">
        <v>27</v>
      </c>
      <c r="J40" s="255" t="s">
        <v>28</v>
      </c>
      <c r="M40" s="255" t="s">
        <v>294</v>
      </c>
      <c r="N40" s="255" t="s">
        <v>295</v>
      </c>
      <c r="Q40" s="255" t="str">
        <f>C40</f>
        <v>Groep D</v>
      </c>
      <c r="R40" s="256"/>
      <c r="S40" s="256"/>
      <c r="T40" s="256"/>
      <c r="U40" s="256"/>
      <c r="V40" s="255" t="s">
        <v>296</v>
      </c>
      <c r="W40" s="255" t="s">
        <v>28</v>
      </c>
      <c r="X40" s="255" t="s">
        <v>26</v>
      </c>
      <c r="Y40" s="255" t="s">
        <v>553</v>
      </c>
      <c r="Z40" s="255" t="s">
        <v>552</v>
      </c>
      <c r="AA40" s="255" t="s">
        <v>554</v>
      </c>
      <c r="AC40" s="255" t="s">
        <v>294</v>
      </c>
      <c r="AD40" s="255">
        <f>SUM(AC41:AC44)</f>
        <v>10</v>
      </c>
      <c r="AF40" s="255"/>
      <c r="AG40" s="408" t="str">
        <f>AF41</f>
        <v>Uruguay</v>
      </c>
      <c r="AH40" s="408" t="str">
        <f>AF42</f>
        <v>Costa Rica</v>
      </c>
      <c r="AI40" s="408" t="str">
        <f>AF43</f>
        <v>Engeland</v>
      </c>
      <c r="AJ40" s="408" t="str">
        <f>AF44</f>
        <v>Italië</v>
      </c>
      <c r="AL40" s="408" t="str">
        <f>AG40</f>
        <v>Uruguay</v>
      </c>
      <c r="AM40" s="408" t="str">
        <f t="shared" ref="AM40" si="49">AH40</f>
        <v>Costa Rica</v>
      </c>
      <c r="AN40" s="408" t="str">
        <f t="shared" ref="AN40" si="50">AI40</f>
        <v>Engeland</v>
      </c>
      <c r="AO40" s="408" t="str">
        <f t="shared" ref="AO40" si="51">AJ40</f>
        <v>Italië</v>
      </c>
      <c r="AP40" s="87"/>
      <c r="AQ40" s="408" t="str">
        <f>AL40</f>
        <v>Uruguay</v>
      </c>
      <c r="AR40" s="408" t="str">
        <f t="shared" ref="AR40" si="52">AM40</f>
        <v>Costa Rica</v>
      </c>
      <c r="AS40" s="408" t="str">
        <f t="shared" ref="AS40" si="53">AN40</f>
        <v>Engeland</v>
      </c>
      <c r="AT40" s="408" t="str">
        <f t="shared" ref="AT40" si="54">AO40</f>
        <v>Italië</v>
      </c>
      <c r="AU40" s="87"/>
      <c r="AW40" s="417">
        <f t="array" ref="AW40:AZ40">TRANSPOSE(AV41:AV44)</f>
        <v>604001</v>
      </c>
      <c r="AX40" s="417">
        <v>734004</v>
      </c>
      <c r="AY40" s="417">
        <v>82003</v>
      </c>
      <c r="AZ40" s="417">
        <v>292002</v>
      </c>
      <c r="BA40" s="423"/>
      <c r="BB40" s="255" t="s">
        <v>552</v>
      </c>
    </row>
    <row r="41" spans="2:54">
      <c r="B41" s="68" t="str">
        <f>Toernooigegevens!M28</f>
        <v>D1</v>
      </c>
      <c r="C41" s="68" t="str">
        <f>Toernooigegevens!N28</f>
        <v>Uruguay</v>
      </c>
      <c r="D41" s="68">
        <f>(E41*3)+(F41*1)</f>
        <v>6</v>
      </c>
      <c r="E41" s="68">
        <f>SUMPRODUCT((Invulblad!$F$35:$F$40=C41)*(Invulblad!$M$35:$M$40="1"))+SUMPRODUCT((Invulblad!$J$35:$J$40=C41)*(Invulblad!$M$35:$M$40=2))</f>
        <v>2</v>
      </c>
      <c r="F41" s="68">
        <f>SUMPRODUCT((Invulblad!$F$35:$F$40=C41)*(Invulblad!$M$35:$M$40=3))+SUMPRODUCT((Invulblad!$J$35:$J$40=C41)*(Invulblad!$M$35:$M$40=3))</f>
        <v>0</v>
      </c>
      <c r="G41" s="68">
        <f>SUMPRODUCT((Invulblad!$F$35:$F$40=C41)*(Invulblad!$M$35:$M$40=2))+SUMPRODUCT((Invulblad!$J$35:$J$40=C41)*(Invulblad!$M$35:$M$40="1"))</f>
        <v>1</v>
      </c>
      <c r="H41" s="68">
        <f>SUMIF(Invulblad!$J$35:$J$40,C41,Invulblad!$I$35:$I$40)+SUMIF(Invulblad!$F$35:$F$40,C41,Invulblad!$G$35:$G$40)</f>
        <v>4</v>
      </c>
      <c r="I41" s="68">
        <f>SUMIF(Invulblad!$J$35:$J$40,C41,Invulblad!$G$35:$G$40)+SUMIF(Invulblad!$F$35:$F$40,C41,Invulblad!$I$35:$I$40)</f>
        <v>4</v>
      </c>
      <c r="J41" s="68">
        <f>H41-I41</f>
        <v>0</v>
      </c>
      <c r="M41" s="70">
        <f>IF(N41&gt;0,N41,AC41)</f>
        <v>2</v>
      </c>
      <c r="N41" s="124"/>
      <c r="O41" s="258"/>
      <c r="Q41" s="68">
        <v>4</v>
      </c>
      <c r="R41" s="68" t="str">
        <f>IF(SUM(E41:G41)&gt;0,"Ja","Nee")</f>
        <v>Ja</v>
      </c>
      <c r="S41" s="68">
        <f>IF(COUNTIF(R41:R44,"Ja")=4,-Q41,"")</f>
        <v>-4</v>
      </c>
      <c r="T41" s="68">
        <f>IF(S41&lt;&gt;"",(SUMPRODUCT(--(C41&lt;C41:C44))+1),"")</f>
        <v>1</v>
      </c>
      <c r="U41" s="68" t="str">
        <f>IF(SUM(E41:G41)=3,"Ja","Nee")</f>
        <v>Ja</v>
      </c>
      <c r="V41" s="68">
        <f>D41*$AC$3</f>
        <v>600000</v>
      </c>
      <c r="W41" s="68">
        <f>J41*$AC$4</f>
        <v>0</v>
      </c>
      <c r="X41" s="68">
        <f>H41*$AC$5</f>
        <v>4000</v>
      </c>
      <c r="Y41" s="68">
        <f>SUM(Q41:X41)</f>
        <v>604001</v>
      </c>
      <c r="Z41" s="68">
        <f>$AC$6*BB41</f>
        <v>0</v>
      </c>
      <c r="AA41" s="68">
        <f>SUM(Y41:Z41)</f>
        <v>604001</v>
      </c>
      <c r="AC41" s="70">
        <f>RANK(Y41,Y41:Y44)</f>
        <v>2</v>
      </c>
      <c r="AF41" s="409" t="str">
        <f>C41</f>
        <v>Uruguay</v>
      </c>
      <c r="AG41" s="68">
        <f>SUMPRODUCT((Invulblad!F35:F40=AF41)*(Invulblad!J35:J40=AG40)*(Invulblad!G35:G40))+SUMPRODUCT((Invulblad!J35:J40=AF41)*(Invulblad!F35:F40=AG40)*(Invulblad!I35:I40))</f>
        <v>0</v>
      </c>
      <c r="AH41" s="68">
        <f>SUMPRODUCT((Invulblad!F35:F40=AF41)*(Invulblad!J35:J40=AH40)*(Invulblad!G35:G40))+SUMPRODUCT((Invulblad!J35:J40=AF41)*(Invulblad!F35:F40=AH40)*(Invulblad!I35:I40))</f>
        <v>1</v>
      </c>
      <c r="AI41" s="68">
        <f>SUMPRODUCT((Invulblad!F35:F40=AF41)*(Invulblad!J35:J40=AI40)*(Invulblad!G35:G40))+SUMPRODUCT((Invulblad!J35:J40=AF41)*(Invulblad!F35:F40=AI40)*(Invulblad!I35:I40))</f>
        <v>2</v>
      </c>
      <c r="AJ41" s="68">
        <f>SUMPRODUCT((Invulblad!F35:F40=AF41)*(Invulblad!J35:J40=AJ40)*(Invulblad!G35:G40))+SUMPRODUCT((Invulblad!J35:J40=AF41)*(Invulblad!F35:F40=AJ40)*(Invulblad!I35:I40))</f>
        <v>1</v>
      </c>
      <c r="AL41" s="68">
        <f t="array" ref="AL41:AO44">TRANSPOSE(AG41:AJ44)</f>
        <v>0</v>
      </c>
      <c r="AM41" s="68">
        <v>3</v>
      </c>
      <c r="AN41" s="68">
        <v>1</v>
      </c>
      <c r="AO41" s="68">
        <v>0</v>
      </c>
      <c r="AP41" s="87"/>
      <c r="AQ41" s="68">
        <f>AG41-AL41</f>
        <v>0</v>
      </c>
      <c r="AR41" s="68">
        <f t="shared" ref="AR41:AR44" si="55">AH41-AM41</f>
        <v>-2</v>
      </c>
      <c r="AS41" s="68">
        <f t="shared" ref="AS41:AS44" si="56">AI41-AN41</f>
        <v>1</v>
      </c>
      <c r="AT41" s="68">
        <f t="shared" ref="AT41:AT44" si="57">AJ41-AO41</f>
        <v>1</v>
      </c>
      <c r="AU41" s="87"/>
      <c r="AV41" s="256">
        <f>Y41</f>
        <v>604001</v>
      </c>
      <c r="AW41" s="70">
        <f>IF(AND($AV41=AW$16,AQ41&gt;0),1,)</f>
        <v>0</v>
      </c>
      <c r="AX41" s="70">
        <f t="shared" ref="AX41:AX44" si="58">IF(AND($AV41=AX$16,AR41&gt;0),1,)</f>
        <v>0</v>
      </c>
      <c r="AY41" s="418">
        <f t="shared" ref="AY41:AY44" si="59">IF(AND($AV41=AY$16,AS41&gt;0),1,)</f>
        <v>0</v>
      </c>
      <c r="AZ41" s="418">
        <f t="shared" ref="AZ41:AZ44" si="60">IF(AND($AV41=AZ$16,AT41&gt;0),1,)</f>
        <v>0</v>
      </c>
      <c r="BA41" s="424"/>
      <c r="BB41" s="409">
        <f>SUM(AW41:AZ41)</f>
        <v>0</v>
      </c>
    </row>
    <row r="42" spans="2:54">
      <c r="B42" s="77" t="str">
        <f>Toernooigegevens!M29</f>
        <v>D2</v>
      </c>
      <c r="C42" s="77" t="str">
        <f>Toernooigegevens!N29</f>
        <v>Costa Rica</v>
      </c>
      <c r="D42" s="77">
        <f>(E42*3)+(F42*1)</f>
        <v>7</v>
      </c>
      <c r="E42" s="77">
        <f>SUMPRODUCT((Invulblad!$F$35:$F$40=C42)*(Invulblad!$M$35:$M$40="1"))+SUMPRODUCT((Invulblad!$J$35:$J$40=C42)*(Invulblad!$M$35:$M$40=2))</f>
        <v>2</v>
      </c>
      <c r="F42" s="77">
        <f>SUMPRODUCT((Invulblad!$F$35:$F$40=C42)*(Invulblad!$M$35:$M$40=3))+SUMPRODUCT((Invulblad!$J$35:$J$40=C42)*(Invulblad!$M$35:$M$40=3))</f>
        <v>1</v>
      </c>
      <c r="G42" s="77">
        <f>SUMPRODUCT((Invulblad!$F$35:$F$40=C42)*(Invulblad!$M$35:$M$40=2))+SUMPRODUCT((Invulblad!$J$35:$J$40=C42)*(Invulblad!$M$35:$M$40="1"))</f>
        <v>0</v>
      </c>
      <c r="H42" s="77">
        <f>SUMIF(Invulblad!$J$35:$J$40,C42,Invulblad!$I$35:$I$40)+SUMIF(Invulblad!$F$35:$F$40,C42,Invulblad!$G$35:$G$40)</f>
        <v>4</v>
      </c>
      <c r="I42" s="77">
        <f>SUMIF(Invulblad!$J$35:$J$40,C42,Invulblad!$G$35:$G$40)+SUMIF(Invulblad!$F$35:$F$40,C42,Invulblad!$I$35:$I$40)</f>
        <v>1</v>
      </c>
      <c r="J42" s="77">
        <f>H42-I42</f>
        <v>3</v>
      </c>
      <c r="M42" s="70">
        <f t="shared" ref="M42:M44" si="61">IF(N42&gt;0,N42,AC42)</f>
        <v>1</v>
      </c>
      <c r="N42" s="131"/>
      <c r="O42" s="258"/>
      <c r="Q42" s="77">
        <v>3</v>
      </c>
      <c r="R42" s="77" t="str">
        <f>IF(SUM(E42:G42)&gt;0,"Ja","Nee")</f>
        <v>Ja</v>
      </c>
      <c r="S42" s="77">
        <f>IF(COUNTIF(R41:R44,"Ja")=4,-Q42,"")</f>
        <v>-3</v>
      </c>
      <c r="T42" s="77">
        <f>IF(S42&lt;&gt;"",(SUMPRODUCT(--(C42&lt;C41:C44))+1),"")</f>
        <v>4</v>
      </c>
      <c r="U42" s="77" t="str">
        <f>IF(SUM(E42:G42)=3,"Ja","Nee")</f>
        <v>Ja</v>
      </c>
      <c r="V42" s="77">
        <f>D42*$AC$3</f>
        <v>700000</v>
      </c>
      <c r="W42" s="77">
        <f>J42*$AC$4</f>
        <v>30000</v>
      </c>
      <c r="X42" s="77">
        <f>H42*$AC$5</f>
        <v>4000</v>
      </c>
      <c r="Y42" s="77">
        <f>SUM(Q42:X42)</f>
        <v>734004</v>
      </c>
      <c r="Z42" s="77">
        <f t="shared" ref="Z42:Z44" si="62">$AC$6*BB42</f>
        <v>0</v>
      </c>
      <c r="AA42" s="77">
        <f>SUM(Y42:Z42)</f>
        <v>734004</v>
      </c>
      <c r="AC42" s="79">
        <f>RANK(Y42,Y41:Y44)</f>
        <v>1</v>
      </c>
      <c r="AF42" s="410" t="str">
        <f>C42</f>
        <v>Costa Rica</v>
      </c>
      <c r="AG42" s="77">
        <f>SUMPRODUCT((Invulblad!F35:F40=AF42)*(Invulblad!J35:J40=AG40)*(Invulblad!G35:G40))+SUMPRODUCT((Invulblad!J35:J40=AF42)*(Invulblad!F35:F40=AG40)*(Invulblad!I35:I40))</f>
        <v>3</v>
      </c>
      <c r="AH42" s="77">
        <f>SUMPRODUCT((Invulblad!F35:F40=AF42)*(Invulblad!J35:J40=AH40)*(Invulblad!G35:G40))+SUMPRODUCT((Invulblad!J35:J40=AF42)*(Invulblad!F35:F40=AH40)*(Invulblad!I35:I40))</f>
        <v>0</v>
      </c>
      <c r="AI42" s="77">
        <f>SUMPRODUCT((Invulblad!F35:F40=AF42)*(Invulblad!J35:J40=AI40)*(Invulblad!G35:G40))+SUMPRODUCT((Invulblad!J35:J40=AF42)*(Invulblad!F35:F40=AI40)*(Invulblad!I35:I40))</f>
        <v>0</v>
      </c>
      <c r="AJ42" s="77">
        <f>SUMPRODUCT((Invulblad!F35:F40=AF42)*(Invulblad!J35:J40=AJ40)*(Invulblad!G35:G40))+SUMPRODUCT((Invulblad!J35:J40=AF42)*(Invulblad!F35:F40=AJ40)*(Invulblad!I35:I40))</f>
        <v>1</v>
      </c>
      <c r="AL42" s="77">
        <v>1</v>
      </c>
      <c r="AM42" s="77">
        <v>0</v>
      </c>
      <c r="AN42" s="77">
        <v>0</v>
      </c>
      <c r="AO42" s="77">
        <v>0</v>
      </c>
      <c r="AP42" s="87"/>
      <c r="AQ42" s="77">
        <f t="shared" ref="AQ42:AQ44" si="63">AG42-AL42</f>
        <v>2</v>
      </c>
      <c r="AR42" s="77">
        <f t="shared" si="55"/>
        <v>0</v>
      </c>
      <c r="AS42" s="77">
        <f t="shared" si="56"/>
        <v>0</v>
      </c>
      <c r="AT42" s="77">
        <f t="shared" si="57"/>
        <v>1</v>
      </c>
      <c r="AU42" s="87"/>
      <c r="AV42" s="256">
        <f t="shared" ref="AV42:AV44" si="64">Y42</f>
        <v>734004</v>
      </c>
      <c r="AW42" s="79">
        <f t="shared" ref="AW42:AW44" si="65">IF(AND($AV42=AW$16,AQ42&gt;0),1,)</f>
        <v>0</v>
      </c>
      <c r="AX42" s="79">
        <f t="shared" si="58"/>
        <v>0</v>
      </c>
      <c r="AY42" s="419">
        <f t="shared" si="59"/>
        <v>0</v>
      </c>
      <c r="AZ42" s="419">
        <f t="shared" si="60"/>
        <v>0</v>
      </c>
      <c r="BA42" s="425"/>
      <c r="BB42" s="410">
        <f>SUM(AW42:AZ42)</f>
        <v>0</v>
      </c>
    </row>
    <row r="43" spans="2:54">
      <c r="B43" s="68" t="str">
        <f>Toernooigegevens!M30</f>
        <v>D3</v>
      </c>
      <c r="C43" s="68" t="str">
        <f>Toernooigegevens!N30</f>
        <v>Engeland</v>
      </c>
      <c r="D43" s="68">
        <f>(E43*3)+(F43*1)</f>
        <v>1</v>
      </c>
      <c r="E43" s="68">
        <f>SUMPRODUCT((Invulblad!$F$35:$F$40=C43)*(Invulblad!$M$35:$M$40="1"))+SUMPRODUCT((Invulblad!$J$35:$J$40=C43)*(Invulblad!$M$35:$M$40=2))</f>
        <v>0</v>
      </c>
      <c r="F43" s="68">
        <f>SUMPRODUCT((Invulblad!$F$35:$F$40=C43)*(Invulblad!$M$35:$M$40=3))+SUMPRODUCT((Invulblad!$J$35:$J$40=C43)*(Invulblad!$M$35:$M$40=3))</f>
        <v>1</v>
      </c>
      <c r="G43" s="68">
        <f>SUMPRODUCT((Invulblad!$F$35:$F$40=C43)*(Invulblad!$M$35:$M$40=2))+SUMPRODUCT((Invulblad!$J$35:$J$40=C43)*(Invulblad!$M$35:$M$40="1"))</f>
        <v>2</v>
      </c>
      <c r="H43" s="68">
        <f>SUMIF(Invulblad!$J$35:$J$40,C43,Invulblad!$I$35:$I$40)+SUMIF(Invulblad!$F$35:$F$40,C43,Invulblad!$G$35:$G$40)</f>
        <v>2</v>
      </c>
      <c r="I43" s="68">
        <f>SUMIF(Invulblad!$J$35:$J$40,C43,Invulblad!$G$35:$G$40)+SUMIF(Invulblad!$F$35:$F$40,C43,Invulblad!$I$35:$I$40)</f>
        <v>4</v>
      </c>
      <c r="J43" s="68">
        <f>H43-I43</f>
        <v>-2</v>
      </c>
      <c r="M43" s="70">
        <f t="shared" si="61"/>
        <v>4</v>
      </c>
      <c r="N43" s="124"/>
      <c r="O43" s="258"/>
      <c r="Q43" s="68">
        <v>2</v>
      </c>
      <c r="R43" s="68" t="str">
        <f>IF(SUM(E43:G43)&gt;0,"Ja","Nee")</f>
        <v>Ja</v>
      </c>
      <c r="S43" s="68">
        <f>IF(COUNTIF(R41:R44,"Ja")=4,-Q43,"")</f>
        <v>-2</v>
      </c>
      <c r="T43" s="68">
        <f>IF(S43&lt;&gt;"",(SUMPRODUCT(--(C43&lt;C41:C44))+1),"")</f>
        <v>3</v>
      </c>
      <c r="U43" s="68" t="str">
        <f>IF(SUM(E43:G43)=3,"Ja","Nee")</f>
        <v>Ja</v>
      </c>
      <c r="V43" s="68">
        <f>D43*$AC$3</f>
        <v>100000</v>
      </c>
      <c r="W43" s="68">
        <f>J43*$AC$4</f>
        <v>-20000</v>
      </c>
      <c r="X43" s="68">
        <f>H43*$AC$5</f>
        <v>2000</v>
      </c>
      <c r="Y43" s="68">
        <f>SUM(Q43:X43)</f>
        <v>82003</v>
      </c>
      <c r="Z43" s="68">
        <f t="shared" si="62"/>
        <v>0</v>
      </c>
      <c r="AA43" s="68">
        <f>SUM(Y43:Z43)</f>
        <v>82003</v>
      </c>
      <c r="AC43" s="70">
        <f>RANK(Y43,Y41:Y44)</f>
        <v>4</v>
      </c>
      <c r="AF43" s="409" t="str">
        <f>C43</f>
        <v>Engeland</v>
      </c>
      <c r="AG43" s="68">
        <f>SUMPRODUCT((Invulblad!F35:F40=AF43)*(Invulblad!J35:J40=AG40)*(Invulblad!G35:G40))+SUMPRODUCT((Invulblad!J35:J40=AF43)*(Invulblad!F35:F40=AG40)*(Invulblad!I35:I40))</f>
        <v>1</v>
      </c>
      <c r="AH43" s="68">
        <f>SUMPRODUCT((Invulblad!F35:F40=AF43)*(Invulblad!J35:J40=AH40)*(Invulblad!G35:G40))+SUMPRODUCT((Invulblad!J35:J40=AF43)*(Invulblad!F35:F40=AH40)*(Invulblad!I35:I40))</f>
        <v>0</v>
      </c>
      <c r="AI43" s="68">
        <f>SUMPRODUCT((Invulblad!F35:F40=AF43)*(Invulblad!J35:J40=AI40)*(Invulblad!G35:G40))+SUMPRODUCT((Invulblad!J35:J40=AF43)*(Invulblad!F35:F40=AI40)*(Invulblad!I35:I40))</f>
        <v>0</v>
      </c>
      <c r="AJ43" s="68">
        <f>SUMPRODUCT((Invulblad!F35:F40=AF43)*(Invulblad!J35:J40=AJ40)*(Invulblad!G35:G40))+SUMPRODUCT((Invulblad!J35:J40=AF43)*(Invulblad!F35:F40=AJ40)*(Invulblad!I35:I40))</f>
        <v>1</v>
      </c>
      <c r="AL43" s="68">
        <v>2</v>
      </c>
      <c r="AM43" s="68">
        <v>0</v>
      </c>
      <c r="AN43" s="68">
        <v>0</v>
      </c>
      <c r="AO43" s="68">
        <v>2</v>
      </c>
      <c r="AP43" s="87"/>
      <c r="AQ43" s="68">
        <f t="shared" si="63"/>
        <v>-1</v>
      </c>
      <c r="AR43" s="68">
        <f t="shared" si="55"/>
        <v>0</v>
      </c>
      <c r="AS43" s="68">
        <f t="shared" si="56"/>
        <v>0</v>
      </c>
      <c r="AT43" s="68">
        <f t="shared" si="57"/>
        <v>-1</v>
      </c>
      <c r="AU43" s="87"/>
      <c r="AV43" s="256">
        <f t="shared" si="64"/>
        <v>82003</v>
      </c>
      <c r="AW43" s="70">
        <f t="shared" si="65"/>
        <v>0</v>
      </c>
      <c r="AX43" s="70">
        <f t="shared" si="58"/>
        <v>0</v>
      </c>
      <c r="AY43" s="418">
        <f t="shared" si="59"/>
        <v>0</v>
      </c>
      <c r="AZ43" s="418">
        <f t="shared" si="60"/>
        <v>0</v>
      </c>
      <c r="BA43" s="424"/>
      <c r="BB43" s="409">
        <f>SUM(AW43:AZ43)</f>
        <v>0</v>
      </c>
    </row>
    <row r="44" spans="2:54">
      <c r="B44" s="77" t="str">
        <f>Toernooigegevens!M31</f>
        <v>D4</v>
      </c>
      <c r="C44" s="77" t="str">
        <f>Toernooigegevens!N31</f>
        <v>Italië</v>
      </c>
      <c r="D44" s="77">
        <f>(E44*3)+(F44*1)</f>
        <v>3</v>
      </c>
      <c r="E44" s="77">
        <f>SUMPRODUCT((Invulblad!$F$35:$F$40=C44)*(Invulblad!$M$35:$M$40="1"))+SUMPRODUCT((Invulblad!$J$35:$J$40=C44)*(Invulblad!$M$35:$M$40=2))</f>
        <v>1</v>
      </c>
      <c r="F44" s="77">
        <f>SUMPRODUCT((Invulblad!$F$35:$F$40=C44)*(Invulblad!$M$35:$M$40=3))+SUMPRODUCT((Invulblad!$J$35:$J$40=C44)*(Invulblad!$M$35:$M$40=3))</f>
        <v>0</v>
      </c>
      <c r="G44" s="77">
        <f>SUMPRODUCT((Invulblad!$F$35:$F$40=C44)*(Invulblad!$M$35:$M$40=2))+SUMPRODUCT((Invulblad!$J$35:$J$40=C44)*(Invulblad!$M$35:$M$40="1"))</f>
        <v>2</v>
      </c>
      <c r="H44" s="77">
        <f>SUMIF(Invulblad!$J$35:$J$40,C44,Invulblad!$I$35:$I$40)+SUMIF(Invulblad!$F$35:$F$40,C44,Invulblad!$G$35:$G$40)</f>
        <v>2</v>
      </c>
      <c r="I44" s="77">
        <f>SUMIF(Invulblad!$J$35:$J$40,C44,Invulblad!$G$35:$G$40)+SUMIF(Invulblad!$F$35:$F$40,C44,Invulblad!$I$35:$I$40)</f>
        <v>3</v>
      </c>
      <c r="J44" s="77">
        <f>H44-I44</f>
        <v>-1</v>
      </c>
      <c r="M44" s="70">
        <f t="shared" si="61"/>
        <v>3</v>
      </c>
      <c r="N44" s="131"/>
      <c r="O44" s="258"/>
      <c r="Q44" s="77">
        <v>1</v>
      </c>
      <c r="R44" s="77" t="str">
        <f>IF(SUM(E44:G44)&gt;0,"Ja","Nee")</f>
        <v>Ja</v>
      </c>
      <c r="S44" s="77">
        <f>IF(COUNTIF(R41:R44,"Ja")=4,-Q44,"")</f>
        <v>-1</v>
      </c>
      <c r="T44" s="77">
        <f>IF(S44&lt;&gt;"",(SUMPRODUCT(--(C44&lt;C41:C44))+1),"")</f>
        <v>2</v>
      </c>
      <c r="U44" s="77" t="str">
        <f>IF(SUM(E44:G44)=3,"Ja","Nee")</f>
        <v>Ja</v>
      </c>
      <c r="V44" s="77">
        <f>D44*$AC$3</f>
        <v>300000</v>
      </c>
      <c r="W44" s="77">
        <f>J44*$AC$4</f>
        <v>-10000</v>
      </c>
      <c r="X44" s="77">
        <f>H44*$AC$5</f>
        <v>2000</v>
      </c>
      <c r="Y44" s="77">
        <f>SUM(Q44:X44)</f>
        <v>292002</v>
      </c>
      <c r="Z44" s="77">
        <f t="shared" si="62"/>
        <v>0</v>
      </c>
      <c r="AA44" s="77">
        <f>SUM(Y44:Z44)</f>
        <v>292002</v>
      </c>
      <c r="AC44" s="79">
        <f>RANK(Y44,Y41:Y44)</f>
        <v>3</v>
      </c>
      <c r="AF44" s="410" t="str">
        <f>C44</f>
        <v>Italië</v>
      </c>
      <c r="AG44" s="77">
        <f>SUMPRODUCT((Invulblad!F35:F40=AF44)*(Invulblad!J35:J40=AG40)*(Invulblad!G35:G40))+SUMPRODUCT((Invulblad!J35:J40=AF44)*(Invulblad!F35:F40=AG40)*(Invulblad!I35:I40))</f>
        <v>0</v>
      </c>
      <c r="AH44" s="77">
        <f>SUMPRODUCT((Invulblad!F35:F40=AF44)*(Invulblad!J35:J40=AH40)*(Invulblad!G35:G40))+SUMPRODUCT((Invulblad!J35:J40=AF44)*(Invulblad!F35:F40=AH40)*(Invulblad!I35:I40))</f>
        <v>0</v>
      </c>
      <c r="AI44" s="77">
        <f>SUMPRODUCT((Invulblad!F35:F40=AF44)*(Invulblad!J35:J40=AI40)*(Invulblad!G35:G40))+SUMPRODUCT((Invulblad!J35:J40=AF44)*(Invulblad!F35:F40=AI40)*(Invulblad!I35:I40))</f>
        <v>2</v>
      </c>
      <c r="AJ44" s="77">
        <f>SUMPRODUCT((Invulblad!F35:F40=AF44)*(Invulblad!J35:J40=AJ40)*(Invulblad!G35:G40))+SUMPRODUCT((Invulblad!J35:J40=AF44)*(Invulblad!F35:F40=AJ40)*(Invulblad!I35:I40))</f>
        <v>0</v>
      </c>
      <c r="AL44" s="77">
        <v>1</v>
      </c>
      <c r="AM44" s="77">
        <v>1</v>
      </c>
      <c r="AN44" s="77">
        <v>1</v>
      </c>
      <c r="AO44" s="77">
        <v>0</v>
      </c>
      <c r="AP44" s="87"/>
      <c r="AQ44" s="77">
        <f t="shared" si="63"/>
        <v>-1</v>
      </c>
      <c r="AR44" s="77">
        <f t="shared" si="55"/>
        <v>-1</v>
      </c>
      <c r="AS44" s="77">
        <f t="shared" si="56"/>
        <v>1</v>
      </c>
      <c r="AT44" s="77">
        <f t="shared" si="57"/>
        <v>0</v>
      </c>
      <c r="AU44" s="87"/>
      <c r="AV44" s="256">
        <f t="shared" si="64"/>
        <v>292002</v>
      </c>
      <c r="AW44" s="79">
        <f t="shared" si="65"/>
        <v>0</v>
      </c>
      <c r="AX44" s="79">
        <f t="shared" si="58"/>
        <v>0</v>
      </c>
      <c r="AY44" s="419">
        <f t="shared" si="59"/>
        <v>0</v>
      </c>
      <c r="AZ44" s="419">
        <f t="shared" si="60"/>
        <v>0</v>
      </c>
      <c r="BA44" s="425"/>
      <c r="BB44" s="410">
        <f>SUM(AW44:AZ44)</f>
        <v>0</v>
      </c>
    </row>
    <row r="45" spans="2:54">
      <c r="AF45" s="87"/>
      <c r="AG45" s="87"/>
      <c r="AH45" s="87"/>
      <c r="AI45" s="87"/>
      <c r="AJ45" s="87"/>
      <c r="AK45" s="87"/>
      <c r="AL45" s="87"/>
      <c r="AM45" s="87"/>
      <c r="AN45" s="87"/>
      <c r="AO45" s="87"/>
      <c r="AP45" s="87"/>
      <c r="AQ45" s="87"/>
      <c r="AR45" s="87"/>
      <c r="AS45" s="87"/>
      <c r="AT45" s="87"/>
      <c r="AU45" s="87"/>
      <c r="AV45" s="257"/>
      <c r="AZ45" s="420"/>
      <c r="BA45" s="426"/>
      <c r="BB45" s="85"/>
    </row>
    <row r="46" spans="2:54">
      <c r="AF46" s="87"/>
      <c r="AG46" s="87"/>
      <c r="AH46" s="87"/>
      <c r="AI46" s="87"/>
      <c r="AJ46" s="87"/>
      <c r="AK46" s="87"/>
      <c r="AL46" s="87"/>
      <c r="AM46" s="87"/>
      <c r="AN46" s="87"/>
      <c r="AO46" s="87"/>
      <c r="AP46" s="87"/>
      <c r="AQ46" s="87"/>
      <c r="AR46" s="87"/>
      <c r="AS46" s="87"/>
      <c r="AT46" s="87"/>
      <c r="AU46" s="87"/>
      <c r="AV46" s="87"/>
    </row>
    <row r="47" spans="2:54">
      <c r="Q47" s="254" t="s">
        <v>297</v>
      </c>
      <c r="R47" s="87"/>
      <c r="S47" s="87"/>
      <c r="V47" s="59" t="s">
        <v>290</v>
      </c>
      <c r="W47" s="59" t="s">
        <v>291</v>
      </c>
      <c r="X47" s="59" t="s">
        <v>292</v>
      </c>
      <c r="Z47" s="59" t="s">
        <v>551</v>
      </c>
      <c r="AG47" s="59" t="s">
        <v>547</v>
      </c>
      <c r="AL47" s="59" t="s">
        <v>548</v>
      </c>
      <c r="AQ47" s="59" t="s">
        <v>550</v>
      </c>
    </row>
    <row r="48" spans="2:54">
      <c r="B48" s="255"/>
      <c r="C48" s="255" t="s">
        <v>34</v>
      </c>
      <c r="D48" s="255" t="s">
        <v>293</v>
      </c>
      <c r="E48" s="255" t="s">
        <v>23</v>
      </c>
      <c r="F48" s="255" t="s">
        <v>24</v>
      </c>
      <c r="G48" s="255" t="s">
        <v>25</v>
      </c>
      <c r="H48" s="255" t="s">
        <v>26</v>
      </c>
      <c r="I48" s="255" t="s">
        <v>27</v>
      </c>
      <c r="J48" s="255" t="s">
        <v>28</v>
      </c>
      <c r="M48" s="255" t="s">
        <v>294</v>
      </c>
      <c r="N48" s="255" t="s">
        <v>295</v>
      </c>
      <c r="Q48" s="255" t="str">
        <f>C48</f>
        <v>Groep E</v>
      </c>
      <c r="R48" s="256"/>
      <c r="S48" s="256"/>
      <c r="T48" s="256"/>
      <c r="U48" s="256"/>
      <c r="V48" s="255" t="s">
        <v>296</v>
      </c>
      <c r="W48" s="255" t="s">
        <v>28</v>
      </c>
      <c r="X48" s="255" t="s">
        <v>26</v>
      </c>
      <c r="Y48" s="255" t="s">
        <v>553</v>
      </c>
      <c r="Z48" s="255" t="s">
        <v>552</v>
      </c>
      <c r="AA48" s="255" t="s">
        <v>554</v>
      </c>
      <c r="AC48" s="255" t="s">
        <v>294</v>
      </c>
      <c r="AD48" s="255">
        <f>SUM(AC49:AC52)</f>
        <v>10</v>
      </c>
      <c r="AF48" s="255"/>
      <c r="AG48" s="408" t="str">
        <f>AF49</f>
        <v>Zwitserland</v>
      </c>
      <c r="AH48" s="408" t="str">
        <f>AF50</f>
        <v>Ecuador</v>
      </c>
      <c r="AI48" s="408" t="str">
        <f>AF51</f>
        <v>Frankrijk</v>
      </c>
      <c r="AJ48" s="408" t="str">
        <f>AF52</f>
        <v>Honduras</v>
      </c>
      <c r="AL48" s="408" t="str">
        <f>AG48</f>
        <v>Zwitserland</v>
      </c>
      <c r="AM48" s="408" t="str">
        <f t="shared" ref="AM48" si="66">AH48</f>
        <v>Ecuador</v>
      </c>
      <c r="AN48" s="408" t="str">
        <f t="shared" ref="AN48" si="67">AI48</f>
        <v>Frankrijk</v>
      </c>
      <c r="AO48" s="408" t="str">
        <f t="shared" ref="AO48" si="68">AJ48</f>
        <v>Honduras</v>
      </c>
      <c r="AQ48" s="408" t="str">
        <f>AL48</f>
        <v>Zwitserland</v>
      </c>
      <c r="AR48" s="408" t="str">
        <f t="shared" ref="AR48" si="69">AM48</f>
        <v>Ecuador</v>
      </c>
      <c r="AS48" s="408" t="str">
        <f t="shared" ref="AS48" si="70">AN48</f>
        <v>Frankrijk</v>
      </c>
      <c r="AT48" s="408" t="str">
        <f t="shared" ref="AT48" si="71">AO48</f>
        <v>Honduras</v>
      </c>
      <c r="AW48" s="417">
        <f t="array" ref="AW48:AZ48">TRANSPOSE(AV49:AV52)</f>
        <v>617001</v>
      </c>
      <c r="AX48" s="417">
        <v>403004</v>
      </c>
      <c r="AY48" s="417">
        <v>768003</v>
      </c>
      <c r="AZ48" s="417">
        <v>-68998</v>
      </c>
      <c r="BA48" s="423"/>
      <c r="BB48" s="255" t="s">
        <v>552</v>
      </c>
    </row>
    <row r="49" spans="2:54">
      <c r="B49" s="68" t="str">
        <f>Toernooigegevens!M36</f>
        <v>E1</v>
      </c>
      <c r="C49" s="68" t="str">
        <f>Toernooigegevens!N36</f>
        <v>Zwitserland</v>
      </c>
      <c r="D49" s="68">
        <f>(E49*3)+(F49*1)</f>
        <v>6</v>
      </c>
      <c r="E49" s="68">
        <f>SUMPRODUCT((Invulblad!$F$43:$F$48=C49)*(Invulblad!$M$43:$M$48="1"))+SUMPRODUCT((Invulblad!$J$43:$J$48=C49)*(Invulblad!$M$43:$M$48=2))</f>
        <v>2</v>
      </c>
      <c r="F49" s="68">
        <f>SUMPRODUCT((Invulblad!$F$43:$F$48=C49)*(Invulblad!$M$43:$M$48=3))+SUMPRODUCT((Invulblad!$J$43:$J$48=C49)*(Invulblad!$M$43:$M$48=3))</f>
        <v>0</v>
      </c>
      <c r="G49" s="68">
        <f>SUMPRODUCT((Invulblad!$F$43:$F$48=C49)*(Invulblad!$M$43:$M$48=2))+SUMPRODUCT((Invulblad!$J$43:$J$48=C49)*(Invulblad!$M$43:$M$48="1"))</f>
        <v>1</v>
      </c>
      <c r="H49" s="68">
        <f>SUMIF(Invulblad!$J$43:$J$48,C49,Invulblad!$I$43:$I$48)+SUMIF(Invulblad!$F$43:$F$48,C49,Invulblad!$G$43:$G$48)</f>
        <v>7</v>
      </c>
      <c r="I49" s="68">
        <f>SUMIF(Invulblad!$J$43:$J$48,C49,Invulblad!$G$43:$G$48)+SUMIF(Invulblad!$F$43:$F$48,C49,Invulblad!$I$43:$I$48)</f>
        <v>6</v>
      </c>
      <c r="J49" s="68">
        <f>H49-I49</f>
        <v>1</v>
      </c>
      <c r="M49" s="70">
        <f>IF(N49&gt;0,N49,AC49)</f>
        <v>2</v>
      </c>
      <c r="N49" s="124"/>
      <c r="O49" s="258"/>
      <c r="Q49" s="68">
        <v>4</v>
      </c>
      <c r="R49" s="68" t="str">
        <f>IF(SUM(E49:G49)&gt;0,"Ja","Nee")</f>
        <v>Ja</v>
      </c>
      <c r="S49" s="68">
        <f>IF(COUNTIF(R49:R52,"Ja")=4,-Q49,"")</f>
        <v>-4</v>
      </c>
      <c r="T49" s="68">
        <f>IF(S49&lt;&gt;"",(SUMPRODUCT(--(C49&lt;C49:C52))+1),"")</f>
        <v>1</v>
      </c>
      <c r="U49" s="68" t="str">
        <f>IF(SUM(E49:G49)=3,"Ja","Nee")</f>
        <v>Ja</v>
      </c>
      <c r="V49" s="68">
        <f>D49*$AC$3</f>
        <v>600000</v>
      </c>
      <c r="W49" s="68">
        <f>J49*$AC$4</f>
        <v>10000</v>
      </c>
      <c r="X49" s="68">
        <f>H49*$AC$5</f>
        <v>7000</v>
      </c>
      <c r="Y49" s="68">
        <f>SUM(Q49:X49)</f>
        <v>617001</v>
      </c>
      <c r="Z49" s="68">
        <f>$AC$6*BB49</f>
        <v>0</v>
      </c>
      <c r="AA49" s="68">
        <f>SUM(Y49:Z49)</f>
        <v>617001</v>
      </c>
      <c r="AC49" s="70">
        <f>RANK(Y49,Y49:Y52)</f>
        <v>2</v>
      </c>
      <c r="AF49" s="409" t="str">
        <f>C49</f>
        <v>Zwitserland</v>
      </c>
      <c r="AG49" s="68">
        <f>SUMPRODUCT((Invulblad!F43:F48=AF49)*(Invulblad!J43:J48=AG48)*(Invulblad!G43:G48))+SUMPRODUCT((Invulblad!J43:J48=AF49)*(Invulblad!F43:F48=AG48)*(Invulblad!I43:I48))</f>
        <v>0</v>
      </c>
      <c r="AH49" s="68">
        <f>SUMPRODUCT((Invulblad!F43:F48=AF49)*(Invulblad!J43:J48=AH48)*(Invulblad!G43:G48))+SUMPRODUCT((Invulblad!J43:J48=AF49)*(Invulblad!F43:F48=AH48)*(Invulblad!I43:I48))</f>
        <v>2</v>
      </c>
      <c r="AI49" s="68">
        <f>SUMPRODUCT((Invulblad!F43:F48=AF49)*(Invulblad!J43:J48=AI48)*(Invulblad!G43:G48))+SUMPRODUCT((Invulblad!J43:J48=AF49)*(Invulblad!F43:F48=AI48)*(Invulblad!I43:I48))</f>
        <v>2</v>
      </c>
      <c r="AJ49" s="68">
        <f>SUMPRODUCT((Invulblad!F43:F48=AF49)*(Invulblad!J43:J48=AJ48)*(Invulblad!G43:G48))+SUMPRODUCT((Invulblad!J43:J48=AF49)*(Invulblad!F43:F48=AJ48)*(Invulblad!I43:I48))</f>
        <v>3</v>
      </c>
      <c r="AL49" s="68">
        <f t="array" ref="AL49:AO52">TRANSPOSE(AG49:AJ52)</f>
        <v>0</v>
      </c>
      <c r="AM49" s="68">
        <v>1</v>
      </c>
      <c r="AN49" s="68">
        <v>5</v>
      </c>
      <c r="AO49" s="68">
        <v>0</v>
      </c>
      <c r="AQ49" s="68">
        <f>AG49-AL49</f>
        <v>0</v>
      </c>
      <c r="AR49" s="68">
        <f t="shared" ref="AR49:AR52" si="72">AH49-AM49</f>
        <v>1</v>
      </c>
      <c r="AS49" s="68">
        <f t="shared" ref="AS49:AS52" si="73">AI49-AN49</f>
        <v>-3</v>
      </c>
      <c r="AT49" s="68">
        <f t="shared" ref="AT49:AT52" si="74">AJ49-AO49</f>
        <v>3</v>
      </c>
      <c r="AV49" s="256">
        <f>Y49</f>
        <v>617001</v>
      </c>
      <c r="AW49" s="70">
        <f>IF(AND($AV49=AW$16,AQ49&gt;0),1,)</f>
        <v>0</v>
      </c>
      <c r="AX49" s="70">
        <f t="shared" ref="AX49:AX52" si="75">IF(AND($AV49=AX$16,AR49&gt;0),1,)</f>
        <v>0</v>
      </c>
      <c r="AY49" s="418">
        <f t="shared" ref="AY49:AY52" si="76">IF(AND($AV49=AY$16,AS49&gt;0),1,)</f>
        <v>0</v>
      </c>
      <c r="AZ49" s="418">
        <f t="shared" ref="AZ49:AZ52" si="77">IF(AND($AV49=AZ$16,AT49&gt;0),1,)</f>
        <v>0</v>
      </c>
      <c r="BA49" s="424"/>
      <c r="BB49" s="409">
        <f>SUM(AW49:AZ49)</f>
        <v>0</v>
      </c>
    </row>
    <row r="50" spans="2:54">
      <c r="B50" s="77" t="str">
        <f>Toernooigegevens!M37</f>
        <v>E2</v>
      </c>
      <c r="C50" s="77" t="str">
        <f>Toernooigegevens!N37</f>
        <v>Ecuador</v>
      </c>
      <c r="D50" s="77">
        <f>(E50*3)+(F50*1)</f>
        <v>4</v>
      </c>
      <c r="E50" s="77">
        <f>SUMPRODUCT((Invulblad!$F$43:$F$48=C50)*(Invulblad!$M$43:$M$48="1"))+SUMPRODUCT((Invulblad!$J$43:$J$48=C50)*(Invulblad!$M$43:$M$48=2))</f>
        <v>1</v>
      </c>
      <c r="F50" s="77">
        <f>SUMPRODUCT((Invulblad!$F$43:$F$48=C50)*(Invulblad!$M$43:$M$48=3))+SUMPRODUCT((Invulblad!$J$43:$J$48=C50)*(Invulblad!$M$43:$M$48=3))</f>
        <v>1</v>
      </c>
      <c r="G50" s="77">
        <f>SUMPRODUCT((Invulblad!$F$43:$F$48=C50)*(Invulblad!$M$43:$M$48=2))+SUMPRODUCT((Invulblad!$J$43:$J$48=C50)*(Invulblad!$M$43:$M$48="1"))</f>
        <v>1</v>
      </c>
      <c r="H50" s="77">
        <f>SUMIF(Invulblad!$J$43:$J$48,C50,Invulblad!$I$43:$I$48)+SUMIF(Invulblad!$F$43:$F$48,C50,Invulblad!$G$43:$G$48)</f>
        <v>3</v>
      </c>
      <c r="I50" s="77">
        <f>SUMIF(Invulblad!$J$43:$J$48,C50,Invulblad!$G$43:$G$48)+SUMIF(Invulblad!$F$43:$F$48,C50,Invulblad!$I$43:$I$48)</f>
        <v>3</v>
      </c>
      <c r="J50" s="77">
        <f>H50-I50</f>
        <v>0</v>
      </c>
      <c r="M50" s="70">
        <f t="shared" ref="M50:M52" si="78">IF(N50&gt;0,N50,AC50)</f>
        <v>3</v>
      </c>
      <c r="N50" s="131"/>
      <c r="O50" s="258"/>
      <c r="Q50" s="77">
        <v>3</v>
      </c>
      <c r="R50" s="77" t="str">
        <f>IF(SUM(E50:G50)&gt;0,"Ja","Nee")</f>
        <v>Ja</v>
      </c>
      <c r="S50" s="77">
        <f>IF(COUNTIF(R49:R52,"Ja")=4,-Q50,"")</f>
        <v>-3</v>
      </c>
      <c r="T50" s="77">
        <f>IF(S50&lt;&gt;"",(SUMPRODUCT(--(C50&lt;C49:C52))+1),"")</f>
        <v>4</v>
      </c>
      <c r="U50" s="77" t="str">
        <f>IF(SUM(E50:G50)=3,"Ja","Nee")</f>
        <v>Ja</v>
      </c>
      <c r="V50" s="77">
        <f>D50*$AC$3</f>
        <v>400000</v>
      </c>
      <c r="W50" s="77">
        <f>J50*$AC$4</f>
        <v>0</v>
      </c>
      <c r="X50" s="77">
        <f>H50*$AC$5</f>
        <v>3000</v>
      </c>
      <c r="Y50" s="77">
        <f>SUM(Q50:X50)</f>
        <v>403004</v>
      </c>
      <c r="Z50" s="77">
        <f t="shared" ref="Z50:Z52" si="79">$AC$6*BB50</f>
        <v>0</v>
      </c>
      <c r="AA50" s="77">
        <f>SUM(Y50:Z50)</f>
        <v>403004</v>
      </c>
      <c r="AC50" s="79">
        <f>RANK(Y50,Y49:Y52)</f>
        <v>3</v>
      </c>
      <c r="AF50" s="410" t="str">
        <f>C50</f>
        <v>Ecuador</v>
      </c>
      <c r="AG50" s="77">
        <f>SUMPRODUCT((Invulblad!F43:F48=AF50)*(Invulblad!J43:J48=AG48)*(Invulblad!G43:G48))+SUMPRODUCT((Invulblad!J43:J48=AF50)*(Invulblad!F43:F48=AG48)*(Invulblad!I43:I48))</f>
        <v>1</v>
      </c>
      <c r="AH50" s="77">
        <f>SUMPRODUCT((Invulblad!F43:F48=AF50)*(Invulblad!J43:J48=AH48)*(Invulblad!G43:G48))+SUMPRODUCT((Invulblad!J43:J48=AF50)*(Invulblad!F43:F48=AH48)*(Invulblad!I43:I48))</f>
        <v>0</v>
      </c>
      <c r="AI50" s="77">
        <f>SUMPRODUCT((Invulblad!F43:F48=AF50)*(Invulblad!J43:J48=AI48)*(Invulblad!G43:G48))+SUMPRODUCT((Invulblad!J43:J48=AF50)*(Invulblad!F43:F48=AI48)*(Invulblad!I43:I48))</f>
        <v>0</v>
      </c>
      <c r="AJ50" s="77">
        <f>SUMPRODUCT((Invulblad!F43:F48=AF50)*(Invulblad!J43:J48=AJ48)*(Invulblad!G43:G48))+SUMPRODUCT((Invulblad!J43:J48=AF50)*(Invulblad!F43:F48=AJ48)*(Invulblad!I43:I48))</f>
        <v>2</v>
      </c>
      <c r="AL50" s="77">
        <v>2</v>
      </c>
      <c r="AM50" s="77">
        <v>0</v>
      </c>
      <c r="AN50" s="77">
        <v>0</v>
      </c>
      <c r="AO50" s="77">
        <v>1</v>
      </c>
      <c r="AQ50" s="77">
        <f t="shared" ref="AQ50:AQ52" si="80">AG50-AL50</f>
        <v>-1</v>
      </c>
      <c r="AR50" s="77">
        <f t="shared" si="72"/>
        <v>0</v>
      </c>
      <c r="AS50" s="77">
        <f t="shared" si="73"/>
        <v>0</v>
      </c>
      <c r="AT50" s="77">
        <f t="shared" si="74"/>
        <v>1</v>
      </c>
      <c r="AV50" s="256">
        <f t="shared" ref="AV50:AV52" si="81">Y50</f>
        <v>403004</v>
      </c>
      <c r="AW50" s="79">
        <f t="shared" ref="AW50:AW52" si="82">IF(AND($AV50=AW$16,AQ50&gt;0),1,)</f>
        <v>0</v>
      </c>
      <c r="AX50" s="79">
        <f t="shared" si="75"/>
        <v>0</v>
      </c>
      <c r="AY50" s="419">
        <f t="shared" si="76"/>
        <v>0</v>
      </c>
      <c r="AZ50" s="419">
        <f t="shared" si="77"/>
        <v>0</v>
      </c>
      <c r="BA50" s="425"/>
      <c r="BB50" s="410">
        <f>SUM(AW50:AZ50)</f>
        <v>0</v>
      </c>
    </row>
    <row r="51" spans="2:54">
      <c r="B51" s="68" t="str">
        <f>Toernooigegevens!M38</f>
        <v>E3</v>
      </c>
      <c r="C51" s="68" t="str">
        <f>Toernooigegevens!N38</f>
        <v>Frankrijk</v>
      </c>
      <c r="D51" s="68">
        <f>(E51*3)+(F51*1)</f>
        <v>7</v>
      </c>
      <c r="E51" s="68">
        <f>SUMPRODUCT((Invulblad!$F$43:$F$48=C51)*(Invulblad!$M$43:$M$48="1"))+SUMPRODUCT((Invulblad!$J$43:$J$48=C51)*(Invulblad!$M$43:$M$48=2))</f>
        <v>2</v>
      </c>
      <c r="F51" s="68">
        <f>SUMPRODUCT((Invulblad!$F$43:$F$48=C51)*(Invulblad!$M$43:$M$48=3))+SUMPRODUCT((Invulblad!$J$43:$J$48=C51)*(Invulblad!$M$43:$M$48=3))</f>
        <v>1</v>
      </c>
      <c r="G51" s="68">
        <f>SUMPRODUCT((Invulblad!$F$43:$F$48=C51)*(Invulblad!$M$43:$M$48=2))+SUMPRODUCT((Invulblad!$J$43:$J$48=C51)*(Invulblad!$M$43:$M$48="1"))</f>
        <v>0</v>
      </c>
      <c r="H51" s="68">
        <f>SUMIF(Invulblad!$J$43:$J$48,C51,Invulblad!$I$43:$I$48)+SUMIF(Invulblad!$F$43:$F$48,C51,Invulblad!$G$43:$G$48)</f>
        <v>8</v>
      </c>
      <c r="I51" s="68">
        <f>SUMIF(Invulblad!$J$43:$J$48,C51,Invulblad!$G$43:$G$48)+SUMIF(Invulblad!$F$43:$F$48,C51,Invulblad!$I$43:$I$48)</f>
        <v>2</v>
      </c>
      <c r="J51" s="68">
        <f>H51-I51</f>
        <v>6</v>
      </c>
      <c r="M51" s="70">
        <f t="shared" si="78"/>
        <v>1</v>
      </c>
      <c r="N51" s="124"/>
      <c r="O51" s="258"/>
      <c r="Q51" s="68">
        <v>2</v>
      </c>
      <c r="R51" s="68" t="str">
        <f>IF(SUM(E51:G51)&gt;0,"Ja","Nee")</f>
        <v>Ja</v>
      </c>
      <c r="S51" s="68">
        <f>IF(COUNTIF(R49:R52,"Ja")=4,-Q51,"")</f>
        <v>-2</v>
      </c>
      <c r="T51" s="68">
        <f>IF(S51&lt;&gt;"",(SUMPRODUCT(--(C51&lt;C49:C52))+1),"")</f>
        <v>3</v>
      </c>
      <c r="U51" s="68" t="str">
        <f>IF(SUM(E51:G51)=3,"Ja","Nee")</f>
        <v>Ja</v>
      </c>
      <c r="V51" s="68">
        <f>D51*$AC$3</f>
        <v>700000</v>
      </c>
      <c r="W51" s="68">
        <f>J51*$AC$4</f>
        <v>60000</v>
      </c>
      <c r="X51" s="68">
        <f>H51*$AC$5</f>
        <v>8000</v>
      </c>
      <c r="Y51" s="68">
        <f>SUM(Q51:X51)</f>
        <v>768003</v>
      </c>
      <c r="Z51" s="68">
        <f t="shared" si="79"/>
        <v>0</v>
      </c>
      <c r="AA51" s="68">
        <f>SUM(Y51:Z51)</f>
        <v>768003</v>
      </c>
      <c r="AC51" s="70">
        <f>RANK(Y51,Y49:Y52)</f>
        <v>1</v>
      </c>
      <c r="AF51" s="409" t="str">
        <f>C51</f>
        <v>Frankrijk</v>
      </c>
      <c r="AG51" s="68">
        <f>SUMPRODUCT((Invulblad!F43:F48=AF51)*(Invulblad!J43:J48=AG48)*(Invulblad!G43:G48))+SUMPRODUCT((Invulblad!J43:J48=AF51)*(Invulblad!F43:F48=AG48)*(Invulblad!I43:I48))</f>
        <v>5</v>
      </c>
      <c r="AH51" s="68">
        <f>SUMPRODUCT((Invulblad!F43:F48=AF51)*(Invulblad!J43:J48=AH48)*(Invulblad!G43:G48))+SUMPRODUCT((Invulblad!J43:J48=AF51)*(Invulblad!F43:F48=AH48)*(Invulblad!I43:I48))</f>
        <v>0</v>
      </c>
      <c r="AI51" s="68">
        <f>SUMPRODUCT((Invulblad!F43:F48=AF51)*(Invulblad!J43:J48=AI48)*(Invulblad!G43:G48))+SUMPRODUCT((Invulblad!J43:J48=AF51)*(Invulblad!F43:F48=AI48)*(Invulblad!I43:I48))</f>
        <v>0</v>
      </c>
      <c r="AJ51" s="68">
        <f>SUMPRODUCT((Invulblad!F43:F48=AF51)*(Invulblad!J43:J48=AJ48)*(Invulblad!G43:G48))+SUMPRODUCT((Invulblad!J43:J48=AF51)*(Invulblad!F43:F48=AJ48)*(Invulblad!I43:I48))</f>
        <v>3</v>
      </c>
      <c r="AL51" s="68">
        <v>2</v>
      </c>
      <c r="AM51" s="68">
        <v>0</v>
      </c>
      <c r="AN51" s="68">
        <v>0</v>
      </c>
      <c r="AO51" s="68">
        <v>0</v>
      </c>
      <c r="AQ51" s="68">
        <f t="shared" si="80"/>
        <v>3</v>
      </c>
      <c r="AR51" s="68">
        <f t="shared" si="72"/>
        <v>0</v>
      </c>
      <c r="AS51" s="68">
        <f t="shared" si="73"/>
        <v>0</v>
      </c>
      <c r="AT51" s="68">
        <f t="shared" si="74"/>
        <v>3</v>
      </c>
      <c r="AV51" s="256">
        <f t="shared" si="81"/>
        <v>768003</v>
      </c>
      <c r="AW51" s="70">
        <f t="shared" si="82"/>
        <v>0</v>
      </c>
      <c r="AX51" s="70">
        <f t="shared" si="75"/>
        <v>0</v>
      </c>
      <c r="AY51" s="418">
        <f t="shared" si="76"/>
        <v>0</v>
      </c>
      <c r="AZ51" s="418">
        <f t="shared" si="77"/>
        <v>0</v>
      </c>
      <c r="BA51" s="424"/>
      <c r="BB51" s="409">
        <f>SUM(AW51:AZ51)</f>
        <v>0</v>
      </c>
    </row>
    <row r="52" spans="2:54">
      <c r="B52" s="77" t="str">
        <f>Toernooigegevens!M39</f>
        <v>E4</v>
      </c>
      <c r="C52" s="77" t="str">
        <f>Toernooigegevens!N39</f>
        <v>Honduras</v>
      </c>
      <c r="D52" s="77">
        <f>(E52*3)+(F52*1)</f>
        <v>0</v>
      </c>
      <c r="E52" s="77">
        <f>SUMPRODUCT((Invulblad!$F$43:$F$48=C52)*(Invulblad!$M$43:$M$48="1"))+SUMPRODUCT((Invulblad!$J$43:$J$48=C52)*(Invulblad!$M$43:$M$48=2))</f>
        <v>0</v>
      </c>
      <c r="F52" s="77">
        <f>SUMPRODUCT((Invulblad!$F$43:$F$48=C52)*(Invulblad!$M$43:$M$48=3))+SUMPRODUCT((Invulblad!$J$43:$J$48=C52)*(Invulblad!$M$43:$M$48=3))</f>
        <v>0</v>
      </c>
      <c r="G52" s="77">
        <f>SUMPRODUCT((Invulblad!$F$43:$F$48=C52)*(Invulblad!$M$43:$M$48=2))+SUMPRODUCT((Invulblad!$J$43:$J$48=C52)*(Invulblad!$M$43:$M$48="1"))</f>
        <v>3</v>
      </c>
      <c r="H52" s="77">
        <f>SUMIF(Invulblad!$J$43:$J$48,C52,Invulblad!$I$43:$I$48)+SUMIF(Invulblad!$F$43:$F$48,C52,Invulblad!$G$43:$G$48)</f>
        <v>1</v>
      </c>
      <c r="I52" s="77">
        <f>SUMIF(Invulblad!$J$43:$J$48,C52,Invulblad!$G$43:$G$48)+SUMIF(Invulblad!$F$43:$F$48,C52,Invulblad!$I$43:$I$48)</f>
        <v>8</v>
      </c>
      <c r="J52" s="77">
        <f>H52-I52</f>
        <v>-7</v>
      </c>
      <c r="M52" s="70">
        <f t="shared" si="78"/>
        <v>4</v>
      </c>
      <c r="N52" s="131"/>
      <c r="O52" s="258"/>
      <c r="Q52" s="77">
        <v>1</v>
      </c>
      <c r="R52" s="77" t="str">
        <f>IF(SUM(E52:G52)&gt;0,"Ja","Nee")</f>
        <v>Ja</v>
      </c>
      <c r="S52" s="77">
        <f>IF(COUNTIF(R49:R52,"Ja")=4,-Q52,"")</f>
        <v>-1</v>
      </c>
      <c r="T52" s="77">
        <f>IF(S52&lt;&gt;"",(SUMPRODUCT(--(C52&lt;C49:C52))+1),"")</f>
        <v>2</v>
      </c>
      <c r="U52" s="77" t="str">
        <f>IF(SUM(E52:G52)=3,"Ja","Nee")</f>
        <v>Ja</v>
      </c>
      <c r="V52" s="77">
        <f>D52*$AC$3</f>
        <v>0</v>
      </c>
      <c r="W52" s="77">
        <f>J52*$AC$4</f>
        <v>-70000</v>
      </c>
      <c r="X52" s="77">
        <f>H52*$AC$5</f>
        <v>1000</v>
      </c>
      <c r="Y52" s="77">
        <f>SUM(Q52:X52)</f>
        <v>-68998</v>
      </c>
      <c r="Z52" s="77">
        <f t="shared" si="79"/>
        <v>0</v>
      </c>
      <c r="AA52" s="77">
        <f>SUM(Y52:Z52)</f>
        <v>-68998</v>
      </c>
      <c r="AC52" s="79">
        <f>RANK(Y52,Y49:Y52)</f>
        <v>4</v>
      </c>
      <c r="AF52" s="410" t="str">
        <f>C52</f>
        <v>Honduras</v>
      </c>
      <c r="AG52" s="77">
        <f>SUMPRODUCT((Invulblad!F43:F48=AF52)*(Invulblad!J43:J48=AG48)*(Invulblad!G43:G48))+SUMPRODUCT((Invulblad!J43:J48=AF52)*(Invulblad!F43:F48=AG48)*(Invulblad!I43:I48))</f>
        <v>0</v>
      </c>
      <c r="AH52" s="77">
        <f>SUMPRODUCT((Invulblad!F43:F48=AF52)*(Invulblad!J43:J48=AH48)*(Invulblad!G43:G48))+SUMPRODUCT((Invulblad!J43:J48=AF52)*(Invulblad!F43:F48=AH48)*(Invulblad!I43:I48))</f>
        <v>1</v>
      </c>
      <c r="AI52" s="77">
        <f>SUMPRODUCT((Invulblad!F43:F48=AF52)*(Invulblad!J43:J48=AI48)*(Invulblad!G43:G48))+SUMPRODUCT((Invulblad!J43:J48=AF52)*(Invulblad!F43:F48=AI48)*(Invulblad!I43:I48))</f>
        <v>0</v>
      </c>
      <c r="AJ52" s="77">
        <f>SUMPRODUCT((Invulblad!F43:F48=AF52)*(Invulblad!J43:J48=AJ48)*(Invulblad!G43:G48))+SUMPRODUCT((Invulblad!J43:J48=AF52)*(Invulblad!F43:F48=AJ48)*(Invulblad!I43:I48))</f>
        <v>0</v>
      </c>
      <c r="AL52" s="77">
        <v>3</v>
      </c>
      <c r="AM52" s="77">
        <v>2</v>
      </c>
      <c r="AN52" s="77">
        <v>3</v>
      </c>
      <c r="AO52" s="77">
        <v>0</v>
      </c>
      <c r="AQ52" s="77">
        <f t="shared" si="80"/>
        <v>-3</v>
      </c>
      <c r="AR52" s="77">
        <f t="shared" si="72"/>
        <v>-1</v>
      </c>
      <c r="AS52" s="77">
        <f t="shared" si="73"/>
        <v>-3</v>
      </c>
      <c r="AT52" s="77">
        <f t="shared" si="74"/>
        <v>0</v>
      </c>
      <c r="AV52" s="256">
        <f t="shared" si="81"/>
        <v>-68998</v>
      </c>
      <c r="AW52" s="79">
        <f t="shared" si="82"/>
        <v>0</v>
      </c>
      <c r="AX52" s="79">
        <f t="shared" si="75"/>
        <v>0</v>
      </c>
      <c r="AY52" s="419">
        <f t="shared" si="76"/>
        <v>0</v>
      </c>
      <c r="AZ52" s="419">
        <f t="shared" si="77"/>
        <v>0</v>
      </c>
      <c r="BA52" s="425"/>
      <c r="BB52" s="410">
        <f>SUM(AW52:AZ52)</f>
        <v>0</v>
      </c>
    </row>
    <row r="53" spans="2:54">
      <c r="AF53" s="257"/>
      <c r="AG53" s="257"/>
      <c r="AH53" s="257"/>
      <c r="AI53" s="257"/>
      <c r="AJ53" s="257"/>
      <c r="AL53" s="257"/>
      <c r="AM53" s="257"/>
      <c r="AN53" s="257"/>
      <c r="AO53" s="257"/>
      <c r="AQ53" s="87"/>
      <c r="AR53" s="87"/>
      <c r="AS53" s="87"/>
      <c r="AT53" s="87"/>
      <c r="AV53" s="257"/>
      <c r="AZ53" s="420"/>
      <c r="BA53" s="426"/>
      <c r="BB53" s="85"/>
    </row>
    <row r="54" spans="2:54" ht="12.75">
      <c r="AF54" s="411"/>
      <c r="AG54" s="411"/>
      <c r="AH54" s="411"/>
      <c r="AI54" s="411"/>
      <c r="AJ54" s="411"/>
      <c r="AK54" s="411"/>
      <c r="AL54" s="407"/>
      <c r="AM54" s="407"/>
      <c r="AN54" s="407"/>
      <c r="AO54" s="407"/>
      <c r="AQ54" s="87"/>
      <c r="AR54" s="87"/>
      <c r="AS54" s="87"/>
      <c r="AT54" s="87"/>
      <c r="AV54" s="87"/>
    </row>
    <row r="55" spans="2:54">
      <c r="Q55" s="254" t="s">
        <v>297</v>
      </c>
      <c r="R55" s="87"/>
      <c r="S55" s="87"/>
      <c r="V55" s="59" t="s">
        <v>290</v>
      </c>
      <c r="W55" s="59" t="s">
        <v>291</v>
      </c>
      <c r="X55" s="59" t="s">
        <v>292</v>
      </c>
      <c r="Z55" s="59" t="s">
        <v>551</v>
      </c>
      <c r="AG55" s="59" t="s">
        <v>547</v>
      </c>
      <c r="AL55" s="59" t="s">
        <v>548</v>
      </c>
      <c r="AQ55" s="59" t="s">
        <v>550</v>
      </c>
    </row>
    <row r="56" spans="2:54">
      <c r="B56" s="255"/>
      <c r="C56" s="255" t="s">
        <v>35</v>
      </c>
      <c r="D56" s="255" t="s">
        <v>293</v>
      </c>
      <c r="E56" s="255" t="s">
        <v>23</v>
      </c>
      <c r="F56" s="255" t="s">
        <v>24</v>
      </c>
      <c r="G56" s="255" t="s">
        <v>25</v>
      </c>
      <c r="H56" s="255" t="s">
        <v>26</v>
      </c>
      <c r="I56" s="255" t="s">
        <v>27</v>
      </c>
      <c r="J56" s="255" t="s">
        <v>28</v>
      </c>
      <c r="M56" s="255" t="s">
        <v>294</v>
      </c>
      <c r="N56" s="255" t="s">
        <v>295</v>
      </c>
      <c r="Q56" s="255" t="str">
        <f>C56</f>
        <v>Groep F</v>
      </c>
      <c r="R56" s="256"/>
      <c r="S56" s="256"/>
      <c r="T56" s="256"/>
      <c r="U56" s="256"/>
      <c r="V56" s="255" t="s">
        <v>296</v>
      </c>
      <c r="W56" s="255" t="s">
        <v>28</v>
      </c>
      <c r="X56" s="255" t="s">
        <v>26</v>
      </c>
      <c r="Y56" s="255" t="s">
        <v>553</v>
      </c>
      <c r="Z56" s="255" t="s">
        <v>552</v>
      </c>
      <c r="AA56" s="255" t="s">
        <v>554</v>
      </c>
      <c r="AC56" s="255" t="s">
        <v>294</v>
      </c>
      <c r="AD56" s="255">
        <f>SUM(AC57:AC60)</f>
        <v>10</v>
      </c>
      <c r="AF56" s="255"/>
      <c r="AG56" s="408" t="str">
        <f>AF57</f>
        <v>Argentinië</v>
      </c>
      <c r="AH56" s="408" t="str">
        <f>AF58</f>
        <v>Bosnië-Herzegovina</v>
      </c>
      <c r="AI56" s="408" t="str">
        <f>AF59</f>
        <v>Iran</v>
      </c>
      <c r="AJ56" s="408" t="str">
        <f>AF60</f>
        <v>Nigeria</v>
      </c>
      <c r="AL56" s="408" t="str">
        <f>AG56</f>
        <v>Argentinië</v>
      </c>
      <c r="AM56" s="408" t="str">
        <f t="shared" ref="AM56" si="83">AH56</f>
        <v>Bosnië-Herzegovina</v>
      </c>
      <c r="AN56" s="408" t="str">
        <f t="shared" ref="AN56" si="84">AI56</f>
        <v>Iran</v>
      </c>
      <c r="AO56" s="408" t="str">
        <f t="shared" ref="AO56" si="85">AJ56</f>
        <v>Nigeria</v>
      </c>
      <c r="AQ56" s="408" t="str">
        <f>AL56</f>
        <v>Argentinië</v>
      </c>
      <c r="AR56" s="408" t="str">
        <f t="shared" ref="AR56" si="86">AM56</f>
        <v>Bosnië-Herzegovina</v>
      </c>
      <c r="AS56" s="408" t="str">
        <f t="shared" ref="AS56" si="87">AN56</f>
        <v>Iran</v>
      </c>
      <c r="AT56" s="408" t="str">
        <f t="shared" ref="AT56" si="88">AO56</f>
        <v>Nigeria</v>
      </c>
      <c r="AW56" s="417">
        <f t="array" ref="AW56:AZ56">TRANSPOSE(AV57:AV60)</f>
        <v>936004</v>
      </c>
      <c r="AX56" s="417">
        <v>304003</v>
      </c>
      <c r="AY56" s="417">
        <v>71002</v>
      </c>
      <c r="AZ56" s="417">
        <v>403001</v>
      </c>
      <c r="BA56" s="423"/>
      <c r="BB56" s="255" t="s">
        <v>552</v>
      </c>
    </row>
    <row r="57" spans="2:54">
      <c r="B57" s="68" t="str">
        <f>Toernooigegevens!M44</f>
        <v>F1</v>
      </c>
      <c r="C57" s="68" t="str">
        <f>Toernooigegevens!N44</f>
        <v>Argentinië</v>
      </c>
      <c r="D57" s="68">
        <f>(E57*3)+(F57*1)</f>
        <v>9</v>
      </c>
      <c r="E57" s="68">
        <f>SUMPRODUCT((Invulblad!$F$51:$F$56=C57)*(Invulblad!$M$51:$M$56="1"))+SUMPRODUCT((Invulblad!$J$51:$J$56=C57)*(Invulblad!$M$51:$M$56=2))</f>
        <v>3</v>
      </c>
      <c r="F57" s="68">
        <f>SUMPRODUCT((Invulblad!$F$51:$F$56=C57)*(Invulblad!$M$51:$M$56=3))+SUMPRODUCT((Invulblad!$J$51:$J$56=C57)*(Invulblad!$M$51:$M$56=3))</f>
        <v>0</v>
      </c>
      <c r="G57" s="68">
        <f>SUMPRODUCT((Invulblad!$F$51:$F$56=C57)*(Invulblad!$M$51:$M$56=2))+SUMPRODUCT((Invulblad!$J$51:$J$56=C57)*(Invulblad!$M$51:$M$56="1"))</f>
        <v>0</v>
      </c>
      <c r="H57" s="68">
        <f>SUMIF(Invulblad!$J$51:$J$56,C57,Invulblad!$I$51:$I$56)+SUMIF(Invulblad!$F$51:$F$56,C57,Invulblad!$G$51:$G$56)</f>
        <v>6</v>
      </c>
      <c r="I57" s="68">
        <f>SUMIF(Invulblad!$J$51:$J$56,C57,Invulblad!$G$51:$G$56)+SUMIF(Invulblad!$F$51:$F$56,C57,Invulblad!$I$51:$I$56)</f>
        <v>3</v>
      </c>
      <c r="J57" s="68">
        <f>H57-I57</f>
        <v>3</v>
      </c>
      <c r="M57" s="70">
        <f>IF(N57&gt;0,N57,AC57)</f>
        <v>1</v>
      </c>
      <c r="N57" s="124"/>
      <c r="O57" s="258"/>
      <c r="Q57" s="68">
        <v>4</v>
      </c>
      <c r="R57" s="68" t="str">
        <f>IF(SUM(E57:G57)&gt;0,"Ja","Nee")</f>
        <v>Ja</v>
      </c>
      <c r="S57" s="68">
        <f>IF(COUNTIF(R57:R60,"Ja")=4,-Q57,"")</f>
        <v>-4</v>
      </c>
      <c r="T57" s="68">
        <f>IF(S57&lt;&gt;"",(SUMPRODUCT(--(C57&lt;C57:C60))+1),"")</f>
        <v>4</v>
      </c>
      <c r="U57" s="68" t="str">
        <f>IF(SUM(E57:G57)=3,"Ja","Nee")</f>
        <v>Ja</v>
      </c>
      <c r="V57" s="68">
        <f>D57*$AC$3</f>
        <v>900000</v>
      </c>
      <c r="W57" s="68">
        <f>J57*$AC$4</f>
        <v>30000</v>
      </c>
      <c r="X57" s="68">
        <f>H57*$AC$5</f>
        <v>6000</v>
      </c>
      <c r="Y57" s="68">
        <f>SUM(Q57:X57)</f>
        <v>936004</v>
      </c>
      <c r="Z57" s="68">
        <f>$AC$6*BB57</f>
        <v>0</v>
      </c>
      <c r="AA57" s="68">
        <f>SUM(Y57:Z57)</f>
        <v>936004</v>
      </c>
      <c r="AC57" s="70">
        <f>RANK(Y57,Y57:Y60)</f>
        <v>1</v>
      </c>
      <c r="AF57" s="409" t="str">
        <f>C57</f>
        <v>Argentinië</v>
      </c>
      <c r="AG57" s="68">
        <f>SUMPRODUCT((Invulblad!F51:F56=AF57)*(Invulblad!J51:J56=AG56)*(Invulblad!G51:G56))+SUMPRODUCT((Invulblad!J51:J56=AF57)*(Invulblad!F51:F56=AG56)*(Invulblad!I51:I56))</f>
        <v>0</v>
      </c>
      <c r="AH57" s="68">
        <f>SUMPRODUCT((Invulblad!F51:F56=AF57)*(Invulblad!J51:J56=AH56)*(Invulblad!G51:G56))+SUMPRODUCT((Invulblad!J51:J56=AF57)*(Invulblad!F51:F56=AH56)*(Invulblad!I51:I56))</f>
        <v>2</v>
      </c>
      <c r="AI57" s="68">
        <f>SUMPRODUCT((Invulblad!F51:F56=AF57)*(Invulblad!J51:J56=AI56)*(Invulblad!G51:G56))+SUMPRODUCT((Invulblad!J51:J56=AF57)*(Invulblad!F51:F56=AI56)*(Invulblad!I51:I56))</f>
        <v>1</v>
      </c>
      <c r="AJ57" s="68">
        <f>SUMPRODUCT((Invulblad!F51:F56=AF57)*(Invulblad!J51:J56=AJ56)*(Invulblad!G51:G56))+SUMPRODUCT((Invulblad!J51:J56=AF57)*(Invulblad!F51:F56=AJ56)*(Invulblad!I51:I56))</f>
        <v>3</v>
      </c>
      <c r="AL57" s="68">
        <f t="array" ref="AL57:AO60">TRANSPOSE(AG57:AJ60)</f>
        <v>0</v>
      </c>
      <c r="AM57" s="68">
        <v>1</v>
      </c>
      <c r="AN57" s="68">
        <v>0</v>
      </c>
      <c r="AO57" s="68">
        <v>2</v>
      </c>
      <c r="AQ57" s="68">
        <f>AG57-AL57</f>
        <v>0</v>
      </c>
      <c r="AR57" s="68">
        <f t="shared" ref="AR57:AR60" si="89">AH57-AM57</f>
        <v>1</v>
      </c>
      <c r="AS57" s="68">
        <f t="shared" ref="AS57:AS60" si="90">AI57-AN57</f>
        <v>1</v>
      </c>
      <c r="AT57" s="68">
        <f t="shared" ref="AT57:AT60" si="91">AJ57-AO57</f>
        <v>1</v>
      </c>
      <c r="AV57" s="256">
        <f>Y57</f>
        <v>936004</v>
      </c>
      <c r="AW57" s="70">
        <f>IF(AND($AV57=AW$16,AQ57&gt;0),1,)</f>
        <v>0</v>
      </c>
      <c r="AX57" s="70">
        <f t="shared" ref="AX57:AX60" si="92">IF(AND($AV57=AX$16,AR57&gt;0),1,)</f>
        <v>0</v>
      </c>
      <c r="AY57" s="418">
        <f t="shared" ref="AY57:AY60" si="93">IF(AND($AV57=AY$16,AS57&gt;0),1,)</f>
        <v>0</v>
      </c>
      <c r="AZ57" s="418">
        <f t="shared" ref="AZ57:AZ60" si="94">IF(AND($AV57=AZ$16,AT57&gt;0),1,)</f>
        <v>0</v>
      </c>
      <c r="BA57" s="424"/>
      <c r="BB57" s="409">
        <f>SUM(AW57:AZ57)</f>
        <v>0</v>
      </c>
    </row>
    <row r="58" spans="2:54">
      <c r="B58" s="77" t="str">
        <f>Toernooigegevens!M45</f>
        <v>F2</v>
      </c>
      <c r="C58" s="77" t="str">
        <f>Toernooigegevens!N45</f>
        <v>Bosnië-Herzegovina</v>
      </c>
      <c r="D58" s="77">
        <f>(E58*3)+(F58*1)</f>
        <v>3</v>
      </c>
      <c r="E58" s="77">
        <f>SUMPRODUCT((Invulblad!$F$51:$F$56=C58)*(Invulblad!$M$51:$M$56="1"))+SUMPRODUCT((Invulblad!$J$51:$J$56=C58)*(Invulblad!$M$51:$M$56=2))</f>
        <v>1</v>
      </c>
      <c r="F58" s="77">
        <f>SUMPRODUCT((Invulblad!$F$51:$F$56=C58)*(Invulblad!$M$51:$M$56=3))+SUMPRODUCT((Invulblad!$J$51:$J$56=C58)*(Invulblad!$M$51:$M$56=3))</f>
        <v>0</v>
      </c>
      <c r="G58" s="77">
        <f>SUMPRODUCT((Invulblad!$F$51:$F$56=C58)*(Invulblad!$M$51:$M$56=2))+SUMPRODUCT((Invulblad!$J$51:$J$56=C58)*(Invulblad!$M$51:$M$56="1"))</f>
        <v>2</v>
      </c>
      <c r="H58" s="77">
        <f>SUMIF(Invulblad!$J$51:$J$56,C58,Invulblad!$I$51:$I$56)+SUMIF(Invulblad!$F$51:$F$56,C58,Invulblad!$G$51:$G$56)</f>
        <v>4</v>
      </c>
      <c r="I58" s="77">
        <f>SUMIF(Invulblad!$J$51:$J$56,C58,Invulblad!$G$51:$G$56)+SUMIF(Invulblad!$F$51:$F$56,C58,Invulblad!$I$51:$I$56)</f>
        <v>4</v>
      </c>
      <c r="J58" s="77">
        <f>H58-I58</f>
        <v>0</v>
      </c>
      <c r="M58" s="70">
        <f t="shared" ref="M58:M60" si="95">IF(N58&gt;0,N58,AC58)</f>
        <v>3</v>
      </c>
      <c r="N58" s="131"/>
      <c r="O58" s="258"/>
      <c r="Q58" s="77">
        <v>3</v>
      </c>
      <c r="R58" s="77" t="str">
        <f>IF(SUM(E58:G58)&gt;0,"Ja","Nee")</f>
        <v>Ja</v>
      </c>
      <c r="S58" s="77">
        <f>IF(COUNTIF(R57:R60,"Ja")=4,-Q58,"")</f>
        <v>-3</v>
      </c>
      <c r="T58" s="77">
        <f>IF(S58&lt;&gt;"",(SUMPRODUCT(--(C58&lt;C57:C60))+1),"")</f>
        <v>3</v>
      </c>
      <c r="U58" s="77" t="str">
        <f>IF(SUM(E58:G58)=3,"Ja","Nee")</f>
        <v>Ja</v>
      </c>
      <c r="V58" s="77">
        <f>D58*$AC$3</f>
        <v>300000</v>
      </c>
      <c r="W58" s="77">
        <f>J58*$AC$4</f>
        <v>0</v>
      </c>
      <c r="X58" s="77">
        <f>H58*$AC$5</f>
        <v>4000</v>
      </c>
      <c r="Y58" s="77">
        <f>SUM(Q58:X58)</f>
        <v>304003</v>
      </c>
      <c r="Z58" s="77">
        <f t="shared" ref="Z58:Z60" si="96">$AC$6*BB58</f>
        <v>0</v>
      </c>
      <c r="AA58" s="77">
        <f>SUM(Y58:Z58)</f>
        <v>304003</v>
      </c>
      <c r="AC58" s="79">
        <f>RANK(Y58,Y57:Y60)</f>
        <v>3</v>
      </c>
      <c r="AF58" s="410" t="str">
        <f>C58</f>
        <v>Bosnië-Herzegovina</v>
      </c>
      <c r="AG58" s="77">
        <f>SUMPRODUCT((Invulblad!F51:F56=AF58)*(Invulblad!J51:J56=AG56)*(Invulblad!G51:G56))+SUMPRODUCT((Invulblad!J51:J56=AF58)*(Invulblad!F51:F56=AG56)*(Invulblad!I51:I56))</f>
        <v>1</v>
      </c>
      <c r="AH58" s="77">
        <f>SUMPRODUCT((Invulblad!F51:F56=AF58)*(Invulblad!J51:J56=AH56)*(Invulblad!G51:G56))+SUMPRODUCT((Invulblad!J51:J56=AF58)*(Invulblad!F51:F56=AH56)*(Invulblad!I51:I56))</f>
        <v>0</v>
      </c>
      <c r="AI58" s="77">
        <f>SUMPRODUCT((Invulblad!F51:F56=AF58)*(Invulblad!J51:J56=AI56)*(Invulblad!G51:G56))+SUMPRODUCT((Invulblad!J51:J56=AF58)*(Invulblad!F51:F56=AI56)*(Invulblad!I51:I56))</f>
        <v>3</v>
      </c>
      <c r="AJ58" s="77">
        <f>SUMPRODUCT((Invulblad!F51:F56=AF58)*(Invulblad!J51:J56=AJ56)*(Invulblad!G51:G56))+SUMPRODUCT((Invulblad!J51:J56=AF58)*(Invulblad!F51:F56=AJ56)*(Invulblad!I51:I56))</f>
        <v>0</v>
      </c>
      <c r="AL58" s="77">
        <v>2</v>
      </c>
      <c r="AM58" s="77">
        <v>0</v>
      </c>
      <c r="AN58" s="77">
        <v>1</v>
      </c>
      <c r="AO58" s="77">
        <v>1</v>
      </c>
      <c r="AQ58" s="77">
        <f t="shared" ref="AQ58:AQ60" si="97">AG58-AL58</f>
        <v>-1</v>
      </c>
      <c r="AR58" s="77">
        <f t="shared" si="89"/>
        <v>0</v>
      </c>
      <c r="AS58" s="77">
        <f t="shared" si="90"/>
        <v>2</v>
      </c>
      <c r="AT58" s="77">
        <f t="shared" si="91"/>
        <v>-1</v>
      </c>
      <c r="AV58" s="256">
        <f t="shared" ref="AV58:AV60" si="98">Y58</f>
        <v>304003</v>
      </c>
      <c r="AW58" s="79">
        <f t="shared" ref="AW58:AW60" si="99">IF(AND($AV58=AW$16,AQ58&gt;0),1,)</f>
        <v>0</v>
      </c>
      <c r="AX58" s="79">
        <f t="shared" si="92"/>
        <v>0</v>
      </c>
      <c r="AY58" s="419">
        <f t="shared" si="93"/>
        <v>0</v>
      </c>
      <c r="AZ58" s="419">
        <f t="shared" si="94"/>
        <v>0</v>
      </c>
      <c r="BA58" s="425"/>
      <c r="BB58" s="410">
        <f>SUM(AW58:AZ58)</f>
        <v>0</v>
      </c>
    </row>
    <row r="59" spans="2:54">
      <c r="B59" s="68" t="str">
        <f>Toernooigegevens!M46</f>
        <v>F3</v>
      </c>
      <c r="C59" s="68" t="str">
        <f>Toernooigegevens!N46</f>
        <v>Iran</v>
      </c>
      <c r="D59" s="68">
        <f>(E59*3)+(F59*1)</f>
        <v>1</v>
      </c>
      <c r="E59" s="68">
        <f>SUMPRODUCT((Invulblad!$F$51:$F$56=C59)*(Invulblad!$M$51:$M$56="1"))+SUMPRODUCT((Invulblad!$J$51:$J$56=C59)*(Invulblad!$M$51:$M$56=2))</f>
        <v>0</v>
      </c>
      <c r="F59" s="68">
        <f>SUMPRODUCT((Invulblad!$F$51:$F$56=C59)*(Invulblad!$M$51:$M$56=3))+SUMPRODUCT((Invulblad!$J$51:$J$56=C59)*(Invulblad!$M$51:$M$56=3))</f>
        <v>1</v>
      </c>
      <c r="G59" s="68">
        <f>SUMPRODUCT((Invulblad!$F$51:$F$56=C59)*(Invulblad!$M$51:$M$56=2))+SUMPRODUCT((Invulblad!$J$51:$J$56=C59)*(Invulblad!$M$51:$M$56="1"))</f>
        <v>2</v>
      </c>
      <c r="H59" s="68">
        <f>SUMIF(Invulblad!$J$51:$J$56,C59,Invulblad!$I$51:$I$56)+SUMIF(Invulblad!$F$51:$F$56,C59,Invulblad!$G$51:$G$56)</f>
        <v>1</v>
      </c>
      <c r="I59" s="68">
        <f>SUMIF(Invulblad!$J$51:$J$56,C59,Invulblad!$G$51:$G$56)+SUMIF(Invulblad!$F$51:$F$56,C59,Invulblad!$I$51:$I$56)</f>
        <v>4</v>
      </c>
      <c r="J59" s="68">
        <f>H59-I59</f>
        <v>-3</v>
      </c>
      <c r="M59" s="70">
        <f t="shared" si="95"/>
        <v>4</v>
      </c>
      <c r="N59" s="124"/>
      <c r="O59" s="258"/>
      <c r="Q59" s="68">
        <v>2</v>
      </c>
      <c r="R59" s="68" t="str">
        <f>IF(SUM(E59:G59)&gt;0,"Ja","Nee")</f>
        <v>Ja</v>
      </c>
      <c r="S59" s="68">
        <f>IF(COUNTIF(R57:R60,"Ja")=4,-Q59,"")</f>
        <v>-2</v>
      </c>
      <c r="T59" s="68">
        <f>IF(S59&lt;&gt;"",(SUMPRODUCT(--(C59&lt;C57:C60))+1),"")</f>
        <v>2</v>
      </c>
      <c r="U59" s="68" t="str">
        <f>IF(SUM(E59:G59)=3,"Ja","Nee")</f>
        <v>Ja</v>
      </c>
      <c r="V59" s="68">
        <f>D59*$AC$3</f>
        <v>100000</v>
      </c>
      <c r="W59" s="68">
        <f>J59*$AC$4</f>
        <v>-30000</v>
      </c>
      <c r="X59" s="68">
        <f>H59*$AC$5</f>
        <v>1000</v>
      </c>
      <c r="Y59" s="68">
        <f>SUM(Q59:X59)</f>
        <v>71002</v>
      </c>
      <c r="Z59" s="68">
        <f t="shared" si="96"/>
        <v>0</v>
      </c>
      <c r="AA59" s="68">
        <f>SUM(Y59:Z59)</f>
        <v>71002</v>
      </c>
      <c r="AC59" s="70">
        <f>RANK(Y59,Y57:Y60)</f>
        <v>4</v>
      </c>
      <c r="AF59" s="409" t="str">
        <f>C59</f>
        <v>Iran</v>
      </c>
      <c r="AG59" s="68">
        <f>SUMPRODUCT((Invulblad!F51:F56=AF59)*(Invulblad!J51:J56=AG56)*(Invulblad!G51:G56))+SUMPRODUCT((Invulblad!J51:J56=AF59)*(Invulblad!F51:F56=AG56)*(Invulblad!I51:I56))</f>
        <v>0</v>
      </c>
      <c r="AH59" s="68">
        <f>SUMPRODUCT((Invulblad!F51:F56=AF59)*(Invulblad!J51:J56=AH56)*(Invulblad!G51:G56))+SUMPRODUCT((Invulblad!J51:J56=AF59)*(Invulblad!F51:F56=AH56)*(Invulblad!I51:I56))</f>
        <v>1</v>
      </c>
      <c r="AI59" s="68">
        <f>SUMPRODUCT((Invulblad!F51:F56=AF59)*(Invulblad!J51:J56=AI56)*(Invulblad!G51:G56))+SUMPRODUCT((Invulblad!J51:J56=AF59)*(Invulblad!F51:F56=AI56)*(Invulblad!I51:I56))</f>
        <v>0</v>
      </c>
      <c r="AJ59" s="68">
        <f>SUMPRODUCT((Invulblad!F51:F56=AF59)*(Invulblad!J51:J56=AJ56)*(Invulblad!G51:G56))+SUMPRODUCT((Invulblad!J51:J56=AF59)*(Invulblad!F51:F56=AJ56)*(Invulblad!I51:I56))</f>
        <v>0</v>
      </c>
      <c r="AL59" s="68">
        <v>1</v>
      </c>
      <c r="AM59" s="68">
        <v>3</v>
      </c>
      <c r="AN59" s="68">
        <v>0</v>
      </c>
      <c r="AO59" s="68">
        <v>0</v>
      </c>
      <c r="AQ59" s="68">
        <f t="shared" si="97"/>
        <v>-1</v>
      </c>
      <c r="AR59" s="68">
        <f t="shared" si="89"/>
        <v>-2</v>
      </c>
      <c r="AS59" s="68">
        <f t="shared" si="90"/>
        <v>0</v>
      </c>
      <c r="AT59" s="68">
        <f t="shared" si="91"/>
        <v>0</v>
      </c>
      <c r="AV59" s="256">
        <f t="shared" si="98"/>
        <v>71002</v>
      </c>
      <c r="AW59" s="70">
        <f t="shared" si="99"/>
        <v>0</v>
      </c>
      <c r="AX59" s="70">
        <f t="shared" si="92"/>
        <v>0</v>
      </c>
      <c r="AY59" s="418">
        <f t="shared" si="93"/>
        <v>0</v>
      </c>
      <c r="AZ59" s="418">
        <f t="shared" si="94"/>
        <v>0</v>
      </c>
      <c r="BA59" s="424"/>
      <c r="BB59" s="409">
        <f>SUM(AW59:AZ59)</f>
        <v>0</v>
      </c>
    </row>
    <row r="60" spans="2:54">
      <c r="B60" s="77" t="str">
        <f>Toernooigegevens!M47</f>
        <v>F4</v>
      </c>
      <c r="C60" s="77" t="str">
        <f>Toernooigegevens!N47</f>
        <v>Nigeria</v>
      </c>
      <c r="D60" s="77">
        <f>(E60*3)+(F60*1)</f>
        <v>4</v>
      </c>
      <c r="E60" s="77">
        <f>SUMPRODUCT((Invulblad!$F$51:$F$56=C60)*(Invulblad!$M$51:$M$56="1"))+SUMPRODUCT((Invulblad!$J$51:$J$56=C60)*(Invulblad!$M$51:$M$56=2))</f>
        <v>1</v>
      </c>
      <c r="F60" s="77">
        <f>SUMPRODUCT((Invulblad!$F$51:$F$56=C60)*(Invulblad!$M$51:$M$56=3))+SUMPRODUCT((Invulblad!$J$51:$J$56=C60)*(Invulblad!$M$51:$M$56=3))</f>
        <v>1</v>
      </c>
      <c r="G60" s="77">
        <f>SUMPRODUCT((Invulblad!$F$51:$F$56=C60)*(Invulblad!$M$51:$M$56=2))+SUMPRODUCT((Invulblad!$J$51:$J$56=C60)*(Invulblad!$M$51:$M$56="1"))</f>
        <v>1</v>
      </c>
      <c r="H60" s="77">
        <f>SUMIF(Invulblad!$J$51:$J$56,C60,Invulblad!$I$51:$I$56)+SUMIF(Invulblad!$F$51:$F$56,C60,Invulblad!$G$51:$G$56)</f>
        <v>3</v>
      </c>
      <c r="I60" s="77">
        <f>SUMIF(Invulblad!$J$51:$J$56,C60,Invulblad!$G$51:$G$56)+SUMIF(Invulblad!$F$51:$F$56,C60,Invulblad!$I$51:$I$56)</f>
        <v>3</v>
      </c>
      <c r="J60" s="77">
        <f>H60-I60</f>
        <v>0</v>
      </c>
      <c r="M60" s="70">
        <f t="shared" si="95"/>
        <v>2</v>
      </c>
      <c r="N60" s="131"/>
      <c r="O60" s="258"/>
      <c r="Q60" s="77">
        <v>1</v>
      </c>
      <c r="R60" s="77" t="str">
        <f>IF(SUM(E60:G60)&gt;0,"Ja","Nee")</f>
        <v>Ja</v>
      </c>
      <c r="S60" s="77">
        <f>IF(COUNTIF(R57:R60,"Ja")=4,-Q60,"")</f>
        <v>-1</v>
      </c>
      <c r="T60" s="77">
        <f>IF(S60&lt;&gt;"",(SUMPRODUCT(--(C60&lt;C57:C60))+1),"")</f>
        <v>1</v>
      </c>
      <c r="U60" s="77" t="str">
        <f>IF(SUM(E60:G60)=3,"Ja","Nee")</f>
        <v>Ja</v>
      </c>
      <c r="V60" s="77">
        <f>D60*$AC$3</f>
        <v>400000</v>
      </c>
      <c r="W60" s="77">
        <f>J60*$AC$4</f>
        <v>0</v>
      </c>
      <c r="X60" s="77">
        <f>H60*$AC$5</f>
        <v>3000</v>
      </c>
      <c r="Y60" s="77">
        <f>SUM(Q60:X60)</f>
        <v>403001</v>
      </c>
      <c r="Z60" s="77">
        <f t="shared" si="96"/>
        <v>0</v>
      </c>
      <c r="AA60" s="77">
        <f>SUM(Y60:Z60)</f>
        <v>403001</v>
      </c>
      <c r="AC60" s="79">
        <f>RANK(Y60,Y57:Y60)</f>
        <v>2</v>
      </c>
      <c r="AF60" s="410" t="str">
        <f>C60</f>
        <v>Nigeria</v>
      </c>
      <c r="AG60" s="77">
        <f>SUMPRODUCT((Invulblad!F51:F56=AF60)*(Invulblad!J51:J56=AG56)*(Invulblad!G51:G56))+SUMPRODUCT((Invulblad!J51:J56=AF60)*(Invulblad!F51:F56=AG56)*(Invulblad!I51:I56))</f>
        <v>2</v>
      </c>
      <c r="AH60" s="77">
        <f>SUMPRODUCT((Invulblad!F51:F56=AF60)*(Invulblad!J51:J56=AH56)*(Invulblad!G51:G56))+SUMPRODUCT((Invulblad!J51:J56=AF60)*(Invulblad!F51:F56=AH56)*(Invulblad!I51:I56))</f>
        <v>1</v>
      </c>
      <c r="AI60" s="77">
        <f>SUMPRODUCT((Invulblad!F51:F56=AF60)*(Invulblad!J51:J56=AI56)*(Invulblad!G51:G56))+SUMPRODUCT((Invulblad!J51:J56=AF60)*(Invulblad!F51:F56=AI56)*(Invulblad!I51:I56))</f>
        <v>0</v>
      </c>
      <c r="AJ60" s="77">
        <f>SUMPRODUCT((Invulblad!F51:F56=AF60)*(Invulblad!J51:J56=AJ56)*(Invulblad!G51:G56))+SUMPRODUCT((Invulblad!J51:J56=AF60)*(Invulblad!F51:F56=AJ56)*(Invulblad!I51:I56))</f>
        <v>0</v>
      </c>
      <c r="AL60" s="77">
        <v>3</v>
      </c>
      <c r="AM60" s="77">
        <v>0</v>
      </c>
      <c r="AN60" s="77">
        <v>0</v>
      </c>
      <c r="AO60" s="77">
        <v>0</v>
      </c>
      <c r="AQ60" s="77">
        <f t="shared" si="97"/>
        <v>-1</v>
      </c>
      <c r="AR60" s="77">
        <f t="shared" si="89"/>
        <v>1</v>
      </c>
      <c r="AS60" s="77">
        <f t="shared" si="90"/>
        <v>0</v>
      </c>
      <c r="AT60" s="77">
        <f t="shared" si="91"/>
        <v>0</v>
      </c>
      <c r="AV60" s="256">
        <f t="shared" si="98"/>
        <v>403001</v>
      </c>
      <c r="AW60" s="79">
        <f t="shared" si="99"/>
        <v>0</v>
      </c>
      <c r="AX60" s="79">
        <f t="shared" si="92"/>
        <v>0</v>
      </c>
      <c r="AY60" s="419">
        <f t="shared" si="93"/>
        <v>0</v>
      </c>
      <c r="AZ60" s="419">
        <f t="shared" si="94"/>
        <v>0</v>
      </c>
      <c r="BA60" s="425"/>
      <c r="BB60" s="410">
        <f>SUM(AW60:AZ60)</f>
        <v>0</v>
      </c>
    </row>
    <row r="61" spans="2:54">
      <c r="AF61" s="87"/>
      <c r="AG61" s="87"/>
      <c r="AH61" s="87"/>
      <c r="AI61" s="87"/>
      <c r="AJ61" s="87"/>
      <c r="AK61" s="87"/>
      <c r="AL61" s="87"/>
      <c r="AM61" s="87"/>
      <c r="AN61" s="87"/>
      <c r="AO61" s="87"/>
      <c r="AP61" s="87"/>
      <c r="AQ61" s="87"/>
      <c r="AR61" s="87"/>
      <c r="AS61" s="87"/>
      <c r="AT61" s="87"/>
      <c r="AU61" s="87"/>
      <c r="AV61" s="257"/>
      <c r="AZ61" s="420"/>
      <c r="BA61" s="426"/>
      <c r="BB61" s="85"/>
    </row>
    <row r="62" spans="2:54">
      <c r="AF62" s="87"/>
      <c r="AG62" s="87"/>
      <c r="AH62" s="87"/>
      <c r="AI62" s="87"/>
      <c r="AJ62" s="87"/>
      <c r="AK62" s="87"/>
      <c r="AL62" s="87"/>
      <c r="AM62" s="87"/>
      <c r="AN62" s="87"/>
      <c r="AO62" s="87"/>
      <c r="AP62" s="87"/>
      <c r="AQ62" s="87"/>
      <c r="AR62" s="87"/>
      <c r="AS62" s="87"/>
      <c r="AT62" s="87"/>
      <c r="AU62" s="87"/>
      <c r="AV62" s="87"/>
    </row>
    <row r="63" spans="2:54">
      <c r="Q63" s="254" t="s">
        <v>297</v>
      </c>
      <c r="R63" s="87"/>
      <c r="S63" s="87"/>
      <c r="V63" s="59" t="s">
        <v>290</v>
      </c>
      <c r="W63" s="59" t="s">
        <v>291</v>
      </c>
      <c r="X63" s="59" t="s">
        <v>292</v>
      </c>
      <c r="Z63" s="59" t="s">
        <v>551</v>
      </c>
      <c r="AG63" s="59" t="s">
        <v>547</v>
      </c>
      <c r="AL63" s="59" t="s">
        <v>548</v>
      </c>
      <c r="AP63" s="87"/>
      <c r="AQ63" s="59" t="s">
        <v>550</v>
      </c>
      <c r="AU63" s="87"/>
    </row>
    <row r="64" spans="2:54">
      <c r="B64" s="255"/>
      <c r="C64" s="255" t="s">
        <v>36</v>
      </c>
      <c r="D64" s="255" t="s">
        <v>293</v>
      </c>
      <c r="E64" s="255" t="s">
        <v>23</v>
      </c>
      <c r="F64" s="255" t="s">
        <v>24</v>
      </c>
      <c r="G64" s="255" t="s">
        <v>25</v>
      </c>
      <c r="H64" s="255" t="s">
        <v>26</v>
      </c>
      <c r="I64" s="255" t="s">
        <v>27</v>
      </c>
      <c r="J64" s="255" t="s">
        <v>28</v>
      </c>
      <c r="M64" s="255" t="s">
        <v>294</v>
      </c>
      <c r="N64" s="259" t="s">
        <v>295</v>
      </c>
      <c r="Q64" s="255" t="str">
        <f>C64</f>
        <v>Groep G</v>
      </c>
      <c r="R64" s="256"/>
      <c r="S64" s="256"/>
      <c r="T64" s="256"/>
      <c r="U64" s="256"/>
      <c r="V64" s="255" t="s">
        <v>296</v>
      </c>
      <c r="W64" s="255" t="s">
        <v>28</v>
      </c>
      <c r="X64" s="255" t="s">
        <v>26</v>
      </c>
      <c r="Y64" s="255" t="s">
        <v>553</v>
      </c>
      <c r="Z64" s="255" t="s">
        <v>552</v>
      </c>
      <c r="AA64" s="255" t="s">
        <v>554</v>
      </c>
      <c r="AC64" s="255" t="s">
        <v>294</v>
      </c>
      <c r="AD64" s="255">
        <f>SUM(AC65:AC68)</f>
        <v>10</v>
      </c>
      <c r="AF64" s="255"/>
      <c r="AG64" s="408" t="str">
        <f>AF65</f>
        <v>Duitsland</v>
      </c>
      <c r="AH64" s="408" t="str">
        <f>AF66</f>
        <v>Portugal</v>
      </c>
      <c r="AI64" s="408" t="str">
        <f>AF67</f>
        <v>Ghana</v>
      </c>
      <c r="AJ64" s="408" t="str">
        <f>AF68</f>
        <v>USA</v>
      </c>
      <c r="AL64" s="408" t="str">
        <f>AG64</f>
        <v>Duitsland</v>
      </c>
      <c r="AM64" s="408" t="str">
        <f t="shared" ref="AM64" si="100">AH64</f>
        <v>Portugal</v>
      </c>
      <c r="AN64" s="408" t="str">
        <f t="shared" ref="AN64" si="101">AI64</f>
        <v>Ghana</v>
      </c>
      <c r="AO64" s="408" t="str">
        <f t="shared" ref="AO64" si="102">AJ64</f>
        <v>USA</v>
      </c>
      <c r="AP64" s="87"/>
      <c r="AQ64" s="408" t="str">
        <f>AL64</f>
        <v>Duitsland</v>
      </c>
      <c r="AR64" s="408" t="str">
        <f t="shared" ref="AR64" si="103">AM64</f>
        <v>Portugal</v>
      </c>
      <c r="AS64" s="408" t="str">
        <f t="shared" ref="AS64" si="104">AN64</f>
        <v>Ghana</v>
      </c>
      <c r="AT64" s="408" t="str">
        <f t="shared" ref="AT64" si="105">AO64</f>
        <v>USA</v>
      </c>
      <c r="AU64" s="87"/>
      <c r="AW64" s="417">
        <f t="array" ref="AW64:AZ64">TRANSPOSE(AV65:AV68)</f>
        <v>757004</v>
      </c>
      <c r="AX64" s="417">
        <v>374002</v>
      </c>
      <c r="AY64" s="417">
        <v>84003</v>
      </c>
      <c r="AZ64" s="417">
        <v>404001</v>
      </c>
      <c r="BA64" s="423"/>
      <c r="BB64" s="255" t="s">
        <v>552</v>
      </c>
    </row>
    <row r="65" spans="2:54">
      <c r="B65" s="68" t="str">
        <f>Toernooigegevens!M52</f>
        <v>G1</v>
      </c>
      <c r="C65" s="68" t="str">
        <f>Toernooigegevens!N52</f>
        <v>Duitsland</v>
      </c>
      <c r="D65" s="68">
        <f>(E65*3)+(F65*1)</f>
        <v>7</v>
      </c>
      <c r="E65" s="68">
        <f>SUMPRODUCT((Invulblad!$F$59:$F$64=C65)*(Invulblad!$M$59:$M$64="1"))+SUMPRODUCT((Invulblad!$J$59:$J$64=C65)*(Invulblad!$M$59:$M$64=2))</f>
        <v>2</v>
      </c>
      <c r="F65" s="68">
        <f>SUMPRODUCT((Invulblad!$F$59:$F$64=C65)*(Invulblad!$M$59:$M$64=3))+SUMPRODUCT((Invulblad!$J$59:$J$64=C65)*(Invulblad!$M$59:$M$64=3))</f>
        <v>1</v>
      </c>
      <c r="G65" s="68">
        <f>SUMPRODUCT((Invulblad!$F$59:$F$64=C65)*(Invulblad!$M$59:$M$64=2))+SUMPRODUCT((Invulblad!$J$59:$J$64=C65)*(Invulblad!$M$59:$M$64="1"))</f>
        <v>0</v>
      </c>
      <c r="H65" s="68">
        <f>SUMIF(Invulblad!$J$59:$J$64,C65,Invulblad!$I$59:$I$64)+SUMIF(Invulblad!$F$59:$F$64,C65,Invulblad!$G$59:$G$64)</f>
        <v>7</v>
      </c>
      <c r="I65" s="68">
        <f>SUMIF(Invulblad!$J$59:$J$64,C65,Invulblad!$G$59:$G$64)+SUMIF(Invulblad!$F$59:$F$64,C65,Invulblad!$I$59:$I$64)</f>
        <v>2</v>
      </c>
      <c r="J65" s="68">
        <f>H65-I65</f>
        <v>5</v>
      </c>
      <c r="M65" s="70">
        <f>IF(N65&gt;0,N65,AC65)</f>
        <v>1</v>
      </c>
      <c r="N65" s="124"/>
      <c r="O65" s="258"/>
      <c r="Q65" s="68">
        <v>4</v>
      </c>
      <c r="R65" s="68" t="str">
        <f>IF(SUM(E65:G65)&gt;0,"Ja","Nee")</f>
        <v>Ja</v>
      </c>
      <c r="S65" s="68">
        <f>IF(COUNTIF(R65:R68,"Ja")=4,-Q65,"")</f>
        <v>-4</v>
      </c>
      <c r="T65" s="68">
        <f>IF(S65&lt;&gt;"",(SUMPRODUCT(--(C65&lt;C65:C68))+1),"")</f>
        <v>4</v>
      </c>
      <c r="U65" s="68" t="str">
        <f>IF(SUM(E65:G65)=3,"Ja","Nee")</f>
        <v>Ja</v>
      </c>
      <c r="V65" s="68">
        <f>D65*$AC$3</f>
        <v>700000</v>
      </c>
      <c r="W65" s="68">
        <f>J65*$AC$4</f>
        <v>50000</v>
      </c>
      <c r="X65" s="68">
        <f>H65*$AC$5</f>
        <v>7000</v>
      </c>
      <c r="Y65" s="68">
        <f>SUM(Q65:X65)</f>
        <v>757004</v>
      </c>
      <c r="Z65" s="68">
        <f>$AC$6*BB65</f>
        <v>0</v>
      </c>
      <c r="AA65" s="68">
        <f>SUM(Y65:Z65)</f>
        <v>757004</v>
      </c>
      <c r="AC65" s="70">
        <f>RANK(Y65,Y65:Y68)</f>
        <v>1</v>
      </c>
      <c r="AF65" s="409" t="str">
        <f>C65</f>
        <v>Duitsland</v>
      </c>
      <c r="AG65" s="68">
        <f>SUMPRODUCT((Invulblad!F59:F64=AF65)*(Invulblad!J59:J64=AG64)*(Invulblad!G59:G64))+SUMPRODUCT((Invulblad!J59:J64=AF65)*(Invulblad!F59:F64=AG64)*(Invulblad!I59:I64))</f>
        <v>0</v>
      </c>
      <c r="AH65" s="68">
        <f>SUMPRODUCT((Invulblad!F59:F64=AF65)*(Invulblad!J59:J64=AH64)*(Invulblad!G59:G64))+SUMPRODUCT((Invulblad!J59:J64=AF65)*(Invulblad!F59:F64=AH64)*(Invulblad!I59:I64))</f>
        <v>4</v>
      </c>
      <c r="AI65" s="68">
        <f>SUMPRODUCT((Invulblad!F59:F64=AF65)*(Invulblad!J59:J64=AI64)*(Invulblad!G59:G64))+SUMPRODUCT((Invulblad!J59:J64=AF65)*(Invulblad!F59:F64=AI64)*(Invulblad!I59:I64))</f>
        <v>2</v>
      </c>
      <c r="AJ65" s="68">
        <f>SUMPRODUCT((Invulblad!F59:F64=AF65)*(Invulblad!J59:J64=AJ64)*(Invulblad!G59:G64))+SUMPRODUCT((Invulblad!J59:J64=AF65)*(Invulblad!F59:F64=AJ64)*(Invulblad!I59:I64))</f>
        <v>1</v>
      </c>
      <c r="AL65" s="68">
        <f t="array" ref="AL65:AO68">TRANSPOSE(AG65:AJ68)</f>
        <v>0</v>
      </c>
      <c r="AM65" s="68">
        <v>0</v>
      </c>
      <c r="AN65" s="68">
        <v>2</v>
      </c>
      <c r="AO65" s="68">
        <v>0</v>
      </c>
      <c r="AP65" s="87"/>
      <c r="AQ65" s="68">
        <f>AG65-AL65</f>
        <v>0</v>
      </c>
      <c r="AR65" s="68">
        <f t="shared" ref="AR65:AR68" si="106">AH65-AM65</f>
        <v>4</v>
      </c>
      <c r="AS65" s="68">
        <f t="shared" ref="AS65:AS68" si="107">AI65-AN65</f>
        <v>0</v>
      </c>
      <c r="AT65" s="68">
        <f t="shared" ref="AT65:AT68" si="108">AJ65-AO65</f>
        <v>1</v>
      </c>
      <c r="AU65" s="87"/>
      <c r="AV65" s="256">
        <f>Y65</f>
        <v>757004</v>
      </c>
      <c r="AW65" s="70">
        <f>IF(AND($AV65=AW$16,AQ65&gt;0),1,)</f>
        <v>0</v>
      </c>
      <c r="AX65" s="70">
        <f t="shared" ref="AX65:AX68" si="109">IF(AND($AV65=AX$16,AR65&gt;0),1,)</f>
        <v>0</v>
      </c>
      <c r="AY65" s="418">
        <f t="shared" ref="AY65:AY68" si="110">IF(AND($AV65=AY$16,AS65&gt;0),1,)</f>
        <v>0</v>
      </c>
      <c r="AZ65" s="418">
        <f t="shared" ref="AZ65:AZ68" si="111">IF(AND($AV65=AZ$16,AT65&gt;0),1,)</f>
        <v>0</v>
      </c>
      <c r="BA65" s="424"/>
      <c r="BB65" s="409">
        <f>SUM(AW65:AZ65)</f>
        <v>0</v>
      </c>
    </row>
    <row r="66" spans="2:54">
      <c r="B66" s="77" t="str">
        <f>Toernooigegevens!M53</f>
        <v>G2</v>
      </c>
      <c r="C66" s="77" t="str">
        <f>Toernooigegevens!N53</f>
        <v>Portugal</v>
      </c>
      <c r="D66" s="77">
        <f>(E66*3)+(F66*1)</f>
        <v>4</v>
      </c>
      <c r="E66" s="77">
        <f>SUMPRODUCT((Invulblad!$F$59:$F$64=C66)*(Invulblad!$M$59:$M$64="1"))+SUMPRODUCT((Invulblad!$J$59:$J$64=C66)*(Invulblad!$M$59:$M$64=2))</f>
        <v>1</v>
      </c>
      <c r="F66" s="77">
        <f>SUMPRODUCT((Invulblad!$F$59:$F$64=C66)*(Invulblad!$M$59:$M$64=3))+SUMPRODUCT((Invulblad!$J$59:$J$64=C66)*(Invulblad!$M$59:$M$64=3))</f>
        <v>1</v>
      </c>
      <c r="G66" s="77">
        <f>SUMPRODUCT((Invulblad!$F$59:$F$64=C66)*(Invulblad!$M$59:$M$64=2))+SUMPRODUCT((Invulblad!$J$59:$J$64=C66)*(Invulblad!$M$59:$M$64="1"))</f>
        <v>1</v>
      </c>
      <c r="H66" s="77">
        <f>SUMIF(Invulblad!$J$59:$J$64,C66,Invulblad!$I$59:$I$64)+SUMIF(Invulblad!$F$59:$F$64,C66,Invulblad!$G$59:$G$64)</f>
        <v>4</v>
      </c>
      <c r="I66" s="77">
        <f>SUMIF(Invulblad!$J$59:$J$64,C66,Invulblad!$G$59:$G$64)+SUMIF(Invulblad!$F$59:$F$64,C66,Invulblad!$I$59:$I$64)</f>
        <v>7</v>
      </c>
      <c r="J66" s="77">
        <f>H66-I66</f>
        <v>-3</v>
      </c>
      <c r="M66" s="70">
        <f t="shared" ref="M66:M68" si="112">IF(N66&gt;0,N66,AC66)</f>
        <v>3</v>
      </c>
      <c r="N66" s="131"/>
      <c r="O66" s="258"/>
      <c r="Q66" s="77">
        <v>3</v>
      </c>
      <c r="R66" s="77" t="str">
        <f>IF(SUM(E66:G66)&gt;0,"Ja","Nee")</f>
        <v>Ja</v>
      </c>
      <c r="S66" s="77">
        <f>IF(COUNTIF(R65:R68,"Ja")=4,-Q66,"")</f>
        <v>-3</v>
      </c>
      <c r="T66" s="77">
        <f>IF(S66&lt;&gt;"",(SUMPRODUCT(--(C66&lt;C65:C68))+1),"")</f>
        <v>2</v>
      </c>
      <c r="U66" s="77" t="str">
        <f>IF(SUM(E66:G66)=3,"Ja","Nee")</f>
        <v>Ja</v>
      </c>
      <c r="V66" s="77">
        <f>D66*$AC$3</f>
        <v>400000</v>
      </c>
      <c r="W66" s="77">
        <f>J66*$AC$4</f>
        <v>-30000</v>
      </c>
      <c r="X66" s="77">
        <f>H66*$AC$5</f>
        <v>4000</v>
      </c>
      <c r="Y66" s="77">
        <f>SUM(Q66:X66)</f>
        <v>374002</v>
      </c>
      <c r="Z66" s="77">
        <f t="shared" ref="Z66:Z68" si="113">$AC$6*BB66</f>
        <v>0</v>
      </c>
      <c r="AA66" s="77">
        <f>SUM(Y66:Z66)</f>
        <v>374002</v>
      </c>
      <c r="AC66" s="79">
        <f>RANK(Y66,Y65:Y68)</f>
        <v>3</v>
      </c>
      <c r="AF66" s="410" t="str">
        <f>C66</f>
        <v>Portugal</v>
      </c>
      <c r="AG66" s="77">
        <f>SUMPRODUCT((Invulblad!F59:F64=AF66)*(Invulblad!J59:J64=AG64)*(Invulblad!G59:G64))+SUMPRODUCT((Invulblad!J59:J64=AF66)*(Invulblad!F59:F64=AG64)*(Invulblad!I59:I64))</f>
        <v>0</v>
      </c>
      <c r="AH66" s="77">
        <f>SUMPRODUCT((Invulblad!F59:F64=AF66)*(Invulblad!J59:J64=AH64)*(Invulblad!G59:G64))+SUMPRODUCT((Invulblad!J59:J64=AF66)*(Invulblad!F59:F64=AH64)*(Invulblad!I59:I64))</f>
        <v>0</v>
      </c>
      <c r="AI66" s="77">
        <f>SUMPRODUCT((Invulblad!F59:F64=AF66)*(Invulblad!J59:J64=AI64)*(Invulblad!G59:G64))+SUMPRODUCT((Invulblad!J59:J64=AF66)*(Invulblad!F59:F64=AI64)*(Invulblad!I59:I64))</f>
        <v>2</v>
      </c>
      <c r="AJ66" s="77">
        <f>SUMPRODUCT((Invulblad!F59:F64=AF66)*(Invulblad!J59:J64=AJ64)*(Invulblad!G59:G64))+SUMPRODUCT((Invulblad!J59:J64=AF66)*(Invulblad!F59:F64=AJ64)*(Invulblad!I59:I64))</f>
        <v>2</v>
      </c>
      <c r="AL66" s="77">
        <v>4</v>
      </c>
      <c r="AM66" s="77">
        <v>0</v>
      </c>
      <c r="AN66" s="77">
        <v>1</v>
      </c>
      <c r="AO66" s="77">
        <v>2</v>
      </c>
      <c r="AP66" s="87"/>
      <c r="AQ66" s="77">
        <f t="shared" ref="AQ66:AQ68" si="114">AG66-AL66</f>
        <v>-4</v>
      </c>
      <c r="AR66" s="77">
        <f t="shared" si="106"/>
        <v>0</v>
      </c>
      <c r="AS66" s="77">
        <f t="shared" si="107"/>
        <v>1</v>
      </c>
      <c r="AT66" s="77">
        <f t="shared" si="108"/>
        <v>0</v>
      </c>
      <c r="AU66" s="87"/>
      <c r="AV66" s="256">
        <f t="shared" ref="AV66:AV68" si="115">Y66</f>
        <v>374002</v>
      </c>
      <c r="AW66" s="79">
        <f t="shared" ref="AW66:AW68" si="116">IF(AND($AV66=AW$16,AQ66&gt;0),1,)</f>
        <v>0</v>
      </c>
      <c r="AX66" s="79">
        <f t="shared" si="109"/>
        <v>0</v>
      </c>
      <c r="AY66" s="419">
        <f t="shared" si="110"/>
        <v>0</v>
      </c>
      <c r="AZ66" s="419">
        <f t="shared" si="111"/>
        <v>0</v>
      </c>
      <c r="BA66" s="425"/>
      <c r="BB66" s="410">
        <f>SUM(AW66:AZ66)</f>
        <v>0</v>
      </c>
    </row>
    <row r="67" spans="2:54">
      <c r="B67" s="68" t="str">
        <f>Toernooigegevens!M54</f>
        <v>G3</v>
      </c>
      <c r="C67" s="68" t="str">
        <f>Toernooigegevens!N54</f>
        <v>Ghana</v>
      </c>
      <c r="D67" s="68">
        <f>(E67*3)+(F67*1)</f>
        <v>1</v>
      </c>
      <c r="E67" s="68">
        <f>SUMPRODUCT((Invulblad!$F$59:$F$64=C67)*(Invulblad!$M$59:$M$64="1"))+SUMPRODUCT((Invulblad!$J$59:$J$64=C67)*(Invulblad!$M$59:$M$64=2))</f>
        <v>0</v>
      </c>
      <c r="F67" s="68">
        <f>SUMPRODUCT((Invulblad!$F$59:$F$64=C67)*(Invulblad!$M$59:$M$64=3))+SUMPRODUCT((Invulblad!$J$59:$J$64=C67)*(Invulblad!$M$59:$M$64=3))</f>
        <v>1</v>
      </c>
      <c r="G67" s="68">
        <f>SUMPRODUCT((Invulblad!$F$59:$F$64=C67)*(Invulblad!$M$59:$M$64=2))+SUMPRODUCT((Invulblad!$J$59:$J$64=C67)*(Invulblad!$M$59:$M$64="1"))</f>
        <v>2</v>
      </c>
      <c r="H67" s="68">
        <f>SUMIF(Invulblad!$J$59:$J$64,C67,Invulblad!$I$59:$I$64)+SUMIF(Invulblad!$F$59:$F$64,C67,Invulblad!$G$59:$G$64)</f>
        <v>4</v>
      </c>
      <c r="I67" s="68">
        <f>SUMIF(Invulblad!$J$59:$J$64,C67,Invulblad!$G$59:$G$64)+SUMIF(Invulblad!$F$59:$F$64,C67,Invulblad!$I$59:$I$64)</f>
        <v>6</v>
      </c>
      <c r="J67" s="68">
        <f>H67-I67</f>
        <v>-2</v>
      </c>
      <c r="M67" s="70">
        <f t="shared" si="112"/>
        <v>4</v>
      </c>
      <c r="N67" s="124"/>
      <c r="O67" s="258"/>
      <c r="Q67" s="68">
        <v>2</v>
      </c>
      <c r="R67" s="68" t="str">
        <f>IF(SUM(E67:G67)&gt;0,"Ja","Nee")</f>
        <v>Ja</v>
      </c>
      <c r="S67" s="68">
        <f>IF(COUNTIF(R65:R68,"Ja")=4,-Q67,"")</f>
        <v>-2</v>
      </c>
      <c r="T67" s="68">
        <f>IF(S67&lt;&gt;"",(SUMPRODUCT(--(C67&lt;C65:C68))+1),"")</f>
        <v>3</v>
      </c>
      <c r="U67" s="68" t="str">
        <f>IF(SUM(E67:G67)=3,"Ja","Nee")</f>
        <v>Ja</v>
      </c>
      <c r="V67" s="68">
        <f>D67*$AC$3</f>
        <v>100000</v>
      </c>
      <c r="W67" s="68">
        <f>J67*$AC$4</f>
        <v>-20000</v>
      </c>
      <c r="X67" s="68">
        <f>H67*$AC$5</f>
        <v>4000</v>
      </c>
      <c r="Y67" s="68">
        <f>SUM(Q67:X67)</f>
        <v>84003</v>
      </c>
      <c r="Z67" s="68">
        <f t="shared" si="113"/>
        <v>0</v>
      </c>
      <c r="AA67" s="68">
        <f>SUM(Y67:Z67)</f>
        <v>84003</v>
      </c>
      <c r="AC67" s="70">
        <f>RANK(Y67,Y65:Y68)</f>
        <v>4</v>
      </c>
      <c r="AF67" s="409" t="str">
        <f>C67</f>
        <v>Ghana</v>
      </c>
      <c r="AG67" s="68">
        <f>SUMPRODUCT((Invulblad!F59:F64=AF67)*(Invulblad!J59:J64=AG64)*(Invulblad!G59:G64))+SUMPRODUCT((Invulblad!J59:J64=AF67)*(Invulblad!F59:F64=AG64)*(Invulblad!I59:I64))</f>
        <v>2</v>
      </c>
      <c r="AH67" s="68">
        <f>SUMPRODUCT((Invulblad!F59:F64=AF67)*(Invulblad!J59:J64=AH64)*(Invulblad!G59:G64))+SUMPRODUCT((Invulblad!J59:J64=AF67)*(Invulblad!F59:F64=AH64)*(Invulblad!I59:I64))</f>
        <v>1</v>
      </c>
      <c r="AI67" s="68">
        <f>SUMPRODUCT((Invulblad!F59:F64=AF67)*(Invulblad!J59:J64=AI64)*(Invulblad!G59:G64))+SUMPRODUCT((Invulblad!J59:J64=AF67)*(Invulblad!F59:F64=AI64)*(Invulblad!I59:I64))</f>
        <v>0</v>
      </c>
      <c r="AJ67" s="68">
        <f>SUMPRODUCT((Invulblad!F59:F64=AF67)*(Invulblad!J59:J64=AJ64)*(Invulblad!G59:G64))+SUMPRODUCT((Invulblad!J59:J64=AF67)*(Invulblad!F59:F64=AJ64)*(Invulblad!I59:I64))</f>
        <v>1</v>
      </c>
      <c r="AL67" s="68">
        <v>2</v>
      </c>
      <c r="AM67" s="68">
        <v>2</v>
      </c>
      <c r="AN67" s="68">
        <v>0</v>
      </c>
      <c r="AO67" s="68">
        <v>2</v>
      </c>
      <c r="AP67" s="87"/>
      <c r="AQ67" s="68">
        <f t="shared" si="114"/>
        <v>0</v>
      </c>
      <c r="AR67" s="68">
        <f t="shared" si="106"/>
        <v>-1</v>
      </c>
      <c r="AS67" s="68">
        <f t="shared" si="107"/>
        <v>0</v>
      </c>
      <c r="AT67" s="68">
        <f t="shared" si="108"/>
        <v>-1</v>
      </c>
      <c r="AU67" s="87"/>
      <c r="AV67" s="256">
        <f t="shared" si="115"/>
        <v>84003</v>
      </c>
      <c r="AW67" s="70">
        <f t="shared" si="116"/>
        <v>0</v>
      </c>
      <c r="AX67" s="70">
        <f t="shared" si="109"/>
        <v>0</v>
      </c>
      <c r="AY67" s="418">
        <f t="shared" si="110"/>
        <v>0</v>
      </c>
      <c r="AZ67" s="418">
        <f t="shared" si="111"/>
        <v>0</v>
      </c>
      <c r="BA67" s="424"/>
      <c r="BB67" s="409">
        <f>SUM(AW67:AZ67)</f>
        <v>0</v>
      </c>
    </row>
    <row r="68" spans="2:54">
      <c r="B68" s="77" t="str">
        <f>Toernooigegevens!M55</f>
        <v>G4</v>
      </c>
      <c r="C68" s="77" t="str">
        <f>Toernooigegevens!N55</f>
        <v>USA</v>
      </c>
      <c r="D68" s="77">
        <f>(E68*3)+(F68*1)</f>
        <v>4</v>
      </c>
      <c r="E68" s="77">
        <f>SUMPRODUCT((Invulblad!$F$59:$F$64=C68)*(Invulblad!$M$59:$M$64="1"))+SUMPRODUCT((Invulblad!$J$59:$J$64=C68)*(Invulblad!$M$59:$M$64=2))</f>
        <v>1</v>
      </c>
      <c r="F68" s="77">
        <f>SUMPRODUCT((Invulblad!$F$59:$F$64=C68)*(Invulblad!$M$59:$M$64=3))+SUMPRODUCT((Invulblad!$J$59:$J$64=C68)*(Invulblad!$M$59:$M$64=3))</f>
        <v>1</v>
      </c>
      <c r="G68" s="77">
        <f>SUMPRODUCT((Invulblad!$F$59:$F$64=C68)*(Invulblad!$M$59:$M$64=2))+SUMPRODUCT((Invulblad!$J$59:$J$64=C68)*(Invulblad!$M$59:$M$64="1"))</f>
        <v>1</v>
      </c>
      <c r="H68" s="77">
        <f>SUMIF(Invulblad!$J$59:$J$64,C68,Invulblad!$I$59:$I$64)+SUMIF(Invulblad!$F$59:$F$64,C68,Invulblad!$G$59:$G$64)</f>
        <v>4</v>
      </c>
      <c r="I68" s="77">
        <f>SUMIF(Invulblad!$J$59:$J$64,C68,Invulblad!$G$59:$G$64)+SUMIF(Invulblad!$F$59:$F$64,C68,Invulblad!$I$59:$I$64)</f>
        <v>4</v>
      </c>
      <c r="J68" s="77">
        <f>H68-I68</f>
        <v>0</v>
      </c>
      <c r="M68" s="70">
        <f t="shared" si="112"/>
        <v>2</v>
      </c>
      <c r="N68" s="131"/>
      <c r="O68" s="258"/>
      <c r="Q68" s="77">
        <v>1</v>
      </c>
      <c r="R68" s="77" t="str">
        <f>IF(SUM(E68:G68)&gt;0,"Ja","Nee")</f>
        <v>Ja</v>
      </c>
      <c r="S68" s="77">
        <f>IF(COUNTIF(R65:R68,"Ja")=4,-Q68,"")</f>
        <v>-1</v>
      </c>
      <c r="T68" s="77">
        <f>IF(S68&lt;&gt;"",(SUMPRODUCT(--(C68&lt;C65:C68))+1),"")</f>
        <v>1</v>
      </c>
      <c r="U68" s="77" t="str">
        <f>IF(SUM(E68:G68)=3,"Ja","Nee")</f>
        <v>Ja</v>
      </c>
      <c r="V68" s="77">
        <f>D68*$AC$3</f>
        <v>400000</v>
      </c>
      <c r="W68" s="77">
        <f>J68*$AC$4</f>
        <v>0</v>
      </c>
      <c r="X68" s="77">
        <f>H68*$AC$5</f>
        <v>4000</v>
      </c>
      <c r="Y68" s="77">
        <f>SUM(Q68:X68)</f>
        <v>404001</v>
      </c>
      <c r="Z68" s="77">
        <f t="shared" si="113"/>
        <v>0</v>
      </c>
      <c r="AA68" s="77">
        <f>SUM(Y68:Z68)</f>
        <v>404001</v>
      </c>
      <c r="AC68" s="79">
        <f>RANK(Y68,Y65:Y68)</f>
        <v>2</v>
      </c>
      <c r="AF68" s="410" t="str">
        <f>C68</f>
        <v>USA</v>
      </c>
      <c r="AG68" s="77">
        <f>SUMPRODUCT((Invulblad!F59:F64=AF68)*(Invulblad!J59:J64=AG64)*(Invulblad!G59:G64))+SUMPRODUCT((Invulblad!J59:J64=AF68)*(Invulblad!F59:F64=AG64)*(Invulblad!I59:I64))</f>
        <v>0</v>
      </c>
      <c r="AH68" s="77">
        <f>SUMPRODUCT((Invulblad!F59:F64=AF68)*(Invulblad!J59:J64=AH64)*(Invulblad!G59:G64))+SUMPRODUCT((Invulblad!J59:J64=AF68)*(Invulblad!F59:F64=AH64)*(Invulblad!I59:I64))</f>
        <v>2</v>
      </c>
      <c r="AI68" s="77">
        <f>SUMPRODUCT((Invulblad!F59:F64=AF68)*(Invulblad!J59:J64=AI64)*(Invulblad!G59:G64))+SUMPRODUCT((Invulblad!J59:J64=AF68)*(Invulblad!F59:F64=AI64)*(Invulblad!I59:I64))</f>
        <v>2</v>
      </c>
      <c r="AJ68" s="77">
        <f>SUMPRODUCT((Invulblad!F59:F64=AF68)*(Invulblad!J59:J64=AJ64)*(Invulblad!G59:G64))+SUMPRODUCT((Invulblad!J59:J64=AF68)*(Invulblad!F59:F64=AJ64)*(Invulblad!I59:I64))</f>
        <v>0</v>
      </c>
      <c r="AL68" s="77">
        <v>1</v>
      </c>
      <c r="AM68" s="77">
        <v>2</v>
      </c>
      <c r="AN68" s="77">
        <v>1</v>
      </c>
      <c r="AO68" s="77">
        <v>0</v>
      </c>
      <c r="AP68" s="87"/>
      <c r="AQ68" s="77">
        <f t="shared" si="114"/>
        <v>-1</v>
      </c>
      <c r="AR68" s="77">
        <f t="shared" si="106"/>
        <v>0</v>
      </c>
      <c r="AS68" s="77">
        <f t="shared" si="107"/>
        <v>1</v>
      </c>
      <c r="AT68" s="77">
        <f t="shared" si="108"/>
        <v>0</v>
      </c>
      <c r="AU68" s="87"/>
      <c r="AV68" s="256">
        <f t="shared" si="115"/>
        <v>404001</v>
      </c>
      <c r="AW68" s="79">
        <f t="shared" si="116"/>
        <v>0</v>
      </c>
      <c r="AX68" s="79">
        <f t="shared" si="109"/>
        <v>0</v>
      </c>
      <c r="AY68" s="419">
        <f t="shared" si="110"/>
        <v>0</v>
      </c>
      <c r="AZ68" s="419">
        <f t="shared" si="111"/>
        <v>0</v>
      </c>
      <c r="BA68" s="425"/>
      <c r="BB68" s="410">
        <f>SUM(AW68:AZ68)</f>
        <v>0</v>
      </c>
    </row>
    <row r="69" spans="2:54">
      <c r="AF69" s="257"/>
      <c r="AG69" s="257"/>
      <c r="AH69" s="257"/>
      <c r="AI69" s="257"/>
      <c r="AJ69" s="257"/>
      <c r="AL69" s="257"/>
      <c r="AM69" s="257"/>
      <c r="AN69" s="257"/>
      <c r="AO69" s="257"/>
      <c r="AP69" s="87"/>
      <c r="AQ69" s="87"/>
      <c r="AR69" s="87"/>
      <c r="AS69" s="87"/>
      <c r="AT69" s="87"/>
      <c r="AU69" s="87"/>
      <c r="AV69" s="257"/>
      <c r="AZ69" s="420"/>
      <c r="BA69" s="426"/>
      <c r="BB69" s="85"/>
    </row>
    <row r="70" spans="2:54" ht="12.75">
      <c r="AF70" s="411"/>
      <c r="AG70" s="411"/>
      <c r="AH70" s="411"/>
      <c r="AI70" s="411"/>
      <c r="AJ70" s="411"/>
      <c r="AK70" s="412"/>
      <c r="AL70" s="407"/>
      <c r="AM70" s="407"/>
      <c r="AN70" s="407"/>
      <c r="AO70" s="407"/>
      <c r="AP70" s="87"/>
      <c r="AQ70" s="87"/>
      <c r="AR70" s="87"/>
      <c r="AS70" s="87"/>
      <c r="AT70" s="87"/>
      <c r="AU70" s="87"/>
      <c r="AV70" s="87"/>
    </row>
    <row r="71" spans="2:54">
      <c r="Q71" s="254" t="s">
        <v>297</v>
      </c>
      <c r="R71" s="87"/>
      <c r="S71" s="87"/>
      <c r="V71" s="59" t="s">
        <v>290</v>
      </c>
      <c r="W71" s="59" t="s">
        <v>291</v>
      </c>
      <c r="X71" s="59" t="s">
        <v>292</v>
      </c>
      <c r="Z71" s="59" t="s">
        <v>551</v>
      </c>
      <c r="AG71" s="59" t="s">
        <v>547</v>
      </c>
      <c r="AL71" s="59" t="s">
        <v>548</v>
      </c>
      <c r="AP71" s="87"/>
      <c r="AQ71" s="59" t="s">
        <v>550</v>
      </c>
      <c r="AU71" s="87"/>
    </row>
    <row r="72" spans="2:54">
      <c r="B72" s="255"/>
      <c r="C72" s="255" t="s">
        <v>37</v>
      </c>
      <c r="D72" s="255" t="s">
        <v>293</v>
      </c>
      <c r="E72" s="255" t="s">
        <v>23</v>
      </c>
      <c r="F72" s="255" t="s">
        <v>24</v>
      </c>
      <c r="G72" s="255" t="s">
        <v>25</v>
      </c>
      <c r="H72" s="255" t="s">
        <v>26</v>
      </c>
      <c r="I72" s="255" t="s">
        <v>27</v>
      </c>
      <c r="J72" s="255" t="s">
        <v>28</v>
      </c>
      <c r="M72" s="255" t="s">
        <v>294</v>
      </c>
      <c r="N72" s="255" t="s">
        <v>295</v>
      </c>
      <c r="Q72" s="255" t="str">
        <f>C72</f>
        <v>Groep H</v>
      </c>
      <c r="R72" s="256"/>
      <c r="S72" s="256"/>
      <c r="T72" s="256"/>
      <c r="U72" s="256"/>
      <c r="V72" s="255" t="s">
        <v>296</v>
      </c>
      <c r="W72" s="255" t="s">
        <v>28</v>
      </c>
      <c r="X72" s="255" t="s">
        <v>26</v>
      </c>
      <c r="Y72" s="255" t="s">
        <v>553</v>
      </c>
      <c r="Z72" s="255" t="s">
        <v>552</v>
      </c>
      <c r="AA72" s="255" t="s">
        <v>554</v>
      </c>
      <c r="AC72" s="255" t="s">
        <v>294</v>
      </c>
      <c r="AD72" s="255">
        <f>SUM(AC73:AC76)</f>
        <v>10</v>
      </c>
      <c r="AF72" s="255"/>
      <c r="AG72" s="408" t="str">
        <f>AF73</f>
        <v>België</v>
      </c>
      <c r="AH72" s="408" t="str">
        <f>AF74</f>
        <v>Algerije</v>
      </c>
      <c r="AI72" s="408" t="str">
        <f>AF75</f>
        <v>Rusland</v>
      </c>
      <c r="AJ72" s="408" t="str">
        <f>AF76</f>
        <v>Zuid-Korea</v>
      </c>
      <c r="AL72" s="408" t="str">
        <f>AG72</f>
        <v>België</v>
      </c>
      <c r="AM72" s="408" t="str">
        <f t="shared" ref="AM72" si="117">AH72</f>
        <v>Algerije</v>
      </c>
      <c r="AN72" s="408" t="str">
        <f t="shared" ref="AN72" si="118">AI72</f>
        <v>Rusland</v>
      </c>
      <c r="AO72" s="408" t="str">
        <f t="shared" ref="AO72" si="119">AJ72</f>
        <v>Zuid-Korea</v>
      </c>
      <c r="AP72" s="87"/>
      <c r="AQ72" s="408" t="str">
        <f>AL72</f>
        <v>België</v>
      </c>
      <c r="AR72" s="408" t="str">
        <f t="shared" ref="AR72" si="120">AM72</f>
        <v>Algerije</v>
      </c>
      <c r="AS72" s="408" t="str">
        <f t="shared" ref="AS72" si="121">AN72</f>
        <v>Rusland</v>
      </c>
      <c r="AT72" s="408" t="str">
        <f t="shared" ref="AT72" si="122">AO72</f>
        <v>Zuid-Korea</v>
      </c>
      <c r="AU72" s="87"/>
      <c r="AW72" s="417">
        <f t="array" ref="AW72:AZ72">TRANSPOSE(AV73:AV76)</f>
        <v>934003</v>
      </c>
      <c r="AX72" s="417">
        <v>416004</v>
      </c>
      <c r="AY72" s="417">
        <v>192002</v>
      </c>
      <c r="AZ72" s="417">
        <v>73001</v>
      </c>
      <c r="BA72" s="423"/>
      <c r="BB72" s="255" t="s">
        <v>552</v>
      </c>
    </row>
    <row r="73" spans="2:54">
      <c r="B73" s="68" t="str">
        <f>Toernooigegevens!M60</f>
        <v>H1</v>
      </c>
      <c r="C73" s="68" t="str">
        <f>Toernooigegevens!N60</f>
        <v>België</v>
      </c>
      <c r="D73" s="68">
        <f>(E73*3)+(F73*1)</f>
        <v>9</v>
      </c>
      <c r="E73" s="68">
        <f>SUMPRODUCT((Invulblad!$F$67:$F$72=C73)*(Invulblad!$M$67:$M$72="1"))+SUMPRODUCT((Invulblad!$J$67:$J$72=C73)*(Invulblad!$M$67:$M$72=2))</f>
        <v>3</v>
      </c>
      <c r="F73" s="68">
        <f>SUMPRODUCT((Invulblad!$F$67:$F$72=C73)*(Invulblad!$M$67:$M$72=3))+SUMPRODUCT((Invulblad!$J$67:$J$72=C73)*(Invulblad!$M$67:$M$72=3))</f>
        <v>0</v>
      </c>
      <c r="G73" s="68">
        <f>SUMPRODUCT((Invulblad!$F$67:$F$72=C73)*(Invulblad!$M$67:$M$72=2))+SUMPRODUCT((Invulblad!$J$67:$J$72=C73)*(Invulblad!$M$67:$M$72="1"))</f>
        <v>0</v>
      </c>
      <c r="H73" s="68">
        <f>SUMIF(Invulblad!$J$67:$J$72,C73,Invulblad!$I$67:$I$72)+SUMIF(Invulblad!$F$67:$F$72,C73,Invulblad!$G$67:$G$72)</f>
        <v>4</v>
      </c>
      <c r="I73" s="68">
        <f>SUMIF(Invulblad!$J$67:$J$72,C73,Invulblad!$G$67:$G$72)+SUMIF(Invulblad!$F$67:$F$72,C73,Invulblad!$I$67:$I$72)</f>
        <v>1</v>
      </c>
      <c r="J73" s="68">
        <f>H73-I73</f>
        <v>3</v>
      </c>
      <c r="M73" s="70">
        <f>IF(N73&gt;0,N73,AC73)</f>
        <v>1</v>
      </c>
      <c r="N73" s="124"/>
      <c r="O73" s="258"/>
      <c r="Q73" s="68">
        <v>4</v>
      </c>
      <c r="R73" s="68" t="str">
        <f>IF(SUM(E73:G73)&gt;0,"Ja","Nee")</f>
        <v>Ja</v>
      </c>
      <c r="S73" s="68">
        <f>IF(COUNTIF(R73:R76,"Ja")=4,-Q73,"")</f>
        <v>-4</v>
      </c>
      <c r="T73" s="68">
        <f>IF(S73&lt;&gt;"",(SUMPRODUCT(--(C73&lt;C73:C76))+1),"")</f>
        <v>3</v>
      </c>
      <c r="U73" s="68" t="str">
        <f>IF(SUM(E73:G73)=3,"Ja","Nee")</f>
        <v>Ja</v>
      </c>
      <c r="V73" s="68">
        <f>D73*$AC$3</f>
        <v>900000</v>
      </c>
      <c r="W73" s="68">
        <f>J73*$AC$4</f>
        <v>30000</v>
      </c>
      <c r="X73" s="68">
        <f>H73*$AC$5</f>
        <v>4000</v>
      </c>
      <c r="Y73" s="68">
        <f>SUM(Q73:X73)</f>
        <v>934003</v>
      </c>
      <c r="Z73" s="68">
        <f>$AC$6*BB73</f>
        <v>0</v>
      </c>
      <c r="AA73" s="68">
        <f>SUM(Y73:Z73)</f>
        <v>934003</v>
      </c>
      <c r="AC73" s="70">
        <f>RANK(Y73,Y73:Y76)</f>
        <v>1</v>
      </c>
      <c r="AF73" s="409" t="str">
        <f>C73</f>
        <v>België</v>
      </c>
      <c r="AG73" s="68">
        <f>SUMPRODUCT((Invulblad!F67:F72=AF73)*(Invulblad!J67:J72=AG72)*(Invulblad!G67:G72))+SUMPRODUCT((Invulblad!J67:J72=AF73)*(Invulblad!F67:F72=AG72)*(Invulblad!I67:I72))</f>
        <v>0</v>
      </c>
      <c r="AH73" s="68">
        <f>SUMPRODUCT((Invulblad!F67:F72=AF73)*(Invulblad!J67:J72=AH72)*(Invulblad!G67:G72))+SUMPRODUCT((Invulblad!J67:J72=AF73)*(Invulblad!F67:F72=AH72)*(Invulblad!I67:I72))</f>
        <v>2</v>
      </c>
      <c r="AI73" s="68">
        <f>SUMPRODUCT((Invulblad!F67:F72=AF73)*(Invulblad!J67:J72=AI72)*(Invulblad!G67:G72))+SUMPRODUCT((Invulblad!J67:J72=AF73)*(Invulblad!F67:F72=AI72)*(Invulblad!I67:I72))</f>
        <v>1</v>
      </c>
      <c r="AJ73" s="68">
        <f>SUMPRODUCT((Invulblad!F67:F72=AF73)*(Invulblad!J67:J72=AJ72)*(Invulblad!G67:G72))+SUMPRODUCT((Invulblad!J67:J72=AF73)*(Invulblad!F67:F72=AJ72)*(Invulblad!I67:I72))</f>
        <v>1</v>
      </c>
      <c r="AL73" s="68">
        <f t="array" ref="AL73:AO76">TRANSPOSE(AG73:AJ76)</f>
        <v>0</v>
      </c>
      <c r="AM73" s="68">
        <v>1</v>
      </c>
      <c r="AN73" s="68">
        <v>0</v>
      </c>
      <c r="AO73" s="68">
        <v>0</v>
      </c>
      <c r="AP73" s="87"/>
      <c r="AQ73" s="68">
        <f>AG73-AL73</f>
        <v>0</v>
      </c>
      <c r="AR73" s="68">
        <f t="shared" ref="AR73:AR76" si="123">AH73-AM73</f>
        <v>1</v>
      </c>
      <c r="AS73" s="68">
        <f t="shared" ref="AS73:AS76" si="124">AI73-AN73</f>
        <v>1</v>
      </c>
      <c r="AT73" s="68">
        <f t="shared" ref="AT73:AT76" si="125">AJ73-AO73</f>
        <v>1</v>
      </c>
      <c r="AU73" s="87"/>
      <c r="AV73" s="256">
        <f>Y73</f>
        <v>934003</v>
      </c>
      <c r="AW73" s="70">
        <f>IF(AND($AV73=AW$16,AQ73&gt;0),1,)</f>
        <v>0</v>
      </c>
      <c r="AX73" s="70">
        <f t="shared" ref="AX73:AX76" si="126">IF(AND($AV73=AX$16,AR73&gt;0),1,)</f>
        <v>0</v>
      </c>
      <c r="AY73" s="418">
        <f t="shared" ref="AY73:AY76" si="127">IF(AND($AV73=AY$16,AS73&gt;0),1,)</f>
        <v>0</v>
      </c>
      <c r="AZ73" s="418">
        <f t="shared" ref="AZ73:AZ76" si="128">IF(AND($AV73=AZ$16,AT73&gt;0),1,)</f>
        <v>0</v>
      </c>
      <c r="BA73" s="424"/>
      <c r="BB73" s="409">
        <f>SUM(AW73:AZ73)</f>
        <v>0</v>
      </c>
    </row>
    <row r="74" spans="2:54">
      <c r="B74" s="77" t="str">
        <f>Toernooigegevens!M61</f>
        <v>H2</v>
      </c>
      <c r="C74" s="77" t="str">
        <f>Toernooigegevens!N61</f>
        <v>Algerije</v>
      </c>
      <c r="D74" s="77">
        <f>(E74*3)+(F74*1)</f>
        <v>4</v>
      </c>
      <c r="E74" s="77">
        <f>SUMPRODUCT((Invulblad!$F$67:$F$72=C74)*(Invulblad!$M$67:$M$72="1"))+SUMPRODUCT((Invulblad!$J$67:$J$72=C74)*(Invulblad!$M$67:$M$72=2))</f>
        <v>1</v>
      </c>
      <c r="F74" s="77">
        <f>SUMPRODUCT((Invulblad!$F$67:$F$72=C74)*(Invulblad!$M$67:$M$72=3))+SUMPRODUCT((Invulblad!$J$67:$J$72=C74)*(Invulblad!$M$67:$M$72=3))</f>
        <v>1</v>
      </c>
      <c r="G74" s="77">
        <f>SUMPRODUCT((Invulblad!$F$67:$F$72=C74)*(Invulblad!$M$67:$M$72=2))+SUMPRODUCT((Invulblad!$J$67:$J$72=C74)*(Invulblad!$M$67:$M$72="1"))</f>
        <v>1</v>
      </c>
      <c r="H74" s="77">
        <f>SUMIF(Invulblad!$J$67:$J$72,C74,Invulblad!$I$67:$I$72)+SUMIF(Invulblad!$F$67:$F$72,C74,Invulblad!$G$67:$G$72)</f>
        <v>6</v>
      </c>
      <c r="I74" s="77">
        <f>SUMIF(Invulblad!$J$67:$J$72,C74,Invulblad!$G$67:$G$72)+SUMIF(Invulblad!$F$67:$F$72,C74,Invulblad!$I$67:$I$72)</f>
        <v>5</v>
      </c>
      <c r="J74" s="77">
        <f>H74-I74</f>
        <v>1</v>
      </c>
      <c r="M74" s="70">
        <f t="shared" ref="M74:M76" si="129">IF(N74&gt;0,N74,AC74)</f>
        <v>2</v>
      </c>
      <c r="N74" s="131"/>
      <c r="O74" s="258"/>
      <c r="Q74" s="77">
        <v>3</v>
      </c>
      <c r="R74" s="77" t="str">
        <f>IF(SUM(E74:G74)&gt;0,"Ja","Nee")</f>
        <v>Ja</v>
      </c>
      <c r="S74" s="77">
        <f>IF(COUNTIF(R73:R76,"Ja")=4,-Q74,"")</f>
        <v>-3</v>
      </c>
      <c r="T74" s="77">
        <f>IF(S74&lt;&gt;"",(SUMPRODUCT(--(C74&lt;C73:C76))+1),"")</f>
        <v>4</v>
      </c>
      <c r="U74" s="77" t="str">
        <f>IF(SUM(E74:G74)=3,"Ja","Nee")</f>
        <v>Ja</v>
      </c>
      <c r="V74" s="77">
        <f>D74*$AC$3</f>
        <v>400000</v>
      </c>
      <c r="W74" s="77">
        <f>J74*$AC$4</f>
        <v>10000</v>
      </c>
      <c r="X74" s="77">
        <f>H74*$AC$5</f>
        <v>6000</v>
      </c>
      <c r="Y74" s="77">
        <f>SUM(Q74:X74)</f>
        <v>416004</v>
      </c>
      <c r="Z74" s="77">
        <f t="shared" ref="Z74:Z76" si="130">$AC$6*BB74</f>
        <v>0</v>
      </c>
      <c r="AA74" s="77">
        <f>SUM(Y74:Z74)</f>
        <v>416004</v>
      </c>
      <c r="AC74" s="79">
        <f>RANK(Y74,Y73:Y76)</f>
        <v>2</v>
      </c>
      <c r="AF74" s="410" t="str">
        <f>C74</f>
        <v>Algerije</v>
      </c>
      <c r="AG74" s="77">
        <f>SUMPRODUCT((Invulblad!F67:F72=AF74)*(Invulblad!J67:J72=AG72)*(Invulblad!G67:G72))+SUMPRODUCT((Invulblad!J67:J72=AF74)*(Invulblad!F67:F72=AG72)*(Invulblad!I67:I72))</f>
        <v>1</v>
      </c>
      <c r="AH74" s="77">
        <f>SUMPRODUCT((Invulblad!F67:F72=AF74)*(Invulblad!J67:J72=AH72)*(Invulblad!G67:G72))+SUMPRODUCT((Invulblad!J67:J72=AF74)*(Invulblad!F67:F72=AH72)*(Invulblad!I67:I72))</f>
        <v>0</v>
      </c>
      <c r="AI74" s="77">
        <f>SUMPRODUCT((Invulblad!F67:F72=AF74)*(Invulblad!J67:J72=AI72)*(Invulblad!G67:G72))+SUMPRODUCT((Invulblad!J67:J72=AF74)*(Invulblad!F67:F72=AI72)*(Invulblad!I67:I72))</f>
        <v>1</v>
      </c>
      <c r="AJ74" s="77">
        <f>SUMPRODUCT((Invulblad!F67:F72=AF74)*(Invulblad!J67:J72=AJ72)*(Invulblad!G67:G72))+SUMPRODUCT((Invulblad!J67:J72=AF74)*(Invulblad!F67:F72=AJ72)*(Invulblad!I67:I72))</f>
        <v>4</v>
      </c>
      <c r="AL74" s="77">
        <v>2</v>
      </c>
      <c r="AM74" s="77">
        <v>0</v>
      </c>
      <c r="AN74" s="77">
        <v>1</v>
      </c>
      <c r="AO74" s="77">
        <v>2</v>
      </c>
      <c r="AP74" s="87"/>
      <c r="AQ74" s="77">
        <f t="shared" ref="AQ74:AQ76" si="131">AG74-AL74</f>
        <v>-1</v>
      </c>
      <c r="AR74" s="77">
        <f t="shared" si="123"/>
        <v>0</v>
      </c>
      <c r="AS74" s="77">
        <f t="shared" si="124"/>
        <v>0</v>
      </c>
      <c r="AT74" s="77">
        <f t="shared" si="125"/>
        <v>2</v>
      </c>
      <c r="AU74" s="87"/>
      <c r="AV74" s="256">
        <f t="shared" ref="AV74:AV76" si="132">Y74</f>
        <v>416004</v>
      </c>
      <c r="AW74" s="79">
        <f t="shared" ref="AW74:AW76" si="133">IF(AND($AV74=AW$16,AQ74&gt;0),1,)</f>
        <v>0</v>
      </c>
      <c r="AX74" s="79">
        <f t="shared" si="126"/>
        <v>0</v>
      </c>
      <c r="AY74" s="419">
        <f t="shared" si="127"/>
        <v>0</v>
      </c>
      <c r="AZ74" s="419">
        <f t="shared" si="128"/>
        <v>0</v>
      </c>
      <c r="BA74" s="425"/>
      <c r="BB74" s="410">
        <f>SUM(AW74:AZ74)</f>
        <v>0</v>
      </c>
    </row>
    <row r="75" spans="2:54">
      <c r="B75" s="68" t="str">
        <f>Toernooigegevens!M62</f>
        <v>H3</v>
      </c>
      <c r="C75" s="68" t="str">
        <f>Toernooigegevens!N62</f>
        <v>Rusland</v>
      </c>
      <c r="D75" s="68">
        <f>(E75*3)+(F75*1)</f>
        <v>2</v>
      </c>
      <c r="E75" s="68">
        <f>SUMPRODUCT((Invulblad!$F$67:$F$72=C75)*(Invulblad!$M$67:$M$72="1"))+SUMPRODUCT((Invulblad!$J$67:$J$72=C75)*(Invulblad!$M$67:$M$72=2))</f>
        <v>0</v>
      </c>
      <c r="F75" s="68">
        <f>SUMPRODUCT((Invulblad!$F$67:$F$72=C75)*(Invulblad!$M$67:$M$72=3))+SUMPRODUCT((Invulblad!$J$67:$J$72=C75)*(Invulblad!$M$67:$M$72=3))</f>
        <v>2</v>
      </c>
      <c r="G75" s="68">
        <f>SUMPRODUCT((Invulblad!$F$67:$F$72=C75)*(Invulblad!$M$67:$M$72=2))+SUMPRODUCT((Invulblad!$J$67:$J$72=C75)*(Invulblad!$M$67:$M$72="1"))</f>
        <v>1</v>
      </c>
      <c r="H75" s="68">
        <f>SUMIF(Invulblad!$J$67:$J$72,C75,Invulblad!$I$67:$I$72)+SUMIF(Invulblad!$F$67:$F$72,C75,Invulblad!$G$67:$G$72)</f>
        <v>2</v>
      </c>
      <c r="I75" s="68">
        <f>SUMIF(Invulblad!$J$67:$J$72,C75,Invulblad!$G$67:$G$72)+SUMIF(Invulblad!$F$67:$F$72,C75,Invulblad!$I$67:$I$72)</f>
        <v>3</v>
      </c>
      <c r="J75" s="68">
        <f>H75-I75</f>
        <v>-1</v>
      </c>
      <c r="M75" s="70">
        <f t="shared" si="129"/>
        <v>3</v>
      </c>
      <c r="N75" s="124"/>
      <c r="O75" s="258"/>
      <c r="Q75" s="68">
        <v>2</v>
      </c>
      <c r="R75" s="68" t="str">
        <f>IF(SUM(E75:G75)&gt;0,"Ja","Nee")</f>
        <v>Ja</v>
      </c>
      <c r="S75" s="68">
        <f>IF(COUNTIF(R73:R76,"Ja")=4,-Q75,"")</f>
        <v>-2</v>
      </c>
      <c r="T75" s="68">
        <f>IF(S75&lt;&gt;"",(SUMPRODUCT(--(C75&lt;C73:C76))+1),"")</f>
        <v>2</v>
      </c>
      <c r="U75" s="68" t="str">
        <f>IF(SUM(E75:G75)=3,"Ja","Nee")</f>
        <v>Ja</v>
      </c>
      <c r="V75" s="68">
        <f>D75*$AC$3</f>
        <v>200000</v>
      </c>
      <c r="W75" s="68">
        <f>J75*$AC$4</f>
        <v>-10000</v>
      </c>
      <c r="X75" s="68">
        <f>H75*$AC$5</f>
        <v>2000</v>
      </c>
      <c r="Y75" s="68">
        <f>SUM(Q75:X75)</f>
        <v>192002</v>
      </c>
      <c r="Z75" s="68">
        <f t="shared" si="130"/>
        <v>0</v>
      </c>
      <c r="AA75" s="68">
        <f>SUM(Y75:Z75)</f>
        <v>192002</v>
      </c>
      <c r="AC75" s="70">
        <f>RANK(Y75,Y73:Y76)</f>
        <v>3</v>
      </c>
      <c r="AF75" s="409" t="str">
        <f>C75</f>
        <v>Rusland</v>
      </c>
      <c r="AG75" s="68">
        <f>SUMPRODUCT((Invulblad!F67:F72=AF75)*(Invulblad!J67:J72=AG72)*(Invulblad!G67:G72))+SUMPRODUCT((Invulblad!J67:J72=AF75)*(Invulblad!F67:F72=AG72)*(Invulblad!I67:I72))</f>
        <v>0</v>
      </c>
      <c r="AH75" s="68">
        <f>SUMPRODUCT((Invulblad!F67:F72=AF75)*(Invulblad!J67:J72=AH72)*(Invulblad!G67:G72))+SUMPRODUCT((Invulblad!J67:J72=AF75)*(Invulblad!F67:F72=AH72)*(Invulblad!I67:I72))</f>
        <v>1</v>
      </c>
      <c r="AI75" s="68">
        <f>SUMPRODUCT((Invulblad!F67:F72=AF75)*(Invulblad!J67:J72=AI72)*(Invulblad!G67:G72))+SUMPRODUCT((Invulblad!J67:J72=AF75)*(Invulblad!F67:F72=AI72)*(Invulblad!I67:I72))</f>
        <v>0</v>
      </c>
      <c r="AJ75" s="68">
        <f>SUMPRODUCT((Invulblad!F67:F72=AF75)*(Invulblad!J67:J72=AJ72)*(Invulblad!G67:G72))+SUMPRODUCT((Invulblad!J67:J72=AF75)*(Invulblad!F67:F72=AJ72)*(Invulblad!I67:I72))</f>
        <v>1</v>
      </c>
      <c r="AL75" s="68">
        <v>1</v>
      </c>
      <c r="AM75" s="68">
        <v>1</v>
      </c>
      <c r="AN75" s="68">
        <v>0</v>
      </c>
      <c r="AO75" s="68">
        <v>1</v>
      </c>
      <c r="AP75" s="87"/>
      <c r="AQ75" s="68">
        <f t="shared" si="131"/>
        <v>-1</v>
      </c>
      <c r="AR75" s="68">
        <f t="shared" si="123"/>
        <v>0</v>
      </c>
      <c r="AS75" s="68">
        <f t="shared" si="124"/>
        <v>0</v>
      </c>
      <c r="AT75" s="68">
        <f t="shared" si="125"/>
        <v>0</v>
      </c>
      <c r="AU75" s="87"/>
      <c r="AV75" s="256">
        <f t="shared" si="132"/>
        <v>192002</v>
      </c>
      <c r="AW75" s="70">
        <f t="shared" si="133"/>
        <v>0</v>
      </c>
      <c r="AX75" s="70">
        <f t="shared" si="126"/>
        <v>0</v>
      </c>
      <c r="AY75" s="418">
        <f t="shared" si="127"/>
        <v>0</v>
      </c>
      <c r="AZ75" s="418">
        <f t="shared" si="128"/>
        <v>0</v>
      </c>
      <c r="BA75" s="424"/>
      <c r="BB75" s="409">
        <f>SUM(AW75:AZ75)</f>
        <v>0</v>
      </c>
    </row>
    <row r="76" spans="2:54">
      <c r="B76" s="77" t="str">
        <f>Toernooigegevens!M63</f>
        <v>H4</v>
      </c>
      <c r="C76" s="77" t="str">
        <f>Toernooigegevens!N63</f>
        <v>Zuid-Korea</v>
      </c>
      <c r="D76" s="77">
        <f>(E76*3)+(F76*1)</f>
        <v>1</v>
      </c>
      <c r="E76" s="77">
        <f>SUMPRODUCT((Invulblad!$F$67:$F$72=C76)*(Invulblad!$M$67:$M$72="1"))+SUMPRODUCT((Invulblad!$J$67:$J$72=C76)*(Invulblad!$M$67:$M$72=2))</f>
        <v>0</v>
      </c>
      <c r="F76" s="77">
        <f>SUMPRODUCT((Invulblad!$F$67:$F$72=C76)*(Invulblad!$M$67:$M$72=3))+SUMPRODUCT((Invulblad!$J$67:$J$72=C76)*(Invulblad!$M$67:$M$72=3))</f>
        <v>1</v>
      </c>
      <c r="G76" s="77">
        <f>SUMPRODUCT((Invulblad!$F$67:$F$72=C76)*(Invulblad!$M$67:$M$72=2))+SUMPRODUCT((Invulblad!$J$67:$J$72=C76)*(Invulblad!$M$67:$M$72="1"))</f>
        <v>2</v>
      </c>
      <c r="H76" s="77">
        <f>SUMIF(Invulblad!$J$67:$J$72,C76,Invulblad!$I$67:$I$72)+SUMIF(Invulblad!$F$67:$F$72,C76,Invulblad!$G$67:$G$72)</f>
        <v>3</v>
      </c>
      <c r="I76" s="77">
        <f>SUMIF(Invulblad!$J$67:$J$72,C76,Invulblad!$G$67:$G$72)+SUMIF(Invulblad!$F$67:$F$72,C76,Invulblad!$I$67:$I$72)</f>
        <v>6</v>
      </c>
      <c r="J76" s="77">
        <f>H76-I76</f>
        <v>-3</v>
      </c>
      <c r="M76" s="70">
        <f t="shared" si="129"/>
        <v>4</v>
      </c>
      <c r="N76" s="131"/>
      <c r="O76" s="258"/>
      <c r="Q76" s="77">
        <v>1</v>
      </c>
      <c r="R76" s="77" t="str">
        <f>IF(SUM(E76:G76)&gt;0,"Ja","Nee")</f>
        <v>Ja</v>
      </c>
      <c r="S76" s="77">
        <f>IF(COUNTIF(R73:R76,"Ja")=4,-Q76,"")</f>
        <v>-1</v>
      </c>
      <c r="T76" s="77">
        <f>IF(S76&lt;&gt;"",(SUMPRODUCT(--(C76&lt;C73:C76))+1),"")</f>
        <v>1</v>
      </c>
      <c r="U76" s="77" t="str">
        <f>IF(SUM(E76:G76)=3,"Ja","Nee")</f>
        <v>Ja</v>
      </c>
      <c r="V76" s="77">
        <f>D76*$AC$3</f>
        <v>100000</v>
      </c>
      <c r="W76" s="77">
        <f>J76*$AC$4</f>
        <v>-30000</v>
      </c>
      <c r="X76" s="77">
        <f>H76*$AC$5</f>
        <v>3000</v>
      </c>
      <c r="Y76" s="77">
        <f>SUM(Q76:X76)</f>
        <v>73001</v>
      </c>
      <c r="Z76" s="77">
        <f t="shared" si="130"/>
        <v>0</v>
      </c>
      <c r="AA76" s="77">
        <f>SUM(Y76:Z76)</f>
        <v>73001</v>
      </c>
      <c r="AC76" s="79">
        <f>RANK(Y76,Y73:Y76)</f>
        <v>4</v>
      </c>
      <c r="AF76" s="410" t="str">
        <f>C76</f>
        <v>Zuid-Korea</v>
      </c>
      <c r="AG76" s="77">
        <f>SUMPRODUCT((Invulblad!F67:F72=AF76)*(Invulblad!J67:J72=AG72)*(Invulblad!G67:G72))+SUMPRODUCT((Invulblad!J67:J72=AF76)*(Invulblad!F67:F72=AG72)*(Invulblad!I67:I72))</f>
        <v>0</v>
      </c>
      <c r="AH76" s="77">
        <f>SUMPRODUCT((Invulblad!F67:F72=AF76)*(Invulblad!J67:J72=AH72)*(Invulblad!G67:G72))+SUMPRODUCT((Invulblad!J67:J72=AF76)*(Invulblad!F67:F72=AH72)*(Invulblad!I67:I72))</f>
        <v>2</v>
      </c>
      <c r="AI76" s="77">
        <f>SUMPRODUCT((Invulblad!F67:F72=AF76)*(Invulblad!J67:J72=AI72)*(Invulblad!G67:G72))+SUMPRODUCT((Invulblad!J67:J72=AF76)*(Invulblad!F67:F72=AI72)*(Invulblad!I67:I72))</f>
        <v>1</v>
      </c>
      <c r="AJ76" s="77">
        <f>SUMPRODUCT((Invulblad!F67:F72=AF76)*(Invulblad!J67:J72=AJ72)*(Invulblad!G67:G72))+SUMPRODUCT((Invulblad!J67:J72=AF76)*(Invulblad!F67:F72=AJ72)*(Invulblad!I67:I72))</f>
        <v>0</v>
      </c>
      <c r="AL76" s="77">
        <v>1</v>
      </c>
      <c r="AM76" s="77">
        <v>4</v>
      </c>
      <c r="AN76" s="77">
        <v>1</v>
      </c>
      <c r="AO76" s="77">
        <v>0</v>
      </c>
      <c r="AP76" s="87"/>
      <c r="AQ76" s="77">
        <f t="shared" si="131"/>
        <v>-1</v>
      </c>
      <c r="AR76" s="77">
        <f t="shared" si="123"/>
        <v>-2</v>
      </c>
      <c r="AS76" s="77">
        <f t="shared" si="124"/>
        <v>0</v>
      </c>
      <c r="AT76" s="77">
        <f t="shared" si="125"/>
        <v>0</v>
      </c>
      <c r="AU76" s="87"/>
      <c r="AV76" s="256">
        <f t="shared" si="132"/>
        <v>73001</v>
      </c>
      <c r="AW76" s="79">
        <f t="shared" si="133"/>
        <v>0</v>
      </c>
      <c r="AX76" s="79">
        <f t="shared" si="126"/>
        <v>0</v>
      </c>
      <c r="AY76" s="419">
        <f t="shared" si="127"/>
        <v>0</v>
      </c>
      <c r="AZ76" s="419">
        <f t="shared" si="128"/>
        <v>0</v>
      </c>
      <c r="BA76" s="425"/>
      <c r="BB76" s="410">
        <f>SUM(AW76:AZ76)</f>
        <v>0</v>
      </c>
    </row>
    <row r="77" spans="2:54">
      <c r="AF77" s="87"/>
      <c r="AG77" s="87"/>
      <c r="AH77" s="87"/>
      <c r="AI77" s="87"/>
      <c r="AJ77" s="87"/>
      <c r="AK77" s="87"/>
      <c r="AL77" s="87"/>
      <c r="AM77" s="87"/>
      <c r="AN77" s="87"/>
      <c r="AO77" s="87"/>
      <c r="AP77" s="87"/>
      <c r="AQ77" s="87"/>
      <c r="AR77" s="87"/>
      <c r="AS77" s="87"/>
      <c r="AT77" s="87"/>
      <c r="AU77" s="87"/>
      <c r="AV77" s="257"/>
      <c r="AZ77" s="420"/>
      <c r="BA77" s="426"/>
      <c r="BB77" s="85"/>
    </row>
    <row r="78" spans="2:54">
      <c r="AF78" s="87"/>
      <c r="AG78" s="87"/>
      <c r="AH78" s="87"/>
      <c r="AI78" s="87"/>
      <c r="AJ78" s="87"/>
      <c r="AK78" s="87"/>
      <c r="AL78" s="87"/>
      <c r="AM78" s="87"/>
      <c r="AN78" s="87"/>
      <c r="AO78" s="87"/>
      <c r="AP78" s="87"/>
      <c r="AQ78" s="87"/>
      <c r="AR78" s="87"/>
      <c r="AS78" s="87"/>
      <c r="AT78" s="87"/>
      <c r="AU78" s="87"/>
      <c r="AV78" s="87"/>
    </row>
    <row r="79" spans="2:54">
      <c r="AF79" s="87"/>
      <c r="AG79" s="87"/>
      <c r="AH79" s="87"/>
      <c r="AI79" s="87"/>
      <c r="AJ79" s="87"/>
      <c r="AK79" s="87"/>
      <c r="AL79" s="87"/>
      <c r="AM79" s="87"/>
      <c r="AN79" s="87"/>
      <c r="AO79" s="87"/>
      <c r="AP79" s="87"/>
      <c r="AQ79" s="87"/>
      <c r="AR79" s="87"/>
      <c r="AS79" s="87"/>
      <c r="AT79" s="87"/>
      <c r="AU79" s="87"/>
      <c r="AV79" s="87"/>
    </row>
    <row r="80" spans="2:54">
      <c r="AF80" s="87"/>
      <c r="AG80" s="87"/>
      <c r="AH80" s="87"/>
      <c r="AI80" s="87"/>
      <c r="AJ80" s="87"/>
      <c r="AK80" s="87"/>
      <c r="AL80" s="87"/>
      <c r="AM80" s="87"/>
      <c r="AN80" s="87"/>
      <c r="AO80" s="87"/>
      <c r="AP80" s="87"/>
      <c r="AQ80" s="87"/>
      <c r="AR80" s="87"/>
      <c r="AS80" s="87"/>
      <c r="AT80" s="87"/>
      <c r="AU80" s="87"/>
      <c r="AV80" s="87"/>
    </row>
    <row r="81" spans="32:48">
      <c r="AF81" s="87"/>
      <c r="AG81" s="87"/>
      <c r="AH81" s="87"/>
      <c r="AI81" s="87"/>
      <c r="AJ81" s="87"/>
      <c r="AK81" s="87"/>
      <c r="AL81" s="87"/>
      <c r="AM81" s="87"/>
      <c r="AN81" s="87"/>
      <c r="AO81" s="87"/>
      <c r="AP81" s="87"/>
      <c r="AQ81" s="87"/>
      <c r="AR81" s="87"/>
      <c r="AS81" s="87"/>
      <c r="AT81" s="87"/>
      <c r="AU81" s="87"/>
      <c r="AV81" s="87"/>
    </row>
    <row r="82" spans="32:48">
      <c r="AF82" s="87"/>
      <c r="AG82" s="87"/>
      <c r="AH82" s="87"/>
      <c r="AI82" s="87"/>
      <c r="AJ82" s="87"/>
      <c r="AK82" s="87"/>
      <c r="AL82" s="87"/>
      <c r="AM82" s="87"/>
      <c r="AN82" s="87"/>
      <c r="AO82" s="87"/>
      <c r="AP82" s="87"/>
      <c r="AQ82" s="87"/>
      <c r="AR82" s="87"/>
      <c r="AS82" s="87"/>
      <c r="AT82" s="87"/>
      <c r="AU82" s="87"/>
      <c r="AV82" s="87"/>
    </row>
    <row r="83" spans="32:48">
      <c r="AF83" s="87"/>
      <c r="AG83" s="87"/>
      <c r="AH83" s="87"/>
      <c r="AI83" s="87"/>
      <c r="AJ83" s="87"/>
      <c r="AK83" s="87"/>
      <c r="AL83" s="87"/>
      <c r="AM83" s="87"/>
      <c r="AN83" s="87"/>
      <c r="AO83" s="87"/>
      <c r="AP83" s="87"/>
      <c r="AQ83" s="87"/>
      <c r="AR83" s="87"/>
      <c r="AS83" s="87"/>
      <c r="AT83" s="87"/>
      <c r="AU83" s="87"/>
      <c r="AV83" s="87"/>
    </row>
    <row r="84" spans="32:48">
      <c r="AF84" s="87"/>
      <c r="AG84" s="87"/>
      <c r="AH84" s="87"/>
      <c r="AI84" s="87"/>
      <c r="AJ84" s="87"/>
      <c r="AK84" s="87"/>
      <c r="AL84" s="87"/>
      <c r="AM84" s="87"/>
      <c r="AN84" s="87"/>
      <c r="AO84" s="87"/>
      <c r="AP84" s="87"/>
      <c r="AQ84" s="87"/>
      <c r="AR84" s="87"/>
      <c r="AS84" s="87"/>
      <c r="AT84" s="87"/>
      <c r="AU84" s="87"/>
      <c r="AV84" s="87"/>
    </row>
    <row r="85" spans="32:48">
      <c r="AP85" s="87"/>
      <c r="AU85" s="87"/>
    </row>
    <row r="86" spans="32:48">
      <c r="AP86" s="87"/>
      <c r="AU86" s="87"/>
    </row>
    <row r="87" spans="32:48">
      <c r="AP87" s="87"/>
      <c r="AU87" s="87"/>
    </row>
    <row r="88" spans="32:48">
      <c r="AP88" s="87"/>
      <c r="AU88" s="87"/>
    </row>
    <row r="89" spans="32:48">
      <c r="AP89" s="87"/>
      <c r="AU89" s="87"/>
    </row>
    <row r="90" spans="32:48">
      <c r="AP90" s="87"/>
      <c r="AU90" s="87"/>
    </row>
    <row r="91" spans="32:48">
      <c r="AP91" s="87"/>
      <c r="AU91" s="87"/>
    </row>
    <row r="92" spans="32:48">
      <c r="AP92" s="87"/>
      <c r="AU92" s="87"/>
    </row>
    <row r="93" spans="32:48">
      <c r="AP93" s="87"/>
      <c r="AU93" s="87"/>
    </row>
    <row r="94" spans="32:48">
      <c r="AP94" s="87"/>
      <c r="AU94" s="87"/>
    </row>
    <row r="95" spans="32:48">
      <c r="AP95" s="87"/>
      <c r="AU95" s="87"/>
    </row>
    <row r="96" spans="32:48">
      <c r="AP96" s="87"/>
      <c r="AU96" s="87"/>
    </row>
    <row r="97" spans="42:47">
      <c r="AP97" s="87"/>
      <c r="AU97" s="87"/>
    </row>
    <row r="98" spans="42:47">
      <c r="AP98" s="87"/>
      <c r="AU98" s="87"/>
    </row>
    <row r="99" spans="42:47">
      <c r="AP99" s="87"/>
      <c r="AU99" s="87"/>
    </row>
    <row r="100" spans="42:47">
      <c r="AP100" s="87"/>
      <c r="AU100" s="87"/>
    </row>
    <row r="101" spans="42:47">
      <c r="AP101" s="87"/>
      <c r="AU101" s="87"/>
    </row>
    <row r="102" spans="42:47">
      <c r="AP102" s="87"/>
      <c r="AU102" s="87"/>
    </row>
    <row r="103" spans="42:47">
      <c r="AP103" s="87"/>
      <c r="AU103" s="87"/>
    </row>
    <row r="104" spans="42:47">
      <c r="AP104" s="87"/>
      <c r="AU104" s="87"/>
    </row>
    <row r="105" spans="42:47">
      <c r="AP105" s="87"/>
      <c r="AU105" s="87"/>
    </row>
    <row r="106" spans="42:47">
      <c r="AP106" s="87"/>
      <c r="AU106" s="87"/>
    </row>
    <row r="107" spans="42:47">
      <c r="AP107" s="87"/>
      <c r="AU107" s="87"/>
    </row>
    <row r="108" spans="42:47"/>
    <row r="109" spans="42:47"/>
    <row r="110" spans="42:47"/>
    <row r="111" spans="42:47"/>
    <row r="112" spans="42:47"/>
    <row r="113"/>
    <row r="114"/>
    <row r="115"/>
    <row r="116"/>
    <row r="117"/>
    <row r="118"/>
    <row r="119"/>
    <row r="120"/>
    <row r="121"/>
    <row r="122"/>
    <row r="123"/>
    <row r="124"/>
    <row r="125"/>
    <row r="126"/>
    <row r="127"/>
    <row r="128"/>
    <row r="129"/>
    <row r="130"/>
    <row r="131"/>
    <row r="132"/>
  </sheetData>
  <sheetProtection selectLockedCells="1" selectUnlockedCells="1"/>
  <mergeCells count="1">
    <mergeCell ref="AB2:AC2"/>
  </mergeCells>
  <conditionalFormatting sqref="M73:M76 M65:M68 M57:M60 M49:M52 M41:M44 M33:M36 M25:M28 M17:M20">
    <cfRule type="cellIs" dxfId="22" priority="1" stopIfTrue="1" operator="equal">
      <formula>"L"</formula>
    </cfRule>
  </conditionalFormatting>
  <pageMargins left="0.75" right="0.75" top="1" bottom="1" header="0.51180555555555551" footer="0.51180555555555551"/>
  <pageSetup paperSize="9" firstPageNumber="0" orientation="portrait" horizontalDpi="300" verticalDpi="300" r:id="rId1"/>
  <headerFooter alignWithMargins="0"/>
  <drawing r:id="rId2"/>
  <legacyDrawing r:id="rId3"/>
</worksheet>
</file>

<file path=xl/worksheets/sheet30.xml><?xml version="1.0" encoding="utf-8"?>
<worksheet xmlns="http://schemas.openxmlformats.org/spreadsheetml/2006/main" xmlns:r="http://schemas.openxmlformats.org/officeDocument/2006/relationships">
  <sheetPr codeName="Blad8">
    <tabColor rgb="FFFFC000"/>
  </sheetPr>
  <dimension ref="A1:U295"/>
  <sheetViews>
    <sheetView zoomScale="80" zoomScaleNormal="80" workbookViewId="0">
      <selection activeCell="F12" sqref="F12"/>
    </sheetView>
  </sheetViews>
  <sheetFormatPr defaultRowHeight="15"/>
  <cols>
    <col min="1" max="1" width="6.7109375" style="188" customWidth="1"/>
    <col min="2" max="2" width="9.140625" style="189"/>
    <col min="3" max="3" width="10.140625" style="189" bestFit="1" customWidth="1"/>
    <col min="4"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575</v>
      </c>
      <c r="L1" s="194"/>
      <c r="P1" s="193">
        <f>SUM(P14:P101)+E11+H11+L7+L11+Q11</f>
        <v>385</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Spanje</v>
      </c>
      <c r="E3" s="222">
        <f t="shared" ref="E3:E10" si="3">IF(ISNA(MATCH(D3,teams_achtste,0)),0,10)</f>
        <v>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Ivoorkust</v>
      </c>
      <c r="C4" s="222">
        <f t="shared" si="1"/>
        <v>0</v>
      </c>
      <c r="D4" s="224" t="str">
        <f t="shared" si="2"/>
        <v>Italië</v>
      </c>
      <c r="E4" s="222">
        <f t="shared" si="3"/>
        <v>0</v>
      </c>
      <c r="F4" s="339" t="s">
        <v>450</v>
      </c>
      <c r="G4" s="195" t="str">
        <f>G88</f>
        <v>Italië</v>
      </c>
      <c r="H4" s="222">
        <f t="shared" si="4"/>
        <v>0</v>
      </c>
      <c r="I4" s="339" t="s">
        <v>458</v>
      </c>
      <c r="J4" s="195" t="str">
        <f>G94</f>
        <v>Duitsland</v>
      </c>
      <c r="L4" s="222">
        <f>IF(ISNA(MATCH(J4,teams_halve,0)),0,20)</f>
        <v>20</v>
      </c>
      <c r="Q4" s="224"/>
    </row>
    <row r="5" spans="1:21" s="195" customFormat="1" ht="15" customHeight="1">
      <c r="B5" s="224" t="str">
        <f t="shared" si="0"/>
        <v>Nederland</v>
      </c>
      <c r="C5" s="222">
        <f t="shared" si="1"/>
        <v>10</v>
      </c>
      <c r="D5" s="224" t="str">
        <f t="shared" si="2"/>
        <v>Mexico</v>
      </c>
      <c r="E5" s="222">
        <f t="shared" si="3"/>
        <v>10</v>
      </c>
      <c r="F5" s="339" t="s">
        <v>451</v>
      </c>
      <c r="G5" s="195" t="str">
        <f>E90</f>
        <v>Nederland</v>
      </c>
      <c r="H5" s="222">
        <f t="shared" si="4"/>
        <v>15</v>
      </c>
      <c r="I5" s="339" t="s">
        <v>459</v>
      </c>
      <c r="J5" s="195" t="str">
        <f>E95</f>
        <v>Engeland</v>
      </c>
      <c r="L5" s="222">
        <f>IF(ISNA(MATCH(J5,teams_halve,0)),0,20)</f>
        <v>0</v>
      </c>
    </row>
    <row r="6" spans="1:21" s="195" customFormat="1" ht="15" customHeight="1">
      <c r="B6" s="224" t="str">
        <f t="shared" si="0"/>
        <v>Engeland</v>
      </c>
      <c r="C6" s="222">
        <f t="shared" si="1"/>
        <v>0</v>
      </c>
      <c r="D6" s="224" t="str">
        <f t="shared" si="2"/>
        <v>Japan</v>
      </c>
      <c r="E6" s="222">
        <f t="shared" si="3"/>
        <v>0</v>
      </c>
      <c r="F6" s="339" t="s">
        <v>452</v>
      </c>
      <c r="G6" s="195" t="str">
        <f>G90</f>
        <v>Engeland</v>
      </c>
      <c r="H6" s="222">
        <f t="shared" si="4"/>
        <v>0</v>
      </c>
      <c r="I6" s="339" t="s">
        <v>460</v>
      </c>
      <c r="J6" s="195" t="str">
        <f>G95</f>
        <v>Argentinië</v>
      </c>
      <c r="L6" s="222">
        <f>IF(ISNA(MATCH(J6,teams_halve,0)),0,20)</f>
        <v>20</v>
      </c>
    </row>
    <row r="7" spans="1:21" s="195" customFormat="1" ht="15" customHeight="1">
      <c r="B7" s="224" t="str">
        <f t="shared" si="0"/>
        <v>Zwitserland</v>
      </c>
      <c r="C7" s="222">
        <f t="shared" si="1"/>
        <v>10</v>
      </c>
      <c r="D7" s="224" t="str">
        <f t="shared" si="2"/>
        <v>Nigeria</v>
      </c>
      <c r="E7" s="222">
        <f t="shared" si="3"/>
        <v>10</v>
      </c>
      <c r="F7" s="339" t="s">
        <v>453</v>
      </c>
      <c r="G7" s="195" t="str">
        <f>E89</f>
        <v>Zwitserland</v>
      </c>
      <c r="H7" s="222">
        <f t="shared" si="4"/>
        <v>0</v>
      </c>
      <c r="I7" s="339"/>
      <c r="J7" s="198" t="s">
        <v>83</v>
      </c>
      <c r="K7" s="199"/>
      <c r="L7" s="225">
        <f>SUM(L3:L6)</f>
        <v>60</v>
      </c>
    </row>
    <row r="8" spans="1:21" s="195" customFormat="1" ht="15" customHeight="1">
      <c r="B8" s="224" t="str">
        <f t="shared" si="0"/>
        <v>Duitsland</v>
      </c>
      <c r="C8" s="222">
        <f t="shared" si="1"/>
        <v>10</v>
      </c>
      <c r="D8" s="224" t="str">
        <f t="shared" si="2"/>
        <v>Rusland</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Frankrijk</v>
      </c>
      <c r="E9" s="222">
        <f t="shared" si="3"/>
        <v>10</v>
      </c>
      <c r="F9" s="339" t="s">
        <v>455</v>
      </c>
      <c r="G9" s="195" t="str">
        <f>E91</f>
        <v>Argentinië</v>
      </c>
      <c r="H9" s="222">
        <f t="shared" si="4"/>
        <v>15</v>
      </c>
      <c r="I9" s="339" t="s">
        <v>461</v>
      </c>
      <c r="J9" s="195" t="str">
        <f>E101</f>
        <v>Brazilië</v>
      </c>
      <c r="L9" s="222">
        <f>IF(ISNA(MATCH(J9,teams_fin,0)),0,30)</f>
        <v>0</v>
      </c>
      <c r="P9" s="444" t="str">
        <f>E98</f>
        <v>Duitsland</v>
      </c>
      <c r="Q9" s="222">
        <f>IF(ISNA(MATCH(P9,teams_troost,0)),0,25)</f>
        <v>0</v>
      </c>
    </row>
    <row r="10" spans="1:21" s="195" customFormat="1" ht="15" customHeight="1">
      <c r="B10" s="224" t="str">
        <f t="shared" si="0"/>
        <v>België</v>
      </c>
      <c r="C10" s="222">
        <f t="shared" si="1"/>
        <v>10</v>
      </c>
      <c r="D10" s="224" t="str">
        <f t="shared" si="2"/>
        <v>Ghana</v>
      </c>
      <c r="E10" s="222">
        <f t="shared" si="3"/>
        <v>0</v>
      </c>
      <c r="F10" s="339" t="s">
        <v>456</v>
      </c>
      <c r="G10" s="195" t="str">
        <f>G91</f>
        <v>Ghana</v>
      </c>
      <c r="H10" s="222">
        <f t="shared" si="4"/>
        <v>0</v>
      </c>
      <c r="I10" s="339" t="s">
        <v>462</v>
      </c>
      <c r="J10" s="195" t="str">
        <f>G101</f>
        <v>Engeland</v>
      </c>
      <c r="L10" s="222">
        <f>IF(ISNA(MATCH(J10,teams_fin,0)),0,30)</f>
        <v>0</v>
      </c>
      <c r="P10" s="444" t="str">
        <f>G98</f>
        <v>Argentinië</v>
      </c>
      <c r="Q10" s="222">
        <f>IF(ISNA(MATCH(P10,teams_troost,0)),0,25)</f>
        <v>0</v>
      </c>
    </row>
    <row r="11" spans="1:21" s="195" customFormat="1" ht="15" customHeight="1">
      <c r="D11" s="198" t="s">
        <v>89</v>
      </c>
      <c r="E11" s="225">
        <f>SUM(C3:E10)</f>
        <v>90</v>
      </c>
      <c r="G11" s="198" t="s">
        <v>82</v>
      </c>
      <c r="H11" s="225">
        <f>SUM(H3:H10)</f>
        <v>60</v>
      </c>
      <c r="J11" s="198" t="s">
        <v>90</v>
      </c>
      <c r="K11" s="199"/>
      <c r="L11" s="225">
        <f>SUM(L9:L10)</f>
        <v>0</v>
      </c>
      <c r="P11" s="199"/>
      <c r="Q11" s="225">
        <f>SUM(Q9:Q10)</f>
        <v>0</v>
      </c>
    </row>
    <row r="12" spans="1:21">
      <c r="B12" s="201" t="s">
        <v>19</v>
      </c>
      <c r="C12" s="201"/>
      <c r="D12" s="339" t="s">
        <v>463</v>
      </c>
      <c r="E12" s="202" t="s">
        <v>109</v>
      </c>
      <c r="F12" s="226">
        <f>IF(ISNA(MATCH(E12,Invulblad!F104,0)),0,50)</f>
        <v>0</v>
      </c>
      <c r="G12" s="201"/>
      <c r="H12" s="201"/>
      <c r="I12" s="201"/>
      <c r="J12" s="201"/>
      <c r="K12" s="201"/>
      <c r="L12" s="203"/>
      <c r="M12" s="201"/>
      <c r="N12" s="201"/>
      <c r="O12" s="201"/>
    </row>
    <row r="13" spans="1:21">
      <c r="A13" s="188" t="s">
        <v>91</v>
      </c>
      <c r="B13" s="204" t="s">
        <v>272</v>
      </c>
      <c r="C13" s="204" t="s">
        <v>420</v>
      </c>
      <c r="D13" s="204" t="s">
        <v>421</v>
      </c>
      <c r="E13" s="205" t="s">
        <v>145</v>
      </c>
      <c r="F13" s="206" t="s">
        <v>29</v>
      </c>
      <c r="G13" s="204" t="s">
        <v>145</v>
      </c>
      <c r="H13" s="365" t="s">
        <v>93</v>
      </c>
      <c r="I13" s="365"/>
      <c r="J13" s="365"/>
      <c r="K13" s="206" t="s">
        <v>20</v>
      </c>
      <c r="L13" s="207"/>
      <c r="M13" s="206" t="s">
        <v>94</v>
      </c>
      <c r="N13" s="206"/>
      <c r="O13" s="206"/>
      <c r="P13" s="201" t="s">
        <v>95</v>
      </c>
    </row>
    <row r="14" spans="1:21">
      <c r="A14" s="188">
        <v>1</v>
      </c>
      <c r="B14" s="195">
        <v>1</v>
      </c>
      <c r="C14" s="336">
        <v>41802</v>
      </c>
      <c r="D14" s="338">
        <v>0.91666666666666663</v>
      </c>
      <c r="E14" s="189" t="s">
        <v>557</v>
      </c>
      <c r="F14" s="189" t="s">
        <v>29</v>
      </c>
      <c r="G14" s="189" t="s">
        <v>558</v>
      </c>
      <c r="H14" s="366">
        <v>3</v>
      </c>
      <c r="I14" s="366" t="s">
        <v>29</v>
      </c>
      <c r="J14" s="366">
        <v>1</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10</v>
      </c>
    </row>
    <row r="15" spans="1:21">
      <c r="A15" s="188">
        <v>2</v>
      </c>
      <c r="B15" s="195">
        <v>2</v>
      </c>
      <c r="C15" s="336">
        <v>41803</v>
      </c>
      <c r="D15" s="338">
        <v>0.75</v>
      </c>
      <c r="E15" s="189" t="s">
        <v>101</v>
      </c>
      <c r="F15" s="189" t="s">
        <v>29</v>
      </c>
      <c r="G15" s="189" t="s">
        <v>119</v>
      </c>
      <c r="H15" s="366">
        <v>2</v>
      </c>
      <c r="I15" s="366" t="s">
        <v>29</v>
      </c>
      <c r="J15" s="366">
        <v>1</v>
      </c>
      <c r="K15" s="212" t="str">
        <f t="shared" si="5"/>
        <v>1</v>
      </c>
      <c r="L15" s="210" t="str">
        <f>VLOOKUP($B15,Invulblad!$A$11:$S$103,13,0)</f>
        <v>1</v>
      </c>
      <c r="M15" s="211">
        <f>IF(L15&lt;&gt;"",VLOOKUP($B15,Invulblad!$A$11:$S$103,7,0),"")</f>
        <v>1</v>
      </c>
      <c r="N15" s="209" t="s">
        <v>29</v>
      </c>
      <c r="O15" s="211">
        <f>IF(L15&lt;&gt;"",VLOOKUP($B15,Invulblad!$A$11:$S$103,9,0),"")</f>
        <v>0</v>
      </c>
      <c r="P15" s="212">
        <f t="shared" si="6"/>
        <v>5</v>
      </c>
    </row>
    <row r="16" spans="1:21">
      <c r="A16" s="188">
        <v>3</v>
      </c>
      <c r="B16" s="195">
        <v>17</v>
      </c>
      <c r="C16" s="336">
        <v>41807</v>
      </c>
      <c r="D16" s="338">
        <v>0.875</v>
      </c>
      <c r="E16" s="189" t="s">
        <v>557</v>
      </c>
      <c r="F16" s="189" t="s">
        <v>29</v>
      </c>
      <c r="G16" s="189" t="s">
        <v>96</v>
      </c>
      <c r="H16" s="366">
        <v>2</v>
      </c>
      <c r="I16" s="366" t="s">
        <v>29</v>
      </c>
      <c r="J16" s="366">
        <v>0</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6">
        <v>41809</v>
      </c>
      <c r="D17" s="338">
        <v>0</v>
      </c>
      <c r="E17" s="189" t="s">
        <v>121</v>
      </c>
      <c r="F17" s="189" t="s">
        <v>29</v>
      </c>
      <c r="G17" s="189" t="s">
        <v>558</v>
      </c>
      <c r="H17" s="366">
        <v>1</v>
      </c>
      <c r="I17" s="366" t="s">
        <v>29</v>
      </c>
      <c r="J17" s="366">
        <v>2</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6">
        <v>41813</v>
      </c>
      <c r="D18" s="338">
        <v>0.91666666666666663</v>
      </c>
      <c r="E18" s="189" t="s">
        <v>121</v>
      </c>
      <c r="F18" s="189" t="s">
        <v>29</v>
      </c>
      <c r="G18" s="189" t="s">
        <v>559</v>
      </c>
      <c r="H18" s="366">
        <v>0</v>
      </c>
      <c r="I18" s="366" t="s">
        <v>29</v>
      </c>
      <c r="J18" s="366">
        <v>2</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6">
        <v>41813</v>
      </c>
      <c r="D19" s="338">
        <v>0.91666666666666663</v>
      </c>
      <c r="E19" s="189" t="s">
        <v>560</v>
      </c>
      <c r="F19" s="189" t="s">
        <v>29</v>
      </c>
      <c r="G19" s="189" t="s">
        <v>96</v>
      </c>
      <c r="H19" s="366">
        <v>1</v>
      </c>
      <c r="I19" s="366" t="s">
        <v>29</v>
      </c>
      <c r="J19" s="366">
        <v>2</v>
      </c>
      <c r="K19" s="212">
        <f t="shared" si="5"/>
        <v>2</v>
      </c>
      <c r="L19" s="210">
        <f>VLOOKUP($B19,Invulblad!$A$11:$S$103,13,0)</f>
        <v>2</v>
      </c>
      <c r="M19" s="211">
        <f>IF(L19&lt;&gt;"",VLOOKUP($B19,Invulblad!$A$11:$S$103,7,0),"")</f>
        <v>1</v>
      </c>
      <c r="N19" s="209" t="s">
        <v>29</v>
      </c>
      <c r="O19" s="211">
        <f>IF(L19&lt;&gt;"",VLOOKUP($B19,Invulblad!$A$11:$S$103,9,0),"")</f>
        <v>3</v>
      </c>
      <c r="P19" s="212">
        <f t="shared" si="6"/>
        <v>5</v>
      </c>
    </row>
    <row r="20" spans="1:16">
      <c r="A20" s="188">
        <v>7</v>
      </c>
      <c r="B20" s="201" t="s">
        <v>30</v>
      </c>
      <c r="C20" s="337"/>
      <c r="D20" s="337"/>
      <c r="H20" s="367"/>
      <c r="I20" s="367"/>
      <c r="J20" s="367"/>
      <c r="K20" s="213" t="str">
        <f t="shared" si="5"/>
        <v/>
      </c>
      <c r="L20" s="210"/>
      <c r="M20" s="211" t="str">
        <f>IF(L20&lt;&gt;"",VLOOKUP($B20,Invulblad!$A$11:$S$103,7,0),"")</f>
        <v/>
      </c>
      <c r="N20" s="201"/>
      <c r="O20" s="211" t="str">
        <f>IF(L20&lt;&gt;"",VLOOKUP($B20,Invulblad!$A$11:$S$103,9,0),"")</f>
        <v/>
      </c>
    </row>
    <row r="21" spans="1:16">
      <c r="B21" s="201" t="s">
        <v>272</v>
      </c>
      <c r="C21" s="337" t="s">
        <v>420</v>
      </c>
      <c r="D21" s="337" t="s">
        <v>421</v>
      </c>
      <c r="E21" s="189" t="s">
        <v>145</v>
      </c>
      <c r="F21" s="189" t="s">
        <v>29</v>
      </c>
      <c r="G21" s="189" t="s">
        <v>145</v>
      </c>
      <c r="H21" s="365" t="s">
        <v>93</v>
      </c>
      <c r="I21" s="365"/>
      <c r="J21" s="365"/>
      <c r="K21" s="213"/>
      <c r="L21" s="210"/>
      <c r="M21" s="211"/>
      <c r="N21" s="201"/>
      <c r="O21" s="211"/>
    </row>
    <row r="22" spans="1:16">
      <c r="A22" s="188">
        <v>9</v>
      </c>
      <c r="B22" s="195">
        <v>3</v>
      </c>
      <c r="C22" s="336">
        <v>41803</v>
      </c>
      <c r="D22" s="338">
        <v>0.875</v>
      </c>
      <c r="E22" s="189" t="s">
        <v>129</v>
      </c>
      <c r="F22" s="189" t="s">
        <v>29</v>
      </c>
      <c r="G22" s="189" t="s">
        <v>122</v>
      </c>
      <c r="H22" s="366">
        <v>1</v>
      </c>
      <c r="I22" s="366" t="s">
        <v>29</v>
      </c>
      <c r="J22" s="366">
        <v>2</v>
      </c>
      <c r="K22" s="212">
        <f t="shared" si="5"/>
        <v>2</v>
      </c>
      <c r="L22" s="210">
        <f>VLOOKUP($B22,Invulblad!$A$11:$S$103,13,0)</f>
        <v>2</v>
      </c>
      <c r="M22" s="211">
        <f>IF(L22&lt;&gt;"",VLOOKUP($B22,Invulblad!$A$11:$S$103,7,0),"")</f>
        <v>1</v>
      </c>
      <c r="N22" s="209" t="s">
        <v>29</v>
      </c>
      <c r="O22" s="211">
        <f>IF(L22&lt;&gt;"",VLOOKUP($B22,Invulblad!$A$11:$S$103,9,0),"")</f>
        <v>5</v>
      </c>
      <c r="P22" s="212">
        <f t="shared" ref="P22:P27" si="7">IF(L22&lt;&gt;"",IF(AND(M22=H22,O22=J22),10,IF(K22=L22,5,0)),"")</f>
        <v>5</v>
      </c>
    </row>
    <row r="23" spans="1:16">
      <c r="A23" s="188">
        <v>10</v>
      </c>
      <c r="B23" s="195">
        <v>4</v>
      </c>
      <c r="C23" s="336">
        <v>41804</v>
      </c>
      <c r="D23" s="338">
        <v>0</v>
      </c>
      <c r="E23" s="189" t="s">
        <v>131</v>
      </c>
      <c r="F23" s="189" t="s">
        <v>29</v>
      </c>
      <c r="G23" s="189" t="s">
        <v>561</v>
      </c>
      <c r="H23" s="366">
        <v>2</v>
      </c>
      <c r="I23" s="366" t="s">
        <v>29</v>
      </c>
      <c r="J23" s="366">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6">
        <v>41808</v>
      </c>
      <c r="D24" s="338">
        <v>0.875</v>
      </c>
      <c r="E24" s="189" t="s">
        <v>129</v>
      </c>
      <c r="F24" s="189" t="s">
        <v>29</v>
      </c>
      <c r="G24" s="189" t="s">
        <v>128</v>
      </c>
      <c r="H24" s="366">
        <v>2</v>
      </c>
      <c r="I24" s="366" t="s">
        <v>29</v>
      </c>
      <c r="J24" s="366">
        <v>1</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6">
        <v>41808</v>
      </c>
      <c r="D25" s="338">
        <v>0.75</v>
      </c>
      <c r="E25" s="189" t="s">
        <v>562</v>
      </c>
      <c r="F25" s="189" t="s">
        <v>29</v>
      </c>
      <c r="G25" s="189" t="s">
        <v>122</v>
      </c>
      <c r="H25" s="366">
        <v>0</v>
      </c>
      <c r="I25" s="366" t="s">
        <v>29</v>
      </c>
      <c r="J25" s="366">
        <v>3</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6">
        <v>41813</v>
      </c>
      <c r="D26" s="338">
        <v>0.75</v>
      </c>
      <c r="E26" s="189" t="s">
        <v>562</v>
      </c>
      <c r="F26" s="189" t="s">
        <v>29</v>
      </c>
      <c r="G26" s="189" t="s">
        <v>133</v>
      </c>
      <c r="H26" s="366">
        <v>0</v>
      </c>
      <c r="I26" s="366" t="s">
        <v>29</v>
      </c>
      <c r="J26" s="366">
        <v>2</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6">
        <v>41813</v>
      </c>
      <c r="D27" s="338">
        <v>0.75</v>
      </c>
      <c r="E27" s="189" t="s">
        <v>117</v>
      </c>
      <c r="F27" s="189" t="s">
        <v>29</v>
      </c>
      <c r="G27" s="189" t="s">
        <v>128</v>
      </c>
      <c r="H27" s="366">
        <v>1</v>
      </c>
      <c r="I27" s="366" t="s">
        <v>29</v>
      </c>
      <c r="J27" s="366">
        <v>0</v>
      </c>
      <c r="K27" s="212" t="str">
        <f t="shared" si="5"/>
        <v>1</v>
      </c>
      <c r="L27" s="210" t="str">
        <f>VLOOKUP($B27,Invulblad!$A$11:$S$103,13,0)</f>
        <v>1</v>
      </c>
      <c r="M27" s="211">
        <f>IF(L27&lt;&gt;"",VLOOKUP($B27,Invulblad!$A$11:$S$103,7,0),"")</f>
        <v>2</v>
      </c>
      <c r="N27" s="209" t="s">
        <v>29</v>
      </c>
      <c r="O27" s="211">
        <f>IF(L27&lt;&gt;"",VLOOKUP($B27,Invulblad!$A$11:$S$103,9,0),"")</f>
        <v>0</v>
      </c>
      <c r="P27" s="212">
        <f t="shared" si="7"/>
        <v>5</v>
      </c>
    </row>
    <row r="28" spans="1:16">
      <c r="A28" s="188">
        <v>15</v>
      </c>
      <c r="B28" s="201" t="s">
        <v>31</v>
      </c>
      <c r="C28" s="337"/>
      <c r="D28" s="337"/>
      <c r="H28" s="367"/>
      <c r="I28" s="367"/>
      <c r="J28" s="367"/>
      <c r="K28" s="213" t="str">
        <f t="shared" si="5"/>
        <v/>
      </c>
      <c r="L28" s="210"/>
      <c r="M28" s="211" t="str">
        <f>IF(L28&lt;&gt;"",VLOOKUP($B28,Invulblad!$A$11:$S$103,7,0),"")</f>
        <v/>
      </c>
      <c r="N28" s="209"/>
      <c r="O28" s="211" t="str">
        <f>IF(L28&lt;&gt;"",VLOOKUP($B28,Invulblad!$A$11:$S$103,9,0),"")</f>
        <v/>
      </c>
    </row>
    <row r="29" spans="1:16">
      <c r="B29" s="201" t="s">
        <v>272</v>
      </c>
      <c r="C29" s="337" t="s">
        <v>420</v>
      </c>
      <c r="D29" s="337" t="s">
        <v>421</v>
      </c>
      <c r="E29" s="189" t="s">
        <v>145</v>
      </c>
      <c r="F29" s="189" t="s">
        <v>29</v>
      </c>
      <c r="G29" s="189" t="s">
        <v>145</v>
      </c>
      <c r="H29" s="365" t="s">
        <v>93</v>
      </c>
      <c r="I29" s="365"/>
      <c r="J29" s="365"/>
      <c r="K29" s="213"/>
      <c r="L29" s="210"/>
      <c r="M29" s="211"/>
      <c r="N29" s="209"/>
      <c r="O29" s="211"/>
    </row>
    <row r="30" spans="1:16">
      <c r="A30" s="188">
        <v>17</v>
      </c>
      <c r="B30" s="195">
        <v>5</v>
      </c>
      <c r="C30" s="336">
        <v>41804</v>
      </c>
      <c r="D30" s="338">
        <v>0.75</v>
      </c>
      <c r="E30" s="189" t="s">
        <v>428</v>
      </c>
      <c r="F30" s="189" t="s">
        <v>29</v>
      </c>
      <c r="G30" s="189" t="s">
        <v>105</v>
      </c>
      <c r="H30" s="366">
        <v>0</v>
      </c>
      <c r="I30" s="366" t="s">
        <v>29</v>
      </c>
      <c r="J30" s="366">
        <v>0</v>
      </c>
      <c r="K30" s="212">
        <f t="shared" si="5"/>
        <v>3</v>
      </c>
      <c r="L30" s="210" t="str">
        <f>VLOOKUP($B30,Invulblad!$A$11:$S$103,13,0)</f>
        <v>1</v>
      </c>
      <c r="M30" s="211">
        <f>IF(L30&lt;&gt;"",VLOOKUP($B30,Invulblad!$A$11:$S$103,7,0),"")</f>
        <v>3</v>
      </c>
      <c r="N30" s="209" t="s">
        <v>29</v>
      </c>
      <c r="O30" s="211">
        <f>IF(L30&lt;&gt;"",VLOOKUP($B30,Invulblad!$A$11:$S$103,9,0),"")</f>
        <v>0</v>
      </c>
      <c r="P30" s="212">
        <f t="shared" ref="P30:P35" si="8">IF(L30&lt;&gt;"",IF(AND(M30=H30,O30=J30),10,IF(K30=L30,5,0)),"")</f>
        <v>0</v>
      </c>
    </row>
    <row r="31" spans="1:16">
      <c r="A31" s="188">
        <v>18</v>
      </c>
      <c r="B31" s="195">
        <v>6</v>
      </c>
      <c r="C31" s="336">
        <v>41805</v>
      </c>
      <c r="D31" s="338">
        <v>0.125</v>
      </c>
      <c r="E31" s="189" t="s">
        <v>123</v>
      </c>
      <c r="F31" s="189" t="s">
        <v>29</v>
      </c>
      <c r="G31" s="189" t="s">
        <v>120</v>
      </c>
      <c r="H31" s="366">
        <v>3</v>
      </c>
      <c r="I31" s="366" t="s">
        <v>29</v>
      </c>
      <c r="J31" s="366">
        <v>1</v>
      </c>
      <c r="K31" s="212" t="str">
        <f t="shared" si="5"/>
        <v>1</v>
      </c>
      <c r="L31" s="210" t="str">
        <f>VLOOKUP($B31,Invulblad!$A$11:$S$103,13,0)</f>
        <v>1</v>
      </c>
      <c r="M31" s="211">
        <f>IF(L31&lt;&gt;"",VLOOKUP($B31,Invulblad!$A$11:$S$103,7,0),"")</f>
        <v>2</v>
      </c>
      <c r="N31" s="209" t="s">
        <v>29</v>
      </c>
      <c r="O31" s="211">
        <f>IF(L31&lt;&gt;"",VLOOKUP($B31,Invulblad!$A$11:$S$103,9,0),"")</f>
        <v>1</v>
      </c>
      <c r="P31" s="212">
        <f t="shared" si="8"/>
        <v>5</v>
      </c>
    </row>
    <row r="32" spans="1:16">
      <c r="A32" s="188">
        <v>19</v>
      </c>
      <c r="B32" s="195">
        <v>21</v>
      </c>
      <c r="C32" s="336">
        <v>41809</v>
      </c>
      <c r="D32" s="338">
        <v>0.75</v>
      </c>
      <c r="E32" s="189" t="s">
        <v>428</v>
      </c>
      <c r="F32" s="189" t="s">
        <v>29</v>
      </c>
      <c r="G32" s="189" t="s">
        <v>125</v>
      </c>
      <c r="H32" s="366">
        <v>0</v>
      </c>
      <c r="I32" s="366" t="s">
        <v>29</v>
      </c>
      <c r="J32" s="366">
        <v>1</v>
      </c>
      <c r="K32" s="212">
        <f t="shared" si="5"/>
        <v>2</v>
      </c>
      <c r="L32" s="210" t="str">
        <f>VLOOKUP($B32,Invulblad!$A$11:$S$103,13,0)</f>
        <v>1</v>
      </c>
      <c r="M32" s="211">
        <f>IF(L32&lt;&gt;"",VLOOKUP($B32,Invulblad!$A$11:$S$103,7,0),"")</f>
        <v>2</v>
      </c>
      <c r="N32" s="209" t="s">
        <v>29</v>
      </c>
      <c r="O32" s="211">
        <f>IF(L32&lt;&gt;"",VLOOKUP($B32,Invulblad!$A$11:$S$103,9,0),"")</f>
        <v>1</v>
      </c>
      <c r="P32" s="212">
        <f t="shared" si="8"/>
        <v>0</v>
      </c>
    </row>
    <row r="33" spans="1:16">
      <c r="A33" s="188">
        <v>20</v>
      </c>
      <c r="B33" s="195">
        <v>22</v>
      </c>
      <c r="C33" s="336">
        <v>41810</v>
      </c>
      <c r="D33" s="338">
        <v>0</v>
      </c>
      <c r="E33" s="189" t="s">
        <v>118</v>
      </c>
      <c r="F33" s="189" t="s">
        <v>29</v>
      </c>
      <c r="G33" s="189" t="s">
        <v>105</v>
      </c>
      <c r="H33" s="366">
        <v>1</v>
      </c>
      <c r="I33" s="366" t="s">
        <v>29</v>
      </c>
      <c r="J33" s="366">
        <v>0</v>
      </c>
      <c r="K33" s="212" t="str">
        <f t="shared" si="5"/>
        <v>1</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6">
        <v>41814</v>
      </c>
      <c r="D34" s="338">
        <v>0.91666666666666663</v>
      </c>
      <c r="E34" s="189" t="s">
        <v>118</v>
      </c>
      <c r="F34" s="189" t="s">
        <v>29</v>
      </c>
      <c r="G34" s="189" t="s">
        <v>429</v>
      </c>
      <c r="H34" s="366">
        <v>1</v>
      </c>
      <c r="I34" s="366" t="s">
        <v>29</v>
      </c>
      <c r="J34" s="366">
        <v>0</v>
      </c>
      <c r="K34" s="212" t="str">
        <f t="shared" si="5"/>
        <v>1</v>
      </c>
      <c r="L34" s="210">
        <f>VLOOKUP($B34,Invulblad!$A$11:$S$103,13,0)</f>
        <v>2</v>
      </c>
      <c r="M34" s="211">
        <f>IF(L34&lt;&gt;"",VLOOKUP($B34,Invulblad!$A$11:$S$103,7,0),"")</f>
        <v>1</v>
      </c>
      <c r="N34" s="209" t="s">
        <v>29</v>
      </c>
      <c r="O34" s="211">
        <f>IF(L34&lt;&gt;"",VLOOKUP($B34,Invulblad!$A$11:$S$103,9,0),"")</f>
        <v>4</v>
      </c>
      <c r="P34" s="212">
        <f t="shared" si="8"/>
        <v>0</v>
      </c>
    </row>
    <row r="35" spans="1:16">
      <c r="A35" s="188">
        <v>22</v>
      </c>
      <c r="B35" s="195">
        <v>38</v>
      </c>
      <c r="C35" s="336">
        <v>41814</v>
      </c>
      <c r="D35" s="338">
        <v>0.91666666666666663</v>
      </c>
      <c r="E35" s="189" t="s">
        <v>233</v>
      </c>
      <c r="F35" s="189" t="s">
        <v>29</v>
      </c>
      <c r="G35" s="189" t="s">
        <v>125</v>
      </c>
      <c r="H35" s="366">
        <v>1</v>
      </c>
      <c r="I35" s="366" t="s">
        <v>29</v>
      </c>
      <c r="J35" s="366">
        <v>1</v>
      </c>
      <c r="K35" s="212">
        <f t="shared" si="5"/>
        <v>3</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C36" s="337"/>
      <c r="D36" s="337"/>
      <c r="H36" s="367"/>
      <c r="I36" s="367"/>
      <c r="J36" s="367"/>
      <c r="K36" s="213" t="str">
        <f t="shared" si="5"/>
        <v/>
      </c>
      <c r="L36" s="210"/>
      <c r="M36" s="211" t="str">
        <f>IF(L36&lt;&gt;"",VLOOKUP($B36,Invulblad!$A$11:$S$103,7,0),"")</f>
        <v/>
      </c>
      <c r="N36" s="209"/>
      <c r="O36" s="211" t="str">
        <f>IF(L36&lt;&gt;"",VLOOKUP($B36,Invulblad!$A$11:$S$103,9,0),"")</f>
        <v/>
      </c>
    </row>
    <row r="37" spans="1:16">
      <c r="B37" s="201" t="s">
        <v>272</v>
      </c>
      <c r="C37" s="337" t="s">
        <v>420</v>
      </c>
      <c r="D37" s="337" t="s">
        <v>421</v>
      </c>
      <c r="E37" s="189" t="s">
        <v>145</v>
      </c>
      <c r="F37" s="189" t="s">
        <v>29</v>
      </c>
      <c r="G37" s="189" t="s">
        <v>145</v>
      </c>
      <c r="H37" s="365" t="s">
        <v>93</v>
      </c>
      <c r="I37" s="365"/>
      <c r="J37" s="365"/>
      <c r="K37" s="213"/>
      <c r="L37" s="210"/>
      <c r="M37" s="211"/>
      <c r="N37" s="209"/>
      <c r="O37" s="211"/>
    </row>
    <row r="38" spans="1:16">
      <c r="A38" s="188">
        <v>25</v>
      </c>
      <c r="B38" s="195">
        <v>7</v>
      </c>
      <c r="C38" s="336">
        <v>41804</v>
      </c>
      <c r="D38" s="338">
        <v>0.875</v>
      </c>
      <c r="E38" s="189" t="s">
        <v>231</v>
      </c>
      <c r="F38" s="189" t="s">
        <v>29</v>
      </c>
      <c r="G38" s="189" t="s">
        <v>430</v>
      </c>
      <c r="H38" s="366">
        <v>2</v>
      </c>
      <c r="I38" s="366" t="s">
        <v>29</v>
      </c>
      <c r="J38" s="366">
        <v>0</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6">
        <v>41805</v>
      </c>
      <c r="D39" s="338">
        <v>0</v>
      </c>
      <c r="E39" s="189" t="s">
        <v>235</v>
      </c>
      <c r="F39" s="189" t="s">
        <v>29</v>
      </c>
      <c r="G39" s="189" t="s">
        <v>563</v>
      </c>
      <c r="H39" s="366">
        <v>2</v>
      </c>
      <c r="I39" s="366" t="s">
        <v>29</v>
      </c>
      <c r="J39" s="366">
        <v>1</v>
      </c>
      <c r="K39" s="212" t="str">
        <f t="shared" si="5"/>
        <v>1</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6">
        <v>41809</v>
      </c>
      <c r="D40" s="338">
        <v>0.875</v>
      </c>
      <c r="E40" s="189" t="s">
        <v>231</v>
      </c>
      <c r="F40" s="189" t="s">
        <v>29</v>
      </c>
      <c r="G40" s="189" t="s">
        <v>112</v>
      </c>
      <c r="H40" s="366">
        <v>0</v>
      </c>
      <c r="I40" s="366" t="s">
        <v>29</v>
      </c>
      <c r="J40" s="366">
        <v>2</v>
      </c>
      <c r="K40" s="212">
        <f t="shared" si="5"/>
        <v>2</v>
      </c>
      <c r="L40" s="210" t="str">
        <f>VLOOKUP($B40,Invulblad!$A$11:$S$103,13,0)</f>
        <v>1</v>
      </c>
      <c r="M40" s="211">
        <f>IF(L40&lt;&gt;"",VLOOKUP($B40,Invulblad!$A$11:$S$103,7,0),"")</f>
        <v>2</v>
      </c>
      <c r="N40" s="209" t="s">
        <v>29</v>
      </c>
      <c r="O40" s="211">
        <f>IF(L40&lt;&gt;"",VLOOKUP($B40,Invulblad!$A$11:$S$103,9,0),"")</f>
        <v>1</v>
      </c>
      <c r="P40" s="212">
        <f t="shared" si="9"/>
        <v>0</v>
      </c>
    </row>
    <row r="41" spans="1:16">
      <c r="A41" s="188">
        <v>28</v>
      </c>
      <c r="B41" s="195">
        <v>24</v>
      </c>
      <c r="C41" s="336">
        <v>41810</v>
      </c>
      <c r="D41" s="338">
        <v>0.75</v>
      </c>
      <c r="E41" s="189" t="s">
        <v>564</v>
      </c>
      <c r="F41" s="189" t="s">
        <v>29</v>
      </c>
      <c r="G41" s="189" t="s">
        <v>430</v>
      </c>
      <c r="H41" s="366">
        <v>2</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6">
        <v>41814</v>
      </c>
      <c r="D42" s="338">
        <v>0.75</v>
      </c>
      <c r="E42" s="189" t="s">
        <v>564</v>
      </c>
      <c r="F42" s="189" t="s">
        <v>29</v>
      </c>
      <c r="G42" s="189" t="s">
        <v>99</v>
      </c>
      <c r="H42" s="366">
        <v>2</v>
      </c>
      <c r="I42" s="366" t="s">
        <v>29</v>
      </c>
      <c r="J42" s="366">
        <v>1</v>
      </c>
      <c r="K42" s="212" t="str">
        <f t="shared" si="5"/>
        <v>1</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6">
        <v>41814</v>
      </c>
      <c r="D43" s="338">
        <v>0.75</v>
      </c>
      <c r="E43" s="189" t="s">
        <v>433</v>
      </c>
      <c r="F43" s="189" t="s">
        <v>29</v>
      </c>
      <c r="G43" s="189" t="s">
        <v>112</v>
      </c>
      <c r="H43" s="366">
        <v>0</v>
      </c>
      <c r="I43" s="366" t="s">
        <v>29</v>
      </c>
      <c r="J43" s="366">
        <v>2</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C44" s="337"/>
      <c r="D44" s="337"/>
      <c r="H44" s="367"/>
      <c r="I44" s="367"/>
      <c r="J44" s="367"/>
      <c r="K44" s="213" t="str">
        <f t="shared" si="5"/>
        <v/>
      </c>
      <c r="L44" s="210"/>
      <c r="M44" s="211" t="str">
        <f>IF(L44&lt;&gt;"",VLOOKUP($B44,Invulblad!$A$11:$S$103,7,0),"")</f>
        <v/>
      </c>
      <c r="N44" s="209"/>
      <c r="O44" s="211" t="str">
        <f>IF(L44&lt;&gt;"",VLOOKUP($B44,Invulblad!$A$11:$S$103,9,0),"")</f>
        <v/>
      </c>
    </row>
    <row r="45" spans="1:16">
      <c r="B45" s="201" t="s">
        <v>272</v>
      </c>
      <c r="C45" s="337" t="s">
        <v>420</v>
      </c>
      <c r="D45" s="337" t="s">
        <v>421</v>
      </c>
      <c r="E45" s="189" t="s">
        <v>145</v>
      </c>
      <c r="F45" s="189" t="s">
        <v>29</v>
      </c>
      <c r="G45" s="189" t="s">
        <v>145</v>
      </c>
      <c r="H45" s="365" t="s">
        <v>93</v>
      </c>
      <c r="I45" s="365"/>
      <c r="J45" s="365"/>
      <c r="K45" s="213"/>
      <c r="L45" s="210"/>
      <c r="M45" s="211"/>
      <c r="N45" s="209"/>
      <c r="O45" s="211"/>
    </row>
    <row r="46" spans="1:16">
      <c r="A46" s="188">
        <v>33</v>
      </c>
      <c r="B46" s="195">
        <v>9</v>
      </c>
      <c r="C46" s="336">
        <v>41805</v>
      </c>
      <c r="D46" s="338">
        <v>0.75</v>
      </c>
      <c r="E46" s="189" t="s">
        <v>134</v>
      </c>
      <c r="F46" s="189" t="s">
        <v>29</v>
      </c>
      <c r="G46" s="189" t="s">
        <v>434</v>
      </c>
      <c r="H46" s="366">
        <v>4</v>
      </c>
      <c r="I46" s="366" t="s">
        <v>29</v>
      </c>
      <c r="J46" s="366">
        <v>0</v>
      </c>
      <c r="K46" s="212" t="str">
        <f t="shared" si="5"/>
        <v>1</v>
      </c>
      <c r="L46" s="210" t="str">
        <f>VLOOKUP($B46,Invulblad!$A$11:$S$103,13,0)</f>
        <v>1</v>
      </c>
      <c r="M46" s="211">
        <f>IF(L46&lt;&gt;"",VLOOKUP($B46,Invulblad!$A$11:$S$103,7,0),"")</f>
        <v>2</v>
      </c>
      <c r="N46" s="209" t="s">
        <v>29</v>
      </c>
      <c r="O46" s="211">
        <f>IF(L46&lt;&gt;"",VLOOKUP($B46,Invulblad!$A$11:$S$103,9,0),"")</f>
        <v>1</v>
      </c>
      <c r="P46" s="212">
        <f t="shared" ref="P46:P51" si="10">IF(L46&lt;&gt;"",IF(AND(M46=H46,O46=J46),10,IF(K46=L46,5,0)),"")</f>
        <v>5</v>
      </c>
    </row>
    <row r="47" spans="1:16">
      <c r="A47" s="188">
        <v>34</v>
      </c>
      <c r="B47" s="195">
        <v>10</v>
      </c>
      <c r="C47" s="336">
        <v>41805</v>
      </c>
      <c r="D47" s="338">
        <v>0.875</v>
      </c>
      <c r="E47" s="189" t="s">
        <v>100</v>
      </c>
      <c r="F47" s="189" t="s">
        <v>29</v>
      </c>
      <c r="G47" s="189" t="s">
        <v>132</v>
      </c>
      <c r="H47" s="366">
        <v>3</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10</v>
      </c>
    </row>
    <row r="48" spans="1:16">
      <c r="A48" s="188">
        <v>35</v>
      </c>
      <c r="B48" s="195">
        <v>25</v>
      </c>
      <c r="C48" s="336">
        <v>41810</v>
      </c>
      <c r="D48" s="338">
        <v>0.875</v>
      </c>
      <c r="E48" s="189" t="s">
        <v>134</v>
      </c>
      <c r="F48" s="189" t="s">
        <v>29</v>
      </c>
      <c r="G48" s="189" t="s">
        <v>98</v>
      </c>
      <c r="H48" s="366">
        <v>2</v>
      </c>
      <c r="I48" s="366" t="s">
        <v>29</v>
      </c>
      <c r="J48" s="366">
        <v>2</v>
      </c>
      <c r="K48" s="212">
        <f t="shared" si="5"/>
        <v>3</v>
      </c>
      <c r="L48" s="210">
        <f>VLOOKUP($B48,Invulblad!$A$11:$S$103,13,0)</f>
        <v>2</v>
      </c>
      <c r="M48" s="211">
        <f>IF(L48&lt;&gt;"",VLOOKUP($B48,Invulblad!$A$11:$S$103,7,0),"")</f>
        <v>2</v>
      </c>
      <c r="N48" s="209" t="s">
        <v>29</v>
      </c>
      <c r="O48" s="211">
        <f>IF(L48&lt;&gt;"",VLOOKUP($B48,Invulblad!$A$11:$S$103,9,0),"")</f>
        <v>5</v>
      </c>
      <c r="P48" s="212">
        <f t="shared" si="10"/>
        <v>0</v>
      </c>
    </row>
    <row r="49" spans="1:16">
      <c r="A49" s="188">
        <v>36</v>
      </c>
      <c r="B49" s="195">
        <v>26</v>
      </c>
      <c r="C49" s="336">
        <v>41811</v>
      </c>
      <c r="D49" s="338">
        <v>0</v>
      </c>
      <c r="E49" s="189" t="s">
        <v>127</v>
      </c>
      <c r="F49" s="189" t="s">
        <v>29</v>
      </c>
      <c r="G49" s="189" t="s">
        <v>434</v>
      </c>
      <c r="H49" s="366">
        <v>1</v>
      </c>
      <c r="I49" s="366" t="s">
        <v>29</v>
      </c>
      <c r="J49" s="366">
        <v>0</v>
      </c>
      <c r="K49" s="212" t="str">
        <f t="shared" si="5"/>
        <v>1</v>
      </c>
      <c r="L49" s="210">
        <f>VLOOKUP($B49,Invulblad!$A$11:$S$103,13,0)</f>
        <v>2</v>
      </c>
      <c r="M49" s="211">
        <f>IF(L49&lt;&gt;"",VLOOKUP($B49,Invulblad!$A$11:$S$103,7,0),"")</f>
        <v>1</v>
      </c>
      <c r="N49" s="209" t="s">
        <v>29</v>
      </c>
      <c r="O49" s="211">
        <f>IF(L49&lt;&gt;"",VLOOKUP($B49,Invulblad!$A$11:$S$103,9,0),"")</f>
        <v>2</v>
      </c>
      <c r="P49" s="212">
        <f t="shared" si="10"/>
        <v>0</v>
      </c>
    </row>
    <row r="50" spans="1:16">
      <c r="A50" s="188">
        <v>37</v>
      </c>
      <c r="B50" s="195">
        <v>41</v>
      </c>
      <c r="C50" s="336">
        <v>41815</v>
      </c>
      <c r="D50" s="338">
        <v>0.91666666666666663</v>
      </c>
      <c r="E50" s="189" t="s">
        <v>127</v>
      </c>
      <c r="F50" s="189" t="s">
        <v>29</v>
      </c>
      <c r="G50" s="189" t="s">
        <v>130</v>
      </c>
      <c r="H50" s="366">
        <v>0</v>
      </c>
      <c r="I50" s="366" t="s">
        <v>29</v>
      </c>
      <c r="J50" s="366">
        <v>2</v>
      </c>
      <c r="K50" s="212">
        <f t="shared" ref="K50:K85" si="11">IF(AND(H50="",J50=""),"",IF(OR(H50="",J50=""),"FOUT",IF(H50&gt;J50,"1",IF(H50=J50,3,2))))</f>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6">
        <v>41815</v>
      </c>
      <c r="D51" s="338">
        <v>0.91666666666666663</v>
      </c>
      <c r="E51" s="189" t="s">
        <v>435</v>
      </c>
      <c r="F51" s="189" t="s">
        <v>29</v>
      </c>
      <c r="G51" s="189" t="s">
        <v>98</v>
      </c>
      <c r="H51" s="366">
        <v>0</v>
      </c>
      <c r="I51" s="366" t="s">
        <v>29</v>
      </c>
      <c r="J51" s="366">
        <v>2</v>
      </c>
      <c r="K51" s="212">
        <f t="shared" si="11"/>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C52" s="337"/>
      <c r="D52" s="337"/>
      <c r="H52" s="367"/>
      <c r="I52" s="367"/>
      <c r="J52" s="367"/>
      <c r="K52" s="213" t="str">
        <f t="shared" si="11"/>
        <v/>
      </c>
      <c r="L52" s="210"/>
      <c r="M52" s="211" t="str">
        <f>IF(L52&lt;&gt;"",VLOOKUP($B52,Invulblad!$A$11:$S$103,7,0),"")</f>
        <v/>
      </c>
      <c r="N52" s="209"/>
      <c r="O52" s="211" t="str">
        <f>IF(L52&lt;&gt;"",VLOOKUP($B52,Invulblad!$A$11:$S$103,9,0),"")</f>
        <v/>
      </c>
    </row>
    <row r="53" spans="1:16">
      <c r="B53" s="201" t="s">
        <v>272</v>
      </c>
      <c r="C53" s="337" t="s">
        <v>420</v>
      </c>
      <c r="D53" s="337" t="s">
        <v>421</v>
      </c>
      <c r="E53" s="189" t="s">
        <v>145</v>
      </c>
      <c r="F53" s="189" t="s">
        <v>29</v>
      </c>
      <c r="G53" s="189" t="s">
        <v>145</v>
      </c>
      <c r="H53" s="365" t="s">
        <v>93</v>
      </c>
      <c r="I53" s="365"/>
      <c r="J53" s="365"/>
      <c r="K53" s="213"/>
      <c r="L53" s="210"/>
      <c r="M53" s="211"/>
      <c r="N53" s="209"/>
      <c r="O53" s="211"/>
    </row>
    <row r="54" spans="1:16">
      <c r="A54" s="188">
        <v>41</v>
      </c>
      <c r="B54" s="195">
        <v>11</v>
      </c>
      <c r="C54" s="336">
        <v>41806</v>
      </c>
      <c r="D54" s="338">
        <v>0</v>
      </c>
      <c r="E54" s="189" t="s">
        <v>565</v>
      </c>
      <c r="F54" s="189" t="s">
        <v>29</v>
      </c>
      <c r="G54" s="189" t="s">
        <v>566</v>
      </c>
      <c r="H54" s="366">
        <v>3</v>
      </c>
      <c r="I54" s="366" t="s">
        <v>29</v>
      </c>
      <c r="J54" s="366">
        <v>1</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6">
        <v>41806</v>
      </c>
      <c r="D55" s="338">
        <v>0.875</v>
      </c>
      <c r="E55" s="189" t="s">
        <v>438</v>
      </c>
      <c r="F55" s="189" t="s">
        <v>29</v>
      </c>
      <c r="G55" s="189" t="s">
        <v>103</v>
      </c>
      <c r="H55" s="366">
        <v>0</v>
      </c>
      <c r="I55" s="366" t="s">
        <v>29</v>
      </c>
      <c r="J55" s="366">
        <v>4</v>
      </c>
      <c r="K55" s="212">
        <f t="shared" si="11"/>
        <v>2</v>
      </c>
      <c r="L55" s="210">
        <f>VLOOKUP($B55,Invulblad!$A$11:$S$103,13,0)</f>
        <v>3</v>
      </c>
      <c r="M55" s="211">
        <f>IF(L55&lt;&gt;"",VLOOKUP($B55,Invulblad!$A$11:$S$103,7,0),"")</f>
        <v>0</v>
      </c>
      <c r="N55" s="209" t="s">
        <v>29</v>
      </c>
      <c r="O55" s="211">
        <f>IF(L55&lt;&gt;"",VLOOKUP($B55,Invulblad!$A$11:$S$103,9,0),"")</f>
        <v>0</v>
      </c>
      <c r="P55" s="212">
        <f t="shared" si="12"/>
        <v>0</v>
      </c>
    </row>
    <row r="56" spans="1:16">
      <c r="A56" s="188">
        <v>43</v>
      </c>
      <c r="B56" s="195">
        <v>27</v>
      </c>
      <c r="C56" s="336">
        <v>41811</v>
      </c>
      <c r="D56" s="338">
        <v>0.75</v>
      </c>
      <c r="E56" s="189" t="s">
        <v>565</v>
      </c>
      <c r="F56" s="189" t="s">
        <v>29</v>
      </c>
      <c r="G56" s="189" t="s">
        <v>439</v>
      </c>
      <c r="H56" s="366">
        <v>5</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6">
        <v>41812</v>
      </c>
      <c r="D57" s="338">
        <v>0</v>
      </c>
      <c r="E57" s="189" t="s">
        <v>234</v>
      </c>
      <c r="F57" s="189" t="s">
        <v>29</v>
      </c>
      <c r="G57" s="189" t="s">
        <v>566</v>
      </c>
      <c r="H57" s="366">
        <v>1</v>
      </c>
      <c r="I57" s="366" t="s">
        <v>29</v>
      </c>
      <c r="J57" s="366">
        <v>1</v>
      </c>
      <c r="K57" s="212">
        <f t="shared" si="11"/>
        <v>3</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6">
        <v>41815</v>
      </c>
      <c r="D58" s="338">
        <v>0.75</v>
      </c>
      <c r="E58" s="189" t="s">
        <v>234</v>
      </c>
      <c r="F58" s="189" t="s">
        <v>29</v>
      </c>
      <c r="G58" s="189" t="s">
        <v>567</v>
      </c>
      <c r="H58" s="366">
        <v>2</v>
      </c>
      <c r="I58" s="366" t="s">
        <v>29</v>
      </c>
      <c r="J58" s="366">
        <v>3</v>
      </c>
      <c r="K58" s="212">
        <f t="shared" si="11"/>
        <v>2</v>
      </c>
      <c r="L58" s="210">
        <f>VLOOKUP($B58,Invulblad!$A$11:$S$103,13,0)</f>
        <v>2</v>
      </c>
      <c r="M58" s="211">
        <f>IF(L58&lt;&gt;"",VLOOKUP($B58,Invulblad!$A$11:$S$103,7,0),"")</f>
        <v>2</v>
      </c>
      <c r="N58" s="209" t="s">
        <v>29</v>
      </c>
      <c r="O58" s="211">
        <f>IF(L58&lt;&gt;"",VLOOKUP($B58,Invulblad!$A$11:$S$103,9,0),"")</f>
        <v>3</v>
      </c>
      <c r="P58" s="212">
        <f t="shared" si="12"/>
        <v>10</v>
      </c>
    </row>
    <row r="59" spans="1:16">
      <c r="A59" s="188">
        <v>46</v>
      </c>
      <c r="B59" s="195">
        <v>44</v>
      </c>
      <c r="C59" s="336">
        <v>41815</v>
      </c>
      <c r="D59" s="338">
        <v>0.75</v>
      </c>
      <c r="E59" s="189" t="s">
        <v>568</v>
      </c>
      <c r="F59" s="189" t="s">
        <v>29</v>
      </c>
      <c r="G59" s="189" t="s">
        <v>439</v>
      </c>
      <c r="H59" s="366">
        <v>3</v>
      </c>
      <c r="I59" s="366" t="s">
        <v>29</v>
      </c>
      <c r="J59" s="366">
        <v>0</v>
      </c>
      <c r="K59" s="212" t="str">
        <f t="shared" si="11"/>
        <v>1</v>
      </c>
      <c r="L59" s="210" t="str">
        <f>VLOOKUP($B59,Invulblad!$A$11:$S$103,13,0)</f>
        <v>1</v>
      </c>
      <c r="M59" s="211">
        <f>IF(L59&lt;&gt;"",VLOOKUP($B59,Invulblad!$A$11:$S$103,7,0),"")</f>
        <v>3</v>
      </c>
      <c r="N59" s="209" t="s">
        <v>29</v>
      </c>
      <c r="O59" s="211">
        <f>IF(L59&lt;&gt;"",VLOOKUP($B59,Invulblad!$A$11:$S$103,9,0),"")</f>
        <v>1</v>
      </c>
      <c r="P59" s="212">
        <f t="shared" si="12"/>
        <v>5</v>
      </c>
    </row>
    <row r="60" spans="1:16">
      <c r="A60" s="188">
        <v>47</v>
      </c>
      <c r="B60" s="201" t="s">
        <v>36</v>
      </c>
      <c r="C60" s="337"/>
      <c r="D60" s="337"/>
      <c r="H60" s="367"/>
      <c r="I60" s="367"/>
      <c r="J60" s="367"/>
      <c r="K60" s="213" t="str">
        <f t="shared" si="11"/>
        <v/>
      </c>
      <c r="L60" s="210"/>
      <c r="M60" s="211" t="str">
        <f>IF(L60&lt;&gt;"",VLOOKUP($B60,Invulblad!$A$11:$S$103,7,0),"")</f>
        <v/>
      </c>
      <c r="N60" s="209"/>
      <c r="O60" s="211" t="str">
        <f>IF(L60&lt;&gt;"",VLOOKUP($B60,Invulblad!$A$11:$S$103,9,0),"")</f>
        <v/>
      </c>
    </row>
    <row r="61" spans="1:16">
      <c r="B61" s="201" t="s">
        <v>272</v>
      </c>
      <c r="C61" s="337" t="s">
        <v>420</v>
      </c>
      <c r="D61" s="337" t="s">
        <v>421</v>
      </c>
      <c r="E61" s="189" t="s">
        <v>145</v>
      </c>
      <c r="F61" s="189" t="s">
        <v>29</v>
      </c>
      <c r="G61" s="189" t="s">
        <v>145</v>
      </c>
      <c r="H61" s="365" t="s">
        <v>93</v>
      </c>
      <c r="I61" s="365"/>
      <c r="J61" s="365"/>
      <c r="K61" s="213"/>
      <c r="L61" s="210"/>
      <c r="M61" s="211"/>
      <c r="N61" s="209"/>
      <c r="O61" s="211"/>
    </row>
    <row r="62" spans="1:16">
      <c r="A62" s="188">
        <v>49</v>
      </c>
      <c r="B62" s="195">
        <v>13</v>
      </c>
      <c r="C62" s="336">
        <v>41806</v>
      </c>
      <c r="D62" s="338">
        <v>0.75</v>
      </c>
      <c r="E62" s="189" t="s">
        <v>113</v>
      </c>
      <c r="F62" s="189" t="s">
        <v>29</v>
      </c>
      <c r="G62" s="189" t="s">
        <v>124</v>
      </c>
      <c r="H62" s="366">
        <v>1</v>
      </c>
      <c r="I62" s="366" t="s">
        <v>29</v>
      </c>
      <c r="J62" s="366">
        <v>0</v>
      </c>
      <c r="K62" s="212" t="str">
        <f t="shared" si="11"/>
        <v>1</v>
      </c>
      <c r="L62" s="210" t="str">
        <f>VLOOKUP($B62,Invulblad!$A$11:$S$103,13,0)</f>
        <v>1</v>
      </c>
      <c r="M62" s="211">
        <f>IF(L62&lt;&gt;"",VLOOKUP($B62,Invulblad!$A$11:$S$103,7,0),"")</f>
        <v>4</v>
      </c>
      <c r="N62" s="209" t="s">
        <v>29</v>
      </c>
      <c r="O62" s="211">
        <f>IF(L62&lt;&gt;"",VLOOKUP($B62,Invulblad!$A$11:$S$103,9,0),"")</f>
        <v>0</v>
      </c>
      <c r="P62" s="212">
        <f t="shared" ref="P62:P67" si="13">IF(L62&lt;&gt;"",IF(AND(M62=H62,O62=J62),10,IF(K62=L62,5,0)),"")</f>
        <v>5</v>
      </c>
    </row>
    <row r="63" spans="1:16">
      <c r="A63" s="188">
        <v>50</v>
      </c>
      <c r="B63" s="195">
        <v>14</v>
      </c>
      <c r="C63" s="336">
        <v>41807</v>
      </c>
      <c r="D63" s="338">
        <v>0</v>
      </c>
      <c r="E63" s="189" t="s">
        <v>115</v>
      </c>
      <c r="F63" s="189" t="s">
        <v>29</v>
      </c>
      <c r="G63" s="189" t="s">
        <v>577</v>
      </c>
      <c r="H63" s="366">
        <v>3</v>
      </c>
      <c r="I63" s="366" t="s">
        <v>29</v>
      </c>
      <c r="J63" s="366">
        <v>1</v>
      </c>
      <c r="K63" s="212" t="str">
        <f t="shared" si="11"/>
        <v>1</v>
      </c>
      <c r="L63" s="210">
        <f>VLOOKUP($B63,Invulblad!$A$11:$S$103,13,0)</f>
        <v>2</v>
      </c>
      <c r="M63" s="211">
        <f>IF(L63&lt;&gt;"",VLOOKUP($B63,Invulblad!$A$11:$S$103,7,0),"")</f>
        <v>1</v>
      </c>
      <c r="N63" s="209" t="s">
        <v>29</v>
      </c>
      <c r="O63" s="211">
        <f>IF(L63&lt;&gt;"",VLOOKUP($B63,Invulblad!$A$11:$S$103,9,0),"")</f>
        <v>2</v>
      </c>
      <c r="P63" s="212">
        <f t="shared" si="13"/>
        <v>0</v>
      </c>
    </row>
    <row r="64" spans="1:16">
      <c r="A64" s="188">
        <v>51</v>
      </c>
      <c r="B64" s="195">
        <v>29</v>
      </c>
      <c r="C64" s="336">
        <v>41811</v>
      </c>
      <c r="D64" s="338">
        <v>0.875</v>
      </c>
      <c r="E64" s="189" t="s">
        <v>113</v>
      </c>
      <c r="F64" s="189" t="s">
        <v>29</v>
      </c>
      <c r="G64" s="189" t="s">
        <v>114</v>
      </c>
      <c r="H64" s="366">
        <v>2</v>
      </c>
      <c r="I64" s="366" t="s">
        <v>29</v>
      </c>
      <c r="J64" s="366">
        <v>1</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6">
        <v>41813</v>
      </c>
      <c r="D65" s="338">
        <v>0</v>
      </c>
      <c r="E65" s="189" t="s">
        <v>578</v>
      </c>
      <c r="F65" s="189" t="s">
        <v>29</v>
      </c>
      <c r="G65" s="189" t="s">
        <v>124</v>
      </c>
      <c r="H65" s="366">
        <v>0</v>
      </c>
      <c r="I65" s="366" t="s">
        <v>29</v>
      </c>
      <c r="J65" s="366">
        <v>3</v>
      </c>
      <c r="K65" s="212">
        <f t="shared" si="11"/>
        <v>2</v>
      </c>
      <c r="L65" s="210">
        <f>VLOOKUP($B65,Invulblad!$A$11:$S$103,13,0)</f>
        <v>3</v>
      </c>
      <c r="M65" s="211">
        <f>IF(L65&lt;&gt;"",VLOOKUP($B65,Invulblad!$A$11:$S$103,7,0),"")</f>
        <v>2</v>
      </c>
      <c r="N65" s="209" t="s">
        <v>29</v>
      </c>
      <c r="O65" s="211">
        <f>IF(L65&lt;&gt;"",VLOOKUP($B65,Invulblad!$A$11:$S$103,9,0),"")</f>
        <v>2</v>
      </c>
      <c r="P65" s="212">
        <f t="shared" si="13"/>
        <v>0</v>
      </c>
    </row>
    <row r="66" spans="1:16">
      <c r="A66" s="188">
        <v>53</v>
      </c>
      <c r="B66" s="195">
        <v>45</v>
      </c>
      <c r="C66" s="336">
        <v>41816</v>
      </c>
      <c r="D66" s="338">
        <v>0.75</v>
      </c>
      <c r="E66" s="189" t="s">
        <v>578</v>
      </c>
      <c r="F66" s="189" t="s">
        <v>29</v>
      </c>
      <c r="G66" s="189" t="s">
        <v>116</v>
      </c>
      <c r="H66" s="366">
        <v>0</v>
      </c>
      <c r="I66" s="366" t="s">
        <v>29</v>
      </c>
      <c r="J66" s="366">
        <v>3</v>
      </c>
      <c r="K66" s="212">
        <f t="shared" si="11"/>
        <v>2</v>
      </c>
      <c r="L66" s="210">
        <f>VLOOKUP($B66,Invulblad!$A$11:$S$103,13,0)</f>
        <v>2</v>
      </c>
      <c r="M66" s="211">
        <f>IF(L66&lt;&gt;"",VLOOKUP($B66,Invulblad!$A$11:$S$103,7,0),"")</f>
        <v>0</v>
      </c>
      <c r="N66" s="209" t="s">
        <v>29</v>
      </c>
      <c r="O66" s="211">
        <f>IF(L66&lt;&gt;"",VLOOKUP($B66,Invulblad!$A$11:$S$103,9,0),"")</f>
        <v>1</v>
      </c>
      <c r="P66" s="212">
        <f t="shared" si="13"/>
        <v>5</v>
      </c>
    </row>
    <row r="67" spans="1:16">
      <c r="A67" s="188">
        <v>54</v>
      </c>
      <c r="B67" s="195">
        <v>46</v>
      </c>
      <c r="C67" s="336">
        <v>41816</v>
      </c>
      <c r="D67" s="338">
        <v>0.75</v>
      </c>
      <c r="E67" s="189" t="s">
        <v>126</v>
      </c>
      <c r="F67" s="189" t="s">
        <v>29</v>
      </c>
      <c r="G67" s="189" t="s">
        <v>114</v>
      </c>
      <c r="H67" s="366">
        <v>0</v>
      </c>
      <c r="I67" s="366" t="s">
        <v>29</v>
      </c>
      <c r="J67" s="366">
        <v>1</v>
      </c>
      <c r="K67" s="212">
        <f t="shared" si="11"/>
        <v>2</v>
      </c>
      <c r="L67" s="210" t="str">
        <f>VLOOKUP($B67,Invulblad!$A$11:$S$103,13,0)</f>
        <v>1</v>
      </c>
      <c r="M67" s="211">
        <f>IF(L67&lt;&gt;"",VLOOKUP($B67,Invulblad!$A$11:$S$103,7,0),"")</f>
        <v>2</v>
      </c>
      <c r="N67" s="209" t="s">
        <v>29</v>
      </c>
      <c r="O67" s="211">
        <f>IF(L67&lt;&gt;"",VLOOKUP($B67,Invulblad!$A$11:$S$103,9,0),"")</f>
        <v>1</v>
      </c>
      <c r="P67" s="212">
        <f t="shared" si="13"/>
        <v>0</v>
      </c>
    </row>
    <row r="68" spans="1:16">
      <c r="A68" s="188">
        <v>55</v>
      </c>
      <c r="B68" s="201" t="s">
        <v>37</v>
      </c>
      <c r="C68" s="337"/>
      <c r="D68" s="337"/>
      <c r="H68" s="367"/>
      <c r="I68" s="367"/>
      <c r="J68" s="367"/>
      <c r="K68" s="213" t="str">
        <f t="shared" si="11"/>
        <v/>
      </c>
      <c r="L68" s="210"/>
      <c r="M68" s="211" t="str">
        <f>IF(L68&lt;&gt;"",VLOOKUP($B68,Invulblad!$A$11:$S$103,7,0),"")</f>
        <v/>
      </c>
      <c r="N68" s="209"/>
      <c r="O68" s="211" t="str">
        <f>IF(L68&lt;&gt;"",VLOOKUP($B68,Invulblad!$A$11:$S$103,9,0),"")</f>
        <v/>
      </c>
    </row>
    <row r="69" spans="1:16">
      <c r="B69" s="201" t="s">
        <v>272</v>
      </c>
      <c r="C69" s="337" t="s">
        <v>420</v>
      </c>
      <c r="D69" s="337" t="s">
        <v>421</v>
      </c>
      <c r="E69" s="189" t="s">
        <v>145</v>
      </c>
      <c r="F69" s="189" t="s">
        <v>29</v>
      </c>
      <c r="G69" s="189" t="s">
        <v>145</v>
      </c>
      <c r="H69" s="365" t="s">
        <v>93</v>
      </c>
      <c r="I69" s="365"/>
      <c r="J69" s="365"/>
      <c r="K69" s="213"/>
      <c r="L69" s="210"/>
      <c r="M69" s="211"/>
      <c r="N69" s="209"/>
      <c r="O69" s="211"/>
    </row>
    <row r="70" spans="1:16">
      <c r="A70" s="188">
        <v>57</v>
      </c>
      <c r="B70" s="195">
        <v>15</v>
      </c>
      <c r="C70" s="336">
        <v>41807</v>
      </c>
      <c r="D70" s="338">
        <v>0.75</v>
      </c>
      <c r="E70" s="189" t="s">
        <v>569</v>
      </c>
      <c r="F70" s="189" t="s">
        <v>29</v>
      </c>
      <c r="G70" s="189" t="s">
        <v>111</v>
      </c>
      <c r="H70" s="366">
        <v>3</v>
      </c>
      <c r="I70" s="366" t="s">
        <v>29</v>
      </c>
      <c r="J70" s="366">
        <v>1</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c r="A71" s="188">
        <v>58</v>
      </c>
      <c r="B71" s="195">
        <v>16</v>
      </c>
      <c r="C71" s="336">
        <v>41808</v>
      </c>
      <c r="D71" s="338">
        <v>0</v>
      </c>
      <c r="E71" s="189" t="s">
        <v>445</v>
      </c>
      <c r="F71" s="189" t="s">
        <v>29</v>
      </c>
      <c r="G71" s="189" t="s">
        <v>107</v>
      </c>
      <c r="H71" s="366">
        <v>3</v>
      </c>
      <c r="I71" s="366" t="s">
        <v>29</v>
      </c>
      <c r="J71" s="366">
        <v>2</v>
      </c>
      <c r="K71" s="212" t="str">
        <f t="shared" si="11"/>
        <v>1</v>
      </c>
      <c r="L71" s="210">
        <f>VLOOKUP($B71,Invulblad!$A$11:$S$103,13,0)</f>
        <v>3</v>
      </c>
      <c r="M71" s="211">
        <f>IF(L71&lt;&gt;"",VLOOKUP($B71,Invulblad!$A$11:$S$103,7,0),"")</f>
        <v>1</v>
      </c>
      <c r="N71" s="209" t="s">
        <v>29</v>
      </c>
      <c r="O71" s="211">
        <f>IF(L71&lt;&gt;"",VLOOKUP($B71,Invulblad!$A$11:$S$103,9,0),"")</f>
        <v>1</v>
      </c>
      <c r="P71" s="212">
        <f t="shared" si="14"/>
        <v>0</v>
      </c>
    </row>
    <row r="72" spans="1:16">
      <c r="A72" s="188">
        <v>59</v>
      </c>
      <c r="B72" s="195">
        <v>31</v>
      </c>
      <c r="C72" s="336">
        <v>41812</v>
      </c>
      <c r="D72" s="338">
        <v>0.75</v>
      </c>
      <c r="E72" s="189" t="s">
        <v>569</v>
      </c>
      <c r="F72" s="189" t="s">
        <v>29</v>
      </c>
      <c r="G72" s="189" t="s">
        <v>446</v>
      </c>
      <c r="H72" s="366">
        <v>1</v>
      </c>
      <c r="I72" s="366" t="s">
        <v>29</v>
      </c>
      <c r="J72" s="366">
        <v>0</v>
      </c>
      <c r="K72" s="212" t="str">
        <f t="shared" si="11"/>
        <v>1</v>
      </c>
      <c r="L72" s="210" t="str">
        <f>VLOOKUP($B72,Invulblad!$A$11:$S$103,13,0)</f>
        <v>1</v>
      </c>
      <c r="M72" s="211">
        <f>IF(L72&lt;&gt;"",VLOOKUP($B72,Invulblad!$A$11:$S$103,7,0),"")</f>
        <v>1</v>
      </c>
      <c r="N72" s="209" t="s">
        <v>29</v>
      </c>
      <c r="O72" s="211">
        <f>IF(L72&lt;&gt;"",VLOOKUP($B72,Invulblad!$A$11:$S$103,9,0),"")</f>
        <v>0</v>
      </c>
      <c r="P72" s="212">
        <f t="shared" si="14"/>
        <v>10</v>
      </c>
    </row>
    <row r="73" spans="1:16">
      <c r="A73" s="188">
        <v>60</v>
      </c>
      <c r="B73" s="195">
        <v>32</v>
      </c>
      <c r="C73" s="336">
        <v>41812</v>
      </c>
      <c r="D73" s="338">
        <v>0.875</v>
      </c>
      <c r="E73" s="189" t="s">
        <v>232</v>
      </c>
      <c r="F73" s="189" t="s">
        <v>29</v>
      </c>
      <c r="G73" s="189" t="s">
        <v>111</v>
      </c>
      <c r="H73" s="366">
        <v>2</v>
      </c>
      <c r="I73" s="366" t="s">
        <v>29</v>
      </c>
      <c r="J73" s="366">
        <v>1</v>
      </c>
      <c r="K73" s="212" t="str">
        <f t="shared" si="11"/>
        <v>1</v>
      </c>
      <c r="L73" s="210">
        <f>VLOOKUP($B73,Invulblad!$A$11:$S$103,13,0)</f>
        <v>2</v>
      </c>
      <c r="M73" s="211">
        <f>IF(L73&lt;&gt;"",VLOOKUP($B73,Invulblad!$A$11:$S$103,7,0),"")</f>
        <v>2</v>
      </c>
      <c r="N73" s="209" t="s">
        <v>29</v>
      </c>
      <c r="O73" s="211">
        <f>IF(L73&lt;&gt;"",VLOOKUP($B73,Invulblad!$A$11:$S$103,9,0),"")</f>
        <v>4</v>
      </c>
      <c r="P73" s="212">
        <f t="shared" si="14"/>
        <v>0</v>
      </c>
    </row>
    <row r="74" spans="1:16">
      <c r="A74" s="188">
        <v>61</v>
      </c>
      <c r="B74" s="195">
        <v>47</v>
      </c>
      <c r="C74" s="336">
        <v>41816</v>
      </c>
      <c r="D74" s="338">
        <v>0.91666666666666663</v>
      </c>
      <c r="E74" s="189" t="s">
        <v>232</v>
      </c>
      <c r="F74" s="189" t="s">
        <v>29</v>
      </c>
      <c r="G74" s="189" t="s">
        <v>570</v>
      </c>
      <c r="H74" s="366">
        <v>1</v>
      </c>
      <c r="I74" s="366" t="s">
        <v>29</v>
      </c>
      <c r="J74" s="366">
        <v>2</v>
      </c>
      <c r="K74" s="212">
        <f t="shared" si="11"/>
        <v>2</v>
      </c>
      <c r="L74" s="210">
        <f>VLOOKUP($B74,Invulblad!$A$11:$S$103,13,0)</f>
        <v>2</v>
      </c>
      <c r="M74" s="211">
        <f>IF(L74&lt;&gt;"",VLOOKUP($B74,Invulblad!$A$11:$S$103,7,0),"")</f>
        <v>0</v>
      </c>
      <c r="N74" s="209" t="s">
        <v>29</v>
      </c>
      <c r="O74" s="211">
        <f>IF(L74&lt;&gt;"",VLOOKUP($B74,Invulblad!$A$11:$S$103,9,0),"")</f>
        <v>1</v>
      </c>
      <c r="P74" s="212">
        <f t="shared" si="14"/>
        <v>5</v>
      </c>
    </row>
    <row r="75" spans="1:16">
      <c r="A75" s="188">
        <v>62</v>
      </c>
      <c r="B75" s="195">
        <v>48</v>
      </c>
      <c r="C75" s="336">
        <v>41816</v>
      </c>
      <c r="D75" s="338">
        <v>0.91666666666666663</v>
      </c>
      <c r="E75" s="189" t="s">
        <v>236</v>
      </c>
      <c r="F75" s="189" t="s">
        <v>29</v>
      </c>
      <c r="G75" s="189" t="s">
        <v>446</v>
      </c>
      <c r="H75" s="366">
        <v>0</v>
      </c>
      <c r="I75" s="366" t="s">
        <v>29</v>
      </c>
      <c r="J75" s="366">
        <v>1</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C76" s="337"/>
      <c r="D76" s="337"/>
      <c r="H76" s="367"/>
      <c r="I76" s="367"/>
      <c r="J76" s="367"/>
      <c r="K76" s="213" t="str">
        <f t="shared" si="11"/>
        <v/>
      </c>
      <c r="L76" s="210"/>
      <c r="M76" s="211" t="str">
        <f>IF(L76&lt;&gt;"",VLOOKUP($B76,Invulblad!$A$11:$S$103,7,0),"")</f>
        <v/>
      </c>
      <c r="N76" s="209"/>
      <c r="O76" s="211" t="str">
        <f>IF(L76&lt;&gt;"",VLOOKUP($B76,Invulblad!$A$11:$S$103,9,0),"")</f>
        <v/>
      </c>
    </row>
    <row r="77" spans="1:16">
      <c r="B77" s="201" t="s">
        <v>272</v>
      </c>
      <c r="C77" s="337" t="s">
        <v>420</v>
      </c>
      <c r="D77" s="337" t="s">
        <v>421</v>
      </c>
      <c r="E77" s="189" t="s">
        <v>145</v>
      </c>
      <c r="F77" s="189" t="s">
        <v>29</v>
      </c>
      <c r="G77" s="189" t="s">
        <v>145</v>
      </c>
      <c r="H77" s="365" t="s">
        <v>93</v>
      </c>
      <c r="I77" s="365"/>
      <c r="J77" s="365"/>
      <c r="K77" s="213"/>
      <c r="L77" s="210"/>
      <c r="M77" s="211"/>
      <c r="N77" s="209"/>
      <c r="O77" s="211"/>
    </row>
    <row r="78" spans="1:16">
      <c r="A78" s="188">
        <v>65</v>
      </c>
      <c r="B78" s="195">
        <v>49</v>
      </c>
      <c r="C78" s="336">
        <v>41818</v>
      </c>
      <c r="D78" s="338">
        <v>0.75</v>
      </c>
      <c r="E78" s="189" t="s">
        <v>199</v>
      </c>
      <c r="F78" s="189" t="s">
        <v>29</v>
      </c>
      <c r="G78" s="189" t="s">
        <v>138</v>
      </c>
      <c r="H78" s="366">
        <v>2</v>
      </c>
      <c r="I78" s="366" t="s">
        <v>29</v>
      </c>
      <c r="J78" s="366">
        <v>1</v>
      </c>
      <c r="K78" s="212" t="str">
        <f t="shared" si="11"/>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6">
        <v>41818</v>
      </c>
      <c r="D79" s="338">
        <v>0.91666666666666663</v>
      </c>
      <c r="E79" s="189" t="s">
        <v>200</v>
      </c>
      <c r="F79" s="189" t="s">
        <v>29</v>
      </c>
      <c r="G79" s="189" t="s">
        <v>193</v>
      </c>
      <c r="H79" s="366">
        <v>0</v>
      </c>
      <c r="I79" s="366" t="s">
        <v>29</v>
      </c>
      <c r="J79" s="366">
        <v>0</v>
      </c>
      <c r="K79" s="212">
        <f t="shared" si="11"/>
        <v>3</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6">
        <v>41819</v>
      </c>
      <c r="D80" s="338">
        <v>0.75</v>
      </c>
      <c r="E80" s="189" t="s">
        <v>135</v>
      </c>
      <c r="F80" s="189" t="s">
        <v>29</v>
      </c>
      <c r="G80" s="189" t="s">
        <v>152</v>
      </c>
      <c r="H80" s="366">
        <v>1</v>
      </c>
      <c r="I80" s="366" t="s">
        <v>29</v>
      </c>
      <c r="J80" s="366">
        <v>0</v>
      </c>
      <c r="K80" s="212" t="str">
        <f t="shared" si="11"/>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6">
        <v>41819</v>
      </c>
      <c r="D81" s="338">
        <v>0.91666666666666663</v>
      </c>
      <c r="E81" s="189" t="s">
        <v>109</v>
      </c>
      <c r="F81" s="189" t="s">
        <v>29</v>
      </c>
      <c r="G81" s="189" t="s">
        <v>187</v>
      </c>
      <c r="H81" s="366">
        <v>3</v>
      </c>
      <c r="I81" s="366" t="s">
        <v>29</v>
      </c>
      <c r="J81" s="366">
        <v>1</v>
      </c>
      <c r="K81" s="212" t="str">
        <f t="shared" si="11"/>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6">
        <v>41820</v>
      </c>
      <c r="D82" s="338">
        <v>0.75</v>
      </c>
      <c r="E82" s="189" t="s">
        <v>209</v>
      </c>
      <c r="F82" s="189" t="s">
        <v>29</v>
      </c>
      <c r="G82" s="189" t="s">
        <v>108</v>
      </c>
      <c r="H82" s="366">
        <v>1</v>
      </c>
      <c r="I82" s="366" t="s">
        <v>29</v>
      </c>
      <c r="J82" s="366">
        <v>0</v>
      </c>
      <c r="K82" s="212" t="str">
        <f t="shared" si="11"/>
        <v>1</v>
      </c>
      <c r="L82" s="210" t="str">
        <f>VLOOKUP($B82,Invulblad!$A$11:$S$103,13,0)</f>
        <v>1</v>
      </c>
      <c r="M82" s="211">
        <f>IF(L82&lt;&gt;"",VLOOKUP($B82,Invulblad!$A$11:$S$103,7,0),"")</f>
        <v>2</v>
      </c>
      <c r="N82" s="209" t="s">
        <v>29</v>
      </c>
      <c r="O82" s="211">
        <f>IF(L82&lt;&gt;"",VLOOKUP($B82,Invulblad!$A$11:$S$103,9,0),"")</f>
        <v>0</v>
      </c>
      <c r="P82" s="212">
        <f t="shared" si="15"/>
        <v>5</v>
      </c>
    </row>
    <row r="83" spans="1:16">
      <c r="A83" s="188">
        <v>70</v>
      </c>
      <c r="B83" s="195">
        <v>54</v>
      </c>
      <c r="C83" s="336">
        <v>41820</v>
      </c>
      <c r="D83" s="338">
        <v>0.91666666666666663</v>
      </c>
      <c r="E83" s="189" t="s">
        <v>177</v>
      </c>
      <c r="F83" s="189" t="s">
        <v>29</v>
      </c>
      <c r="G83" s="189" t="s">
        <v>396</v>
      </c>
      <c r="H83" s="366">
        <v>2</v>
      </c>
      <c r="I83" s="366" t="s">
        <v>29</v>
      </c>
      <c r="J83" s="366">
        <v>0</v>
      </c>
      <c r="K83" s="212" t="str">
        <f t="shared" si="11"/>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6">
        <v>41821</v>
      </c>
      <c r="D84" s="338">
        <v>0.75</v>
      </c>
      <c r="E84" s="189" t="s">
        <v>102</v>
      </c>
      <c r="F84" s="189" t="s">
        <v>29</v>
      </c>
      <c r="G84" s="189" t="s">
        <v>143</v>
      </c>
      <c r="H84" s="366">
        <v>2</v>
      </c>
      <c r="I84" s="366" t="s">
        <v>29</v>
      </c>
      <c r="J84" s="366">
        <v>1</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6">
        <v>41821</v>
      </c>
      <c r="D85" s="338">
        <v>0.91666666666666663</v>
      </c>
      <c r="E85" s="189" t="s">
        <v>395</v>
      </c>
      <c r="F85" s="189" t="s">
        <v>29</v>
      </c>
      <c r="G85" s="189" t="s">
        <v>181</v>
      </c>
      <c r="H85" s="366">
        <v>0</v>
      </c>
      <c r="I85" s="366" t="s">
        <v>29</v>
      </c>
      <c r="J85" s="366">
        <v>1</v>
      </c>
      <c r="K85" s="212">
        <f t="shared" si="11"/>
        <v>2</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C86" s="337"/>
      <c r="D86" s="337"/>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337" t="s">
        <v>420</v>
      </c>
      <c r="D87" s="337" t="s">
        <v>421</v>
      </c>
      <c r="E87" s="189" t="s">
        <v>145</v>
      </c>
      <c r="F87" s="189" t="s">
        <v>29</v>
      </c>
      <c r="G87" s="189" t="s">
        <v>145</v>
      </c>
      <c r="H87" s="365" t="s">
        <v>93</v>
      </c>
      <c r="I87" s="365"/>
      <c r="J87" s="365"/>
      <c r="K87" s="213"/>
      <c r="L87" s="210"/>
      <c r="M87" s="211"/>
      <c r="N87" s="209"/>
      <c r="O87" s="211"/>
    </row>
    <row r="88" spans="1:16">
      <c r="A88" s="188">
        <v>75</v>
      </c>
      <c r="B88" s="195">
        <v>57</v>
      </c>
      <c r="C88" s="336">
        <v>41824</v>
      </c>
      <c r="D88" s="338">
        <v>0.91666666666666663</v>
      </c>
      <c r="E88" s="189" t="s">
        <v>199</v>
      </c>
      <c r="F88" s="189" t="s">
        <v>29</v>
      </c>
      <c r="G88" s="189" t="s">
        <v>193</v>
      </c>
      <c r="H88" s="366">
        <v>2</v>
      </c>
      <c r="I88" s="366" t="s">
        <v>29</v>
      </c>
      <c r="J88" s="366">
        <v>1</v>
      </c>
      <c r="K88" s="212" t="str">
        <f t="shared" si="16"/>
        <v>1</v>
      </c>
      <c r="L88" s="210" t="str">
        <f>VLOOKUP($B88,Invulblad!$A$11:$S$103,13,0)</f>
        <v>1</v>
      </c>
      <c r="M88" s="211">
        <f>IF(L88&lt;&gt;"",VLOOKUP($B88,Invulblad!$A$11:$S$103,7,0),"")</f>
        <v>2</v>
      </c>
      <c r="N88" s="209" t="s">
        <v>29</v>
      </c>
      <c r="O88" s="211">
        <f>IF(L88&lt;&gt;"",VLOOKUP($B88,Invulblad!$A$11:$S$103,9,0),"")</f>
        <v>1</v>
      </c>
      <c r="P88" s="212">
        <f>IF(L88&lt;&gt;"",IF(AND(M88=H88,O88=J88),10,IF(K88=L88,5,0)),"")</f>
        <v>10</v>
      </c>
    </row>
    <row r="89" spans="1:16">
      <c r="A89" s="188">
        <v>76</v>
      </c>
      <c r="B89" s="195">
        <v>58</v>
      </c>
      <c r="C89" s="336">
        <v>41824</v>
      </c>
      <c r="D89" s="338">
        <v>0.75</v>
      </c>
      <c r="E89" s="189" t="s">
        <v>209</v>
      </c>
      <c r="F89" s="189" t="s">
        <v>29</v>
      </c>
      <c r="G89" s="189" t="s">
        <v>177</v>
      </c>
      <c r="H89" s="366">
        <v>1</v>
      </c>
      <c r="I89" s="366" t="s">
        <v>29</v>
      </c>
      <c r="J89" s="366">
        <v>3</v>
      </c>
      <c r="K89" s="212">
        <f t="shared" si="16"/>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6">
        <v>41825</v>
      </c>
      <c r="D90" s="338">
        <v>0.91666666666666663</v>
      </c>
      <c r="E90" s="189" t="s">
        <v>135</v>
      </c>
      <c r="F90" s="189" t="s">
        <v>29</v>
      </c>
      <c r="G90" s="189" t="s">
        <v>109</v>
      </c>
      <c r="H90" s="366">
        <v>2</v>
      </c>
      <c r="I90" s="366" t="s">
        <v>29</v>
      </c>
      <c r="J90" s="366">
        <v>3</v>
      </c>
      <c r="K90" s="212">
        <f t="shared" si="16"/>
        <v>2</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6">
        <v>41825</v>
      </c>
      <c r="D91" s="338">
        <v>0.75</v>
      </c>
      <c r="E91" s="189" t="s">
        <v>102</v>
      </c>
      <c r="F91" s="189" t="s">
        <v>29</v>
      </c>
      <c r="G91" s="189" t="s">
        <v>181</v>
      </c>
      <c r="H91" s="366">
        <v>3</v>
      </c>
      <c r="I91" s="366" t="s">
        <v>29</v>
      </c>
      <c r="J91" s="366">
        <v>0</v>
      </c>
      <c r="K91" s="212" t="str">
        <f t="shared" si="16"/>
        <v>1</v>
      </c>
      <c r="L91" s="210"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C92" s="337"/>
      <c r="D92" s="337"/>
      <c r="H92" s="367"/>
      <c r="I92" s="367"/>
      <c r="J92" s="367"/>
      <c r="K92" s="213" t="str">
        <f t="shared" si="16"/>
        <v/>
      </c>
      <c r="L92" s="210"/>
      <c r="M92" s="211" t="str">
        <f>IF(L92&lt;&gt;"",VLOOKUP($B92,Invulblad!$A$11:$S$103,7,0),"")</f>
        <v/>
      </c>
      <c r="O92" s="211" t="str">
        <f>IF(L92&lt;&gt;"",VLOOKUP($B92,Invulblad!$A$11:$S$103,9,0),"")</f>
        <v/>
      </c>
    </row>
    <row r="93" spans="1:16">
      <c r="B93" s="201" t="s">
        <v>272</v>
      </c>
      <c r="C93" s="337" t="s">
        <v>420</v>
      </c>
      <c r="D93" s="337" t="s">
        <v>421</v>
      </c>
      <c r="E93" s="189" t="s">
        <v>145</v>
      </c>
      <c r="F93" s="189" t="s">
        <v>29</v>
      </c>
      <c r="G93" s="189" t="s">
        <v>145</v>
      </c>
      <c r="H93" s="365" t="s">
        <v>93</v>
      </c>
      <c r="I93" s="365"/>
      <c r="J93" s="365"/>
      <c r="K93" s="213"/>
      <c r="L93" s="210"/>
      <c r="M93" s="211"/>
      <c r="O93" s="211"/>
    </row>
    <row r="94" spans="1:16">
      <c r="A94" s="188">
        <v>81</v>
      </c>
      <c r="B94" s="195">
        <v>61</v>
      </c>
      <c r="C94" s="336">
        <v>41828</v>
      </c>
      <c r="D94" s="338">
        <v>0.91666666666666663</v>
      </c>
      <c r="E94" s="189" t="s">
        <v>199</v>
      </c>
      <c r="F94" s="189" t="s">
        <v>29</v>
      </c>
      <c r="G94" s="189" t="s">
        <v>177</v>
      </c>
      <c r="H94" s="366">
        <v>3</v>
      </c>
      <c r="I94" s="366" t="s">
        <v>29</v>
      </c>
      <c r="J94" s="366">
        <v>2</v>
      </c>
      <c r="K94" s="212" t="str">
        <f t="shared" si="16"/>
        <v>1</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6">
        <v>41829</v>
      </c>
      <c r="D95" s="338">
        <v>0.91666666666666663</v>
      </c>
      <c r="E95" s="189" t="s">
        <v>109</v>
      </c>
      <c r="F95" s="189" t="s">
        <v>29</v>
      </c>
      <c r="G95" s="189" t="s">
        <v>102</v>
      </c>
      <c r="H95" s="366">
        <v>2</v>
      </c>
      <c r="I95" s="366" t="s">
        <v>29</v>
      </c>
      <c r="J95" s="366">
        <v>0</v>
      </c>
      <c r="K95" s="212" t="str">
        <f t="shared" si="16"/>
        <v>1</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C96" s="337"/>
      <c r="D96" s="337"/>
      <c r="H96" s="367"/>
      <c r="I96" s="367"/>
      <c r="J96" s="367"/>
      <c r="K96" s="213" t="str">
        <f t="shared" si="16"/>
        <v/>
      </c>
      <c r="L96" s="210"/>
      <c r="M96" s="211" t="str">
        <f>IF(L96&lt;&gt;"",VLOOKUP($B96,Invulblad!$A$11:$S$103,7,0),"")</f>
        <v/>
      </c>
      <c r="N96" s="209"/>
      <c r="O96" s="211" t="str">
        <f>IF(L96&lt;&gt;"",VLOOKUP($B96,Invulblad!$A$11:$S$103,9,0),"")</f>
        <v/>
      </c>
    </row>
    <row r="97" spans="1:16">
      <c r="B97" s="201" t="s">
        <v>272</v>
      </c>
      <c r="C97" s="337" t="s">
        <v>420</v>
      </c>
      <c r="D97" s="337" t="s">
        <v>421</v>
      </c>
      <c r="E97" s="189" t="s">
        <v>145</v>
      </c>
      <c r="F97" s="189" t="s">
        <v>29</v>
      </c>
      <c r="G97" s="189" t="s">
        <v>145</v>
      </c>
      <c r="H97" s="365" t="s">
        <v>93</v>
      </c>
      <c r="I97" s="365"/>
      <c r="J97" s="365"/>
      <c r="K97" s="213"/>
      <c r="L97" s="210"/>
      <c r="M97" s="211"/>
      <c r="N97" s="209"/>
      <c r="O97" s="211"/>
    </row>
    <row r="98" spans="1:16">
      <c r="A98" s="188">
        <v>85</v>
      </c>
      <c r="B98" s="195">
        <v>63</v>
      </c>
      <c r="C98" s="336">
        <v>41832</v>
      </c>
      <c r="D98" s="338">
        <v>0.91666666666666663</v>
      </c>
      <c r="E98" s="189" t="s">
        <v>177</v>
      </c>
      <c r="F98" s="189" t="s">
        <v>29</v>
      </c>
      <c r="G98" s="189" t="s">
        <v>102</v>
      </c>
      <c r="H98" s="366">
        <v>2</v>
      </c>
      <c r="I98" s="366" t="s">
        <v>29</v>
      </c>
      <c r="J98" s="366">
        <v>0</v>
      </c>
      <c r="K98" s="212" t="str">
        <f t="shared" si="16"/>
        <v>1</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C99" s="337"/>
      <c r="D99" s="337"/>
      <c r="H99" s="367"/>
      <c r="I99" s="367"/>
      <c r="J99" s="367"/>
      <c r="K99" s="213" t="str">
        <f t="shared" si="16"/>
        <v/>
      </c>
      <c r="L99" s="210"/>
      <c r="M99" s="211" t="str">
        <f>IF(L99&lt;&gt;"",VLOOKUP($B99,Invulblad!$A$11:$S$103,7,0),"")</f>
        <v/>
      </c>
      <c r="N99" s="209"/>
      <c r="O99" s="211" t="str">
        <f>IF(L99&lt;&gt;"",VLOOKUP($B99,Invulblad!$A$11:$S$103,9,0),"")</f>
        <v/>
      </c>
    </row>
    <row r="100" spans="1:16">
      <c r="B100" s="201" t="s">
        <v>272</v>
      </c>
      <c r="C100" s="337" t="s">
        <v>420</v>
      </c>
      <c r="D100" s="337" t="s">
        <v>421</v>
      </c>
      <c r="E100" s="189" t="s">
        <v>145</v>
      </c>
      <c r="F100" s="189" t="s">
        <v>29</v>
      </c>
      <c r="G100" s="189" t="s">
        <v>145</v>
      </c>
      <c r="H100" s="365" t="s">
        <v>93</v>
      </c>
      <c r="I100" s="365"/>
      <c r="J100" s="365"/>
      <c r="K100" s="213"/>
      <c r="L100" s="210"/>
      <c r="M100" s="211"/>
      <c r="N100" s="209"/>
      <c r="O100" s="211"/>
    </row>
    <row r="101" spans="1:16">
      <c r="A101" s="188">
        <v>88</v>
      </c>
      <c r="B101" s="195">
        <v>64</v>
      </c>
      <c r="C101" s="336">
        <v>41833</v>
      </c>
      <c r="D101" s="338">
        <v>0.875</v>
      </c>
      <c r="E101" s="189" t="s">
        <v>199</v>
      </c>
      <c r="F101" s="189" t="s">
        <v>29</v>
      </c>
      <c r="G101" s="189" t="s">
        <v>109</v>
      </c>
      <c r="H101" s="366">
        <v>1</v>
      </c>
      <c r="I101" s="366" t="s">
        <v>29</v>
      </c>
      <c r="J101" s="366">
        <v>3</v>
      </c>
      <c r="K101" s="212">
        <f t="shared" si="16"/>
        <v>2</v>
      </c>
      <c r="L101" s="210" t="str">
        <f>VLOOKUP($B101,Invulblad!$A$11:$S$103,13,0)</f>
        <v>1</v>
      </c>
      <c r="M101" s="211">
        <f>IF(L101&lt;&gt;"",VLOOKUP($B101,Invulblad!$A$11:$S$103,7,0),"")</f>
        <v>1</v>
      </c>
      <c r="N101" s="209" t="s">
        <v>29</v>
      </c>
      <c r="O101" s="211">
        <f>IF(L101&lt;&gt;"",VLOOKUP($B101,Invulblad!$A$11:$S$103,9,0),"")</f>
        <v>0</v>
      </c>
      <c r="P101" s="212">
        <f>IF(L101&lt;&gt;"",IF(AND(M101=H101,O101=J101),10,IF(K101=L101,5,0)),"")</f>
        <v>0</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152</v>
      </c>
    </row>
    <row r="112" spans="1:16">
      <c r="B112" s="201" t="s">
        <v>144</v>
      </c>
    </row>
    <row r="114" spans="2:15">
      <c r="B114" s="215" t="s">
        <v>145</v>
      </c>
      <c r="C114" s="215" t="s">
        <v>146</v>
      </c>
      <c r="D114" s="215" t="s">
        <v>147</v>
      </c>
      <c r="E114" s="215" t="s">
        <v>148</v>
      </c>
    </row>
    <row r="115" spans="2:15">
      <c r="B115" s="216" t="s">
        <v>199</v>
      </c>
      <c r="C115" s="216" t="s">
        <v>163</v>
      </c>
      <c r="D115" s="216" t="s">
        <v>164</v>
      </c>
      <c r="E115" s="216" t="s">
        <v>172</v>
      </c>
    </row>
    <row r="116" spans="2:15">
      <c r="B116" s="217" t="s">
        <v>389</v>
      </c>
      <c r="C116" s="217" t="s">
        <v>151</v>
      </c>
      <c r="D116" s="217" t="s">
        <v>165</v>
      </c>
      <c r="E116" s="217" t="s">
        <v>149</v>
      </c>
    </row>
    <row r="117" spans="2:15">
      <c r="B117" s="216" t="s">
        <v>152</v>
      </c>
      <c r="C117" s="216" t="s">
        <v>164</v>
      </c>
      <c r="D117" s="216" t="s">
        <v>150</v>
      </c>
      <c r="E117" s="216" t="s">
        <v>149</v>
      </c>
    </row>
    <row r="118" spans="2:15">
      <c r="B118" s="217" t="s">
        <v>185</v>
      </c>
      <c r="C118" s="217" t="s">
        <v>150</v>
      </c>
      <c r="D118" s="217" t="s">
        <v>180</v>
      </c>
      <c r="E118" s="217" t="s">
        <v>153</v>
      </c>
    </row>
    <row r="121" spans="2:15">
      <c r="B121" s="201" t="s">
        <v>157</v>
      </c>
    </row>
    <row r="122" spans="2:15">
      <c r="B122" s="195"/>
    </row>
    <row r="123" spans="2:15">
      <c r="B123" s="195" t="s">
        <v>158</v>
      </c>
    </row>
    <row r="124" spans="2:15">
      <c r="B124" s="195" t="s">
        <v>251</v>
      </c>
    </row>
    <row r="127" spans="2:15">
      <c r="B127" s="218"/>
      <c r="C127" s="218"/>
      <c r="D127" s="218"/>
      <c r="E127" s="218"/>
      <c r="F127" s="218"/>
      <c r="G127" s="218"/>
      <c r="H127" s="364"/>
      <c r="I127" s="364"/>
      <c r="J127" s="364"/>
    </row>
    <row r="128" spans="2:15">
      <c r="K128" s="218"/>
      <c r="L128" s="219"/>
      <c r="M128" s="218"/>
      <c r="N128" s="218"/>
      <c r="O128" s="218"/>
    </row>
    <row r="130" spans="1:5">
      <c r="B130" s="201" t="s">
        <v>160</v>
      </c>
    </row>
    <row r="132" spans="1:5">
      <c r="A132" s="227" t="s">
        <v>67</v>
      </c>
      <c r="B132" s="189" t="s">
        <v>140</v>
      </c>
      <c r="C132" s="189" t="s">
        <v>141</v>
      </c>
      <c r="D132" s="201" t="s">
        <v>135</v>
      </c>
    </row>
    <row r="133" spans="1:5">
      <c r="A133" s="188" t="s">
        <v>68</v>
      </c>
      <c r="B133" s="189" t="s">
        <v>142</v>
      </c>
      <c r="C133" s="189" t="s">
        <v>141</v>
      </c>
      <c r="D133" s="201" t="s">
        <v>138</v>
      </c>
    </row>
    <row r="136" spans="1:5">
      <c r="B136" s="201" t="s">
        <v>161</v>
      </c>
    </row>
    <row r="138" spans="1:5">
      <c r="B138" s="215" t="s">
        <v>145</v>
      </c>
      <c r="C138" s="215" t="s">
        <v>146</v>
      </c>
      <c r="D138" s="215" t="s">
        <v>147</v>
      </c>
      <c r="E138" s="215" t="s">
        <v>148</v>
      </c>
    </row>
    <row r="139" spans="1:5">
      <c r="B139" s="216" t="s">
        <v>138</v>
      </c>
      <c r="C139" s="216" t="s">
        <v>164</v>
      </c>
      <c r="D139" s="216" t="s">
        <v>153</v>
      </c>
      <c r="E139" s="216" t="s">
        <v>155</v>
      </c>
    </row>
    <row r="140" spans="1:5">
      <c r="B140" s="217" t="s">
        <v>135</v>
      </c>
      <c r="C140" s="217" t="s">
        <v>163</v>
      </c>
      <c r="D140" s="217" t="s">
        <v>155</v>
      </c>
      <c r="E140" s="217" t="s">
        <v>164</v>
      </c>
    </row>
    <row r="141" spans="1:5">
      <c r="B141" s="216" t="s">
        <v>207</v>
      </c>
      <c r="C141" s="216" t="s">
        <v>151</v>
      </c>
      <c r="D141" s="216" t="s">
        <v>150</v>
      </c>
      <c r="E141" s="216" t="s">
        <v>151</v>
      </c>
    </row>
    <row r="142" spans="1:5">
      <c r="B142" s="217" t="s">
        <v>179</v>
      </c>
      <c r="C142" s="217" t="s">
        <v>150</v>
      </c>
      <c r="D142" s="217" t="s">
        <v>188</v>
      </c>
      <c r="E142" s="217" t="s">
        <v>150</v>
      </c>
    </row>
    <row r="145" spans="1:15">
      <c r="B145" s="201" t="s">
        <v>166</v>
      </c>
    </row>
    <row r="146" spans="1:15">
      <c r="B146" s="195"/>
    </row>
    <row r="147" spans="1:15">
      <c r="B147" s="195" t="s">
        <v>167</v>
      </c>
    </row>
    <row r="148" spans="1:15">
      <c r="B148" s="195" t="s">
        <v>168</v>
      </c>
    </row>
    <row r="151" spans="1:15">
      <c r="B151" s="218"/>
      <c r="C151" s="218"/>
      <c r="D151" s="218"/>
      <c r="E151" s="218"/>
      <c r="F151" s="218"/>
      <c r="G151" s="218"/>
      <c r="H151" s="364"/>
      <c r="I151" s="364"/>
      <c r="J151" s="364"/>
    </row>
    <row r="152" spans="1:15">
      <c r="K152" s="218"/>
      <c r="L152" s="219"/>
      <c r="M152" s="218"/>
      <c r="N152" s="218"/>
      <c r="O152" s="218"/>
    </row>
    <row r="154" spans="1:15">
      <c r="B154" s="201" t="s">
        <v>169</v>
      </c>
    </row>
    <row r="156" spans="1:15">
      <c r="A156" s="188" t="s">
        <v>69</v>
      </c>
      <c r="B156" s="189" t="s">
        <v>140</v>
      </c>
      <c r="C156" s="189" t="s">
        <v>141</v>
      </c>
      <c r="D156" s="201" t="s">
        <v>200</v>
      </c>
    </row>
    <row r="157" spans="1:15">
      <c r="A157" s="188" t="s">
        <v>70</v>
      </c>
      <c r="B157" s="189" t="s">
        <v>142</v>
      </c>
      <c r="C157" s="189" t="s">
        <v>141</v>
      </c>
      <c r="D157" s="201" t="s">
        <v>187</v>
      </c>
    </row>
    <row r="160" spans="1:15">
      <c r="B160" s="201" t="s">
        <v>170</v>
      </c>
    </row>
    <row r="162" spans="2:10">
      <c r="B162" s="215" t="s">
        <v>145</v>
      </c>
      <c r="C162" s="215" t="s">
        <v>146</v>
      </c>
      <c r="D162" s="215" t="s">
        <v>147</v>
      </c>
      <c r="E162" s="215" t="s">
        <v>148</v>
      </c>
    </row>
    <row r="163" spans="2:10">
      <c r="B163" s="216" t="s">
        <v>390</v>
      </c>
      <c r="C163" s="216" t="s">
        <v>156</v>
      </c>
      <c r="D163" s="216" t="s">
        <v>165</v>
      </c>
      <c r="E163" s="216" t="s">
        <v>150</v>
      </c>
    </row>
    <row r="164" spans="2:10">
      <c r="B164" s="217" t="s">
        <v>106</v>
      </c>
      <c r="C164" s="217" t="s">
        <v>153</v>
      </c>
      <c r="D164" s="217" t="s">
        <v>154</v>
      </c>
      <c r="E164" s="217" t="s">
        <v>156</v>
      </c>
    </row>
    <row r="165" spans="2:10">
      <c r="B165" s="216" t="s">
        <v>200</v>
      </c>
      <c r="C165" s="216" t="s">
        <v>172</v>
      </c>
      <c r="D165" s="216" t="s">
        <v>151</v>
      </c>
      <c r="E165" s="216" t="s">
        <v>155</v>
      </c>
    </row>
    <row r="166" spans="2:10">
      <c r="B166" s="217" t="s">
        <v>187</v>
      </c>
      <c r="C166" s="217" t="s">
        <v>164</v>
      </c>
      <c r="D166" s="217" t="s">
        <v>150</v>
      </c>
      <c r="E166" s="217" t="s">
        <v>151</v>
      </c>
    </row>
    <row r="169" spans="2:10">
      <c r="B169" s="201" t="s">
        <v>173</v>
      </c>
    </row>
    <row r="170" spans="2:10">
      <c r="B170" s="195"/>
    </row>
    <row r="171" spans="2:10">
      <c r="B171" s="195" t="s">
        <v>174</v>
      </c>
    </row>
    <row r="172" spans="2:10">
      <c r="B172" s="195" t="s">
        <v>175</v>
      </c>
    </row>
    <row r="175" spans="2:10">
      <c r="B175" s="218"/>
      <c r="C175" s="218"/>
      <c r="D175" s="218"/>
      <c r="E175" s="218"/>
      <c r="F175" s="218"/>
      <c r="G175" s="218"/>
      <c r="H175" s="364"/>
      <c r="I175" s="364"/>
      <c r="J175" s="364"/>
    </row>
    <row r="177" spans="1:15">
      <c r="K177" s="218"/>
      <c r="L177" s="219"/>
      <c r="M177" s="218"/>
      <c r="N177" s="218"/>
      <c r="O177" s="218"/>
    </row>
    <row r="178" spans="1:15">
      <c r="B178" s="201" t="s">
        <v>176</v>
      </c>
    </row>
    <row r="180" spans="1:15">
      <c r="A180" s="188" t="s">
        <v>71</v>
      </c>
      <c r="B180" s="189" t="s">
        <v>140</v>
      </c>
      <c r="C180" s="189" t="s">
        <v>141</v>
      </c>
      <c r="D180" s="201" t="s">
        <v>109</v>
      </c>
    </row>
    <row r="181" spans="1:15">
      <c r="A181" s="188" t="s">
        <v>72</v>
      </c>
      <c r="B181" s="189" t="s">
        <v>142</v>
      </c>
      <c r="C181" s="189" t="s">
        <v>141</v>
      </c>
      <c r="D181" s="201" t="s">
        <v>193</v>
      </c>
    </row>
    <row r="184" spans="1:15">
      <c r="B184" s="201" t="s">
        <v>178</v>
      </c>
    </row>
    <row r="186" spans="1:15">
      <c r="B186" s="215" t="s">
        <v>145</v>
      </c>
      <c r="C186" s="215" t="s">
        <v>146</v>
      </c>
      <c r="D186" s="215" t="s">
        <v>147</v>
      </c>
      <c r="E186" s="215" t="s">
        <v>148</v>
      </c>
    </row>
    <row r="187" spans="1:15">
      <c r="B187" s="216" t="s">
        <v>97</v>
      </c>
      <c r="C187" s="216" t="s">
        <v>151</v>
      </c>
      <c r="D187" s="216" t="s">
        <v>154</v>
      </c>
      <c r="E187" s="216" t="s">
        <v>151</v>
      </c>
    </row>
    <row r="188" spans="1:15">
      <c r="B188" s="217" t="s">
        <v>391</v>
      </c>
      <c r="C188" s="217" t="s">
        <v>150</v>
      </c>
      <c r="D188" s="217" t="s">
        <v>241</v>
      </c>
      <c r="E188" s="217" t="s">
        <v>150</v>
      </c>
    </row>
    <row r="189" spans="1:15">
      <c r="B189" s="216" t="s">
        <v>109</v>
      </c>
      <c r="C189" s="216" t="s">
        <v>163</v>
      </c>
      <c r="D189" s="216" t="s">
        <v>155</v>
      </c>
      <c r="E189" s="216" t="s">
        <v>164</v>
      </c>
    </row>
    <row r="190" spans="1:15">
      <c r="B190" s="217" t="s">
        <v>193</v>
      </c>
      <c r="C190" s="217" t="s">
        <v>164</v>
      </c>
      <c r="D190" s="217" t="s">
        <v>153</v>
      </c>
      <c r="E190" s="217" t="s">
        <v>155</v>
      </c>
    </row>
    <row r="193" spans="1:15">
      <c r="B193" s="201" t="s">
        <v>182</v>
      </c>
    </row>
    <row r="194" spans="1:15">
      <c r="B194" s="195"/>
    </row>
    <row r="195" spans="1:15">
      <c r="B195" s="195" t="s">
        <v>239</v>
      </c>
    </row>
    <row r="196" spans="1:15">
      <c r="B196" s="195" t="s">
        <v>240</v>
      </c>
    </row>
    <row r="199" spans="1:15">
      <c r="B199" s="218"/>
      <c r="C199" s="218"/>
      <c r="D199" s="218"/>
      <c r="E199" s="218"/>
      <c r="F199" s="218"/>
      <c r="G199" s="218"/>
      <c r="H199" s="364"/>
      <c r="I199" s="364"/>
      <c r="J199" s="364"/>
    </row>
    <row r="200" spans="1:15">
      <c r="K200" s="218"/>
      <c r="L200" s="219"/>
      <c r="M200" s="218"/>
      <c r="N200" s="218"/>
      <c r="O200" s="218"/>
    </row>
    <row r="202" spans="1:15">
      <c r="B202" s="201" t="s">
        <v>184</v>
      </c>
    </row>
    <row r="204" spans="1:15">
      <c r="A204" s="188" t="s">
        <v>73</v>
      </c>
      <c r="B204" s="189" t="s">
        <v>140</v>
      </c>
      <c r="C204" s="189" t="s">
        <v>141</v>
      </c>
      <c r="D204" s="201" t="s">
        <v>209</v>
      </c>
    </row>
    <row r="205" spans="1:15">
      <c r="A205" s="188" t="s">
        <v>74</v>
      </c>
      <c r="B205" s="189" t="s">
        <v>142</v>
      </c>
      <c r="C205" s="189" t="s">
        <v>141</v>
      </c>
      <c r="D205" s="201" t="s">
        <v>143</v>
      </c>
    </row>
    <row r="208" spans="1:15">
      <c r="B208" s="201" t="s">
        <v>186</v>
      </c>
    </row>
    <row r="210" spans="2:10">
      <c r="B210" s="215" t="s">
        <v>145</v>
      </c>
      <c r="C210" s="215" t="s">
        <v>146</v>
      </c>
      <c r="D210" s="215" t="s">
        <v>147</v>
      </c>
      <c r="E210" s="215" t="s">
        <v>148</v>
      </c>
    </row>
    <row r="211" spans="2:10">
      <c r="B211" s="216" t="s">
        <v>209</v>
      </c>
      <c r="C211" s="216" t="s">
        <v>172</v>
      </c>
      <c r="D211" s="216" t="s">
        <v>164</v>
      </c>
      <c r="E211" s="216" t="s">
        <v>243</v>
      </c>
    </row>
    <row r="212" spans="2:10">
      <c r="B212" s="217" t="s">
        <v>392</v>
      </c>
      <c r="C212" s="217" t="s">
        <v>150</v>
      </c>
      <c r="D212" s="217" t="s">
        <v>188</v>
      </c>
      <c r="E212" s="217" t="s">
        <v>150</v>
      </c>
    </row>
    <row r="213" spans="2:10">
      <c r="B213" s="216" t="s">
        <v>143</v>
      </c>
      <c r="C213" s="216" t="s">
        <v>172</v>
      </c>
      <c r="D213" s="216" t="s">
        <v>155</v>
      </c>
      <c r="E213" s="216" t="s">
        <v>172</v>
      </c>
    </row>
    <row r="214" spans="2:10">
      <c r="B214" s="217" t="s">
        <v>210</v>
      </c>
      <c r="C214" s="217" t="s">
        <v>151</v>
      </c>
      <c r="D214" s="217" t="s">
        <v>180</v>
      </c>
      <c r="E214" s="217" t="s">
        <v>156</v>
      </c>
    </row>
    <row r="217" spans="2:10">
      <c r="B217" s="201" t="s">
        <v>189</v>
      </c>
    </row>
    <row r="218" spans="2:10">
      <c r="B218" s="195"/>
    </row>
    <row r="219" spans="2:10">
      <c r="B219" s="195" t="s">
        <v>524</v>
      </c>
    </row>
    <row r="220" spans="2:10">
      <c r="B220" s="195"/>
    </row>
    <row r="222" spans="2:10">
      <c r="H222" s="364"/>
      <c r="I222" s="364"/>
      <c r="J222" s="364"/>
    </row>
    <row r="223" spans="2:10">
      <c r="H223" s="364"/>
      <c r="I223" s="364"/>
      <c r="J223" s="364"/>
    </row>
    <row r="224" spans="2:10">
      <c r="B224" s="218"/>
      <c r="C224" s="218"/>
      <c r="D224" s="218"/>
      <c r="E224" s="218"/>
      <c r="F224" s="218"/>
      <c r="G224" s="218"/>
    </row>
    <row r="225" spans="1:15">
      <c r="K225" s="218"/>
      <c r="L225" s="219"/>
      <c r="M225" s="218"/>
      <c r="N225" s="218"/>
      <c r="O225" s="218"/>
    </row>
    <row r="226" spans="1:15">
      <c r="B226" s="189" t="s">
        <v>192</v>
      </c>
    </row>
    <row r="227" spans="1:15">
      <c r="B227" s="201"/>
    </row>
    <row r="228" spans="1:15">
      <c r="A228" s="188" t="s">
        <v>75</v>
      </c>
      <c r="B228" s="189" t="s">
        <v>140</v>
      </c>
      <c r="C228" s="189" t="s">
        <v>141</v>
      </c>
      <c r="D228" s="189" t="s">
        <v>102</v>
      </c>
    </row>
    <row r="229" spans="1:15">
      <c r="A229" s="188" t="s">
        <v>76</v>
      </c>
      <c r="B229" s="189" t="s">
        <v>142</v>
      </c>
      <c r="C229" s="189" t="s">
        <v>141</v>
      </c>
      <c r="D229" s="201" t="s">
        <v>108</v>
      </c>
    </row>
    <row r="230" spans="1:15">
      <c r="D230" s="201"/>
    </row>
    <row r="232" spans="1:15">
      <c r="B232" s="189" t="s">
        <v>194</v>
      </c>
    </row>
    <row r="233" spans="1:15">
      <c r="B233" s="201"/>
    </row>
    <row r="234" spans="1:15" ht="15.75" thickBot="1">
      <c r="B234" s="189" t="s">
        <v>145</v>
      </c>
      <c r="C234" s="189" t="s">
        <v>146</v>
      </c>
      <c r="D234" s="189" t="s">
        <v>147</v>
      </c>
      <c r="E234" s="189" t="s">
        <v>148</v>
      </c>
    </row>
    <row r="235" spans="1:15" ht="15.75" thickBot="1">
      <c r="B235" s="215" t="s">
        <v>102</v>
      </c>
      <c r="C235" s="215" t="s">
        <v>163</v>
      </c>
      <c r="D235" s="215" t="s">
        <v>243</v>
      </c>
      <c r="E235" s="215" t="s">
        <v>254</v>
      </c>
    </row>
    <row r="236" spans="1:15" ht="15.75" thickBot="1">
      <c r="B236" s="216" t="s">
        <v>572</v>
      </c>
      <c r="C236" s="216" t="s">
        <v>149</v>
      </c>
      <c r="D236" s="216" t="s">
        <v>156</v>
      </c>
      <c r="E236" s="216" t="s">
        <v>155</v>
      </c>
    </row>
    <row r="237" spans="1:15" ht="15.75" thickBot="1">
      <c r="B237" s="217" t="s">
        <v>394</v>
      </c>
      <c r="C237" s="217" t="s">
        <v>150</v>
      </c>
      <c r="D237" s="217" t="s">
        <v>531</v>
      </c>
      <c r="E237" s="217" t="s">
        <v>150</v>
      </c>
    </row>
    <row r="238" spans="1:15" ht="15.75" thickBot="1">
      <c r="B238" s="216" t="s">
        <v>108</v>
      </c>
      <c r="C238" s="216" t="s">
        <v>149</v>
      </c>
      <c r="D238" s="216" t="s">
        <v>151</v>
      </c>
      <c r="E238" s="216" t="s">
        <v>172</v>
      </c>
    </row>
    <row r="239" spans="1:15" ht="15.75" thickBot="1">
      <c r="B239" s="217"/>
      <c r="C239" s="217"/>
      <c r="D239" s="217"/>
      <c r="E239" s="217"/>
    </row>
    <row r="241" spans="1:15">
      <c r="B241" s="189" t="s">
        <v>195</v>
      </c>
    </row>
    <row r="242" spans="1:15">
      <c r="B242" s="201"/>
    </row>
    <row r="243" spans="1:15">
      <c r="B243" s="195" t="s">
        <v>196</v>
      </c>
    </row>
    <row r="244" spans="1:15">
      <c r="B244" s="195" t="s">
        <v>262</v>
      </c>
    </row>
    <row r="245" spans="1:15">
      <c r="B245" s="195"/>
    </row>
    <row r="247" spans="1:15">
      <c r="H247" s="364"/>
      <c r="I247" s="364"/>
      <c r="J247" s="364"/>
    </row>
    <row r="248" spans="1:15">
      <c r="B248" s="218"/>
      <c r="C248" s="218"/>
      <c r="D248" s="218"/>
      <c r="E248" s="218"/>
      <c r="F248" s="218"/>
      <c r="G248" s="218"/>
    </row>
    <row r="250" spans="1:15">
      <c r="B250" s="189" t="s">
        <v>198</v>
      </c>
      <c r="K250" s="218"/>
      <c r="L250" s="219"/>
      <c r="M250" s="218"/>
      <c r="N250" s="218"/>
      <c r="O250" s="218"/>
    </row>
    <row r="251" spans="1:15">
      <c r="B251" s="201"/>
    </row>
    <row r="252" spans="1:15">
      <c r="A252" s="188" t="s">
        <v>77</v>
      </c>
      <c r="B252" s="189" t="s">
        <v>140</v>
      </c>
      <c r="C252" s="189" t="s">
        <v>141</v>
      </c>
      <c r="D252" s="189" t="s">
        <v>177</v>
      </c>
    </row>
    <row r="253" spans="1:15">
      <c r="A253" s="188" t="s">
        <v>78</v>
      </c>
      <c r="B253" s="189" t="s">
        <v>142</v>
      </c>
      <c r="C253" s="189" t="s">
        <v>141</v>
      </c>
      <c r="D253" s="201" t="s">
        <v>181</v>
      </c>
    </row>
    <row r="254" spans="1:15">
      <c r="D254" s="201"/>
    </row>
    <row r="256" spans="1:15">
      <c r="B256" s="189" t="s">
        <v>201</v>
      </c>
    </row>
    <row r="257" spans="2:10">
      <c r="B257" s="201"/>
    </row>
    <row r="258" spans="2:10" ht="15.75" thickBot="1">
      <c r="B258" s="189" t="s">
        <v>145</v>
      </c>
      <c r="C258" s="189" t="s">
        <v>146</v>
      </c>
      <c r="D258" s="189" t="s">
        <v>147</v>
      </c>
      <c r="E258" s="189" t="s">
        <v>148</v>
      </c>
    </row>
    <row r="259" spans="2:10" ht="15.75" thickBot="1">
      <c r="B259" s="215" t="s">
        <v>177</v>
      </c>
      <c r="C259" s="215" t="s">
        <v>163</v>
      </c>
      <c r="D259" s="215" t="s">
        <v>155</v>
      </c>
      <c r="E259" s="215" t="s">
        <v>164</v>
      </c>
    </row>
    <row r="260" spans="2:10" ht="15.75" thickBot="1">
      <c r="B260" s="216" t="s">
        <v>202</v>
      </c>
      <c r="C260" s="216" t="s">
        <v>151</v>
      </c>
      <c r="D260" s="216" t="s">
        <v>156</v>
      </c>
      <c r="E260" s="216" t="s">
        <v>151</v>
      </c>
    </row>
    <row r="261" spans="2:10" ht="15.75" thickBot="1">
      <c r="B261" s="217" t="s">
        <v>181</v>
      </c>
      <c r="C261" s="217" t="s">
        <v>164</v>
      </c>
      <c r="D261" s="217" t="s">
        <v>153</v>
      </c>
      <c r="E261" s="217" t="s">
        <v>155</v>
      </c>
    </row>
    <row r="262" spans="2:10" ht="15.75" thickBot="1">
      <c r="B262" s="216" t="s">
        <v>32</v>
      </c>
      <c r="C262" s="216" t="s">
        <v>150</v>
      </c>
      <c r="D262" s="216" t="s">
        <v>246</v>
      </c>
      <c r="E262" s="216" t="s">
        <v>156</v>
      </c>
    </row>
    <row r="263" spans="2:10" ht="15.75" thickBot="1">
      <c r="B263" s="217"/>
      <c r="C263" s="217"/>
      <c r="D263" s="217"/>
      <c r="E263" s="217"/>
    </row>
    <row r="265" spans="2:10">
      <c r="B265" s="189" t="s">
        <v>203</v>
      </c>
    </row>
    <row r="266" spans="2:10">
      <c r="B266" s="201"/>
    </row>
    <row r="267" spans="2:10">
      <c r="B267" s="195" t="s">
        <v>204</v>
      </c>
    </row>
    <row r="268" spans="2:10">
      <c r="B268" s="195" t="s">
        <v>205</v>
      </c>
    </row>
    <row r="269" spans="2:10">
      <c r="B269" s="195"/>
    </row>
    <row r="271" spans="2:10">
      <c r="B271" s="218"/>
      <c r="C271" s="218"/>
      <c r="D271" s="218"/>
      <c r="E271" s="218"/>
      <c r="F271" s="218"/>
      <c r="G271" s="218"/>
      <c r="H271" s="364"/>
      <c r="I271" s="364"/>
      <c r="J271" s="364"/>
    </row>
    <row r="274" spans="1:15">
      <c r="B274" s="189" t="s">
        <v>206</v>
      </c>
      <c r="K274" s="218"/>
      <c r="L274" s="219"/>
      <c r="M274" s="218"/>
      <c r="N274" s="218"/>
      <c r="O274" s="218"/>
    </row>
    <row r="275" spans="1:15">
      <c r="B275" s="201"/>
    </row>
    <row r="276" spans="1:15">
      <c r="A276" s="188" t="s">
        <v>79</v>
      </c>
      <c r="B276" s="189" t="s">
        <v>140</v>
      </c>
      <c r="C276" s="189" t="s">
        <v>141</v>
      </c>
      <c r="D276" s="189" t="s">
        <v>395</v>
      </c>
    </row>
    <row r="277" spans="1:15">
      <c r="A277" s="188" t="s">
        <v>80</v>
      </c>
      <c r="B277" s="189" t="s">
        <v>142</v>
      </c>
      <c r="C277" s="189" t="s">
        <v>141</v>
      </c>
      <c r="D277" s="201" t="s">
        <v>396</v>
      </c>
    </row>
    <row r="278" spans="1:15">
      <c r="D278" s="201"/>
    </row>
    <row r="280" spans="1:15">
      <c r="B280" s="189" t="s">
        <v>208</v>
      </c>
    </row>
    <row r="281" spans="1:15">
      <c r="B281" s="201"/>
    </row>
    <row r="282" spans="1:15" ht="15.75" thickBot="1">
      <c r="B282" s="189" t="s">
        <v>145</v>
      </c>
      <c r="C282" s="189" t="s">
        <v>146</v>
      </c>
      <c r="D282" s="189" t="s">
        <v>147</v>
      </c>
      <c r="E282" s="189" t="s">
        <v>148</v>
      </c>
    </row>
    <row r="283" spans="1:15" ht="15.75" thickBot="1">
      <c r="B283" s="215" t="s">
        <v>395</v>
      </c>
      <c r="C283" s="215" t="s">
        <v>163</v>
      </c>
      <c r="D283" s="215" t="s">
        <v>149</v>
      </c>
      <c r="E283" s="215" t="s">
        <v>164</v>
      </c>
    </row>
    <row r="284" spans="1:15" ht="15.75" thickBot="1">
      <c r="B284" s="216" t="s">
        <v>110</v>
      </c>
      <c r="C284" s="216" t="s">
        <v>150</v>
      </c>
      <c r="D284" s="216" t="s">
        <v>180</v>
      </c>
      <c r="E284" s="216" t="s">
        <v>153</v>
      </c>
    </row>
    <row r="285" spans="1:15" ht="15.75" thickBot="1">
      <c r="B285" s="217" t="s">
        <v>396</v>
      </c>
      <c r="C285" s="217" t="s">
        <v>164</v>
      </c>
      <c r="D285" s="217" t="s">
        <v>156</v>
      </c>
      <c r="E285" s="217" t="s">
        <v>149</v>
      </c>
    </row>
    <row r="286" spans="1:15" ht="15.75" thickBot="1">
      <c r="B286" s="216" t="s">
        <v>104</v>
      </c>
      <c r="C286" s="216" t="s">
        <v>151</v>
      </c>
      <c r="D286" s="216" t="s">
        <v>154</v>
      </c>
      <c r="E286" s="216" t="s">
        <v>155</v>
      </c>
    </row>
    <row r="287" spans="1:15" ht="15.75" thickBot="1">
      <c r="B287" s="217"/>
      <c r="C287" s="217"/>
      <c r="D287" s="217"/>
      <c r="E287" s="217"/>
    </row>
    <row r="289" spans="2:10">
      <c r="B289" s="189" t="s">
        <v>211</v>
      </c>
    </row>
    <row r="290" spans="2:10">
      <c r="B290" s="201"/>
    </row>
    <row r="291" spans="2:10">
      <c r="B291" s="195" t="s">
        <v>212</v>
      </c>
    </row>
    <row r="292" spans="2:10">
      <c r="B292" s="195" t="s">
        <v>213</v>
      </c>
    </row>
    <row r="293" spans="2:10">
      <c r="B293" s="195"/>
    </row>
    <row r="295" spans="2:10">
      <c r="H295" s="364"/>
      <c r="I295" s="364"/>
      <c r="J295" s="364"/>
    </row>
  </sheetData>
  <sheetProtection selectLockedCells="1" selectUnlockedCells="1"/>
  <pageMargins left="0.7" right="0.7" top="0.75" bottom="0.75" header="0.51180555555555551" footer="0.51180555555555551"/>
  <pageSetup firstPageNumber="0" orientation="portrait" horizontalDpi="300" verticalDpi="300"/>
  <headerFooter alignWithMargins="0"/>
  <ignoredErrors>
    <ignoredError sqref="G4:G5 G8:G9 C3:C10" formula="1"/>
  </ignoredErrors>
</worksheet>
</file>

<file path=xl/worksheets/sheet31.xml><?xml version="1.0" encoding="utf-8"?>
<worksheet xmlns="http://schemas.openxmlformats.org/spreadsheetml/2006/main" xmlns:r="http://schemas.openxmlformats.org/officeDocument/2006/relationships">
  <sheetPr codeName="Blad22">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498</v>
      </c>
      <c r="L1" s="194"/>
      <c r="P1" s="193">
        <f>SUM(P14:P101)+E11+H11+L7+L11+Q11</f>
        <v>400</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Nederland</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Colombia</v>
      </c>
      <c r="C4" s="222">
        <f t="shared" si="1"/>
        <v>10</v>
      </c>
      <c r="D4" s="224" t="str">
        <f t="shared" si="2"/>
        <v>Uruguay</v>
      </c>
      <c r="E4" s="222">
        <f t="shared" si="3"/>
        <v>10</v>
      </c>
      <c r="F4" s="339" t="s">
        <v>450</v>
      </c>
      <c r="G4" s="195" t="str">
        <f>G88</f>
        <v>Uruguay</v>
      </c>
      <c r="H4" s="222">
        <f t="shared" si="4"/>
        <v>0</v>
      </c>
      <c r="I4" s="339" t="s">
        <v>458</v>
      </c>
      <c r="J4" s="195" t="str">
        <f>G94</f>
        <v>Duitsland</v>
      </c>
      <c r="L4" s="222">
        <f>IF(ISNA(MATCH(J4,teams_halve,0)),0,20)</f>
        <v>20</v>
      </c>
      <c r="Q4" s="224"/>
    </row>
    <row r="5" spans="1:21" s="195" customFormat="1" ht="15" customHeight="1">
      <c r="B5" s="224" t="str">
        <f t="shared" si="0"/>
        <v>Spanje</v>
      </c>
      <c r="C5" s="222">
        <f t="shared" si="1"/>
        <v>0</v>
      </c>
      <c r="D5" s="224" t="str">
        <f t="shared" si="2"/>
        <v>Kroatië</v>
      </c>
      <c r="E5" s="222">
        <f t="shared" si="3"/>
        <v>0</v>
      </c>
      <c r="F5" s="339" t="s">
        <v>451</v>
      </c>
      <c r="G5" s="195" t="str">
        <f>E90</f>
        <v>Spanje</v>
      </c>
      <c r="H5" s="222">
        <f t="shared" si="4"/>
        <v>0</v>
      </c>
      <c r="I5" s="339" t="s">
        <v>459</v>
      </c>
      <c r="J5" s="195" t="str">
        <f>E95</f>
        <v>Spanje</v>
      </c>
      <c r="L5" s="222">
        <f>IF(ISNA(MATCH(J5,teams_halve,0)),0,20)</f>
        <v>0</v>
      </c>
    </row>
    <row r="6" spans="1:21" s="195" customFormat="1" ht="15" customHeight="1">
      <c r="B6" s="224" t="str">
        <f t="shared" si="0"/>
        <v>Italië</v>
      </c>
      <c r="C6" s="222">
        <f t="shared" si="1"/>
        <v>0</v>
      </c>
      <c r="D6" s="224" t="str">
        <f t="shared" si="2"/>
        <v>Ivoorkust</v>
      </c>
      <c r="E6" s="222">
        <f t="shared" si="3"/>
        <v>0</v>
      </c>
      <c r="F6" s="339" t="s">
        <v>452</v>
      </c>
      <c r="G6" s="195" t="str">
        <f>G90</f>
        <v>Ivoorkust</v>
      </c>
      <c r="H6" s="222">
        <f t="shared" si="4"/>
        <v>0</v>
      </c>
      <c r="I6" s="339" t="s">
        <v>460</v>
      </c>
      <c r="J6" s="195" t="str">
        <f>G95</f>
        <v>Portugal</v>
      </c>
      <c r="L6" s="222">
        <f>IF(ISNA(MATCH(J6,teams_halve,0)),0,20)</f>
        <v>0</v>
      </c>
    </row>
    <row r="7" spans="1:21" s="195" customFormat="1" ht="15" customHeight="1">
      <c r="B7" s="224" t="str">
        <f t="shared" si="0"/>
        <v>Frankrijk</v>
      </c>
      <c r="C7" s="222">
        <f t="shared" si="1"/>
        <v>10</v>
      </c>
      <c r="D7" s="224" t="str">
        <f t="shared" si="2"/>
        <v>Nigeria</v>
      </c>
      <c r="E7" s="222">
        <f t="shared" si="3"/>
        <v>10</v>
      </c>
      <c r="F7" s="339" t="s">
        <v>453</v>
      </c>
      <c r="G7" s="195" t="str">
        <f>E89</f>
        <v>Frankrijk</v>
      </c>
      <c r="H7" s="222">
        <f t="shared" si="4"/>
        <v>15</v>
      </c>
      <c r="I7" s="339"/>
      <c r="J7" s="198" t="s">
        <v>83</v>
      </c>
      <c r="K7" s="199"/>
      <c r="L7" s="225">
        <f>SUM(L3:L6)</f>
        <v>40</v>
      </c>
    </row>
    <row r="8" spans="1:21" s="195" customFormat="1" ht="15" customHeight="1">
      <c r="B8" s="224" t="str">
        <f t="shared" si="0"/>
        <v>Duitsland</v>
      </c>
      <c r="C8" s="222">
        <f t="shared" si="1"/>
        <v>10</v>
      </c>
      <c r="D8" s="224" t="str">
        <f t="shared" si="2"/>
        <v>België</v>
      </c>
      <c r="E8" s="222">
        <f t="shared" si="3"/>
        <v>10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Ecuador</v>
      </c>
      <c r="E9" s="222">
        <f t="shared" si="3"/>
        <v>0</v>
      </c>
      <c r="F9" s="339" t="s">
        <v>455</v>
      </c>
      <c r="G9" s="195" t="str">
        <f>E91</f>
        <v>Argentinië</v>
      </c>
      <c r="H9" s="222">
        <f t="shared" si="4"/>
        <v>15</v>
      </c>
      <c r="I9" s="339" t="s">
        <v>461</v>
      </c>
      <c r="J9" s="195" t="str">
        <f>E101</f>
        <v>Duitsland</v>
      </c>
      <c r="L9" s="222">
        <f>IF(ISNA(MATCH(J9,teams_fin,0)),0,30)</f>
        <v>30</v>
      </c>
      <c r="P9" s="444" t="str">
        <f>E98</f>
        <v>Brazilië</v>
      </c>
      <c r="Q9" s="222">
        <f>IF(ISNA(MATCH(P9,teams_troost,0)),0,25)</f>
        <v>25</v>
      </c>
    </row>
    <row r="10" spans="1:21" s="195" customFormat="1" ht="15" customHeight="1">
      <c r="B10" s="224" t="str">
        <f t="shared" si="0"/>
        <v>Rusland</v>
      </c>
      <c r="C10" s="222">
        <f t="shared" si="1"/>
        <v>0</v>
      </c>
      <c r="D10" s="224" t="str">
        <f t="shared" si="2"/>
        <v>Portugal</v>
      </c>
      <c r="E10" s="222">
        <f t="shared" si="3"/>
        <v>0</v>
      </c>
      <c r="F10" s="339" t="s">
        <v>456</v>
      </c>
      <c r="G10" s="195" t="str">
        <f>G91</f>
        <v>Portugal</v>
      </c>
      <c r="H10" s="222">
        <f t="shared" si="4"/>
        <v>0</v>
      </c>
      <c r="I10" s="339" t="s">
        <v>462</v>
      </c>
      <c r="J10" s="195" t="str">
        <f>G101</f>
        <v>Spanje</v>
      </c>
      <c r="L10" s="222">
        <f>IF(ISNA(MATCH(J10,teams_fin,0)),0,30)</f>
        <v>0</v>
      </c>
      <c r="P10" s="444" t="str">
        <f>G98</f>
        <v>Portugal</v>
      </c>
      <c r="Q10" s="222">
        <f>IF(ISNA(MATCH(P10,teams_troost,0)),0,25)</f>
        <v>0</v>
      </c>
    </row>
    <row r="11" spans="1:21" s="195" customFormat="1" ht="15" customHeight="1">
      <c r="D11" s="198" t="s">
        <v>89</v>
      </c>
      <c r="E11" s="225">
        <f>SUM(C3:E10)</f>
        <v>90</v>
      </c>
      <c r="G11" s="198" t="s">
        <v>82</v>
      </c>
      <c r="H11" s="225">
        <f>SUM(H3:H10)</f>
        <v>60</v>
      </c>
      <c r="J11" s="198" t="s">
        <v>90</v>
      </c>
      <c r="K11" s="199"/>
      <c r="L11" s="225">
        <f>SUM(L9:L10)</f>
        <v>30</v>
      </c>
      <c r="P11" s="199"/>
      <c r="Q11" s="225">
        <f>SUM(Q9:Q10)</f>
        <v>25</v>
      </c>
    </row>
    <row r="12" spans="1:21">
      <c r="B12" s="201" t="s">
        <v>19</v>
      </c>
      <c r="C12" s="201"/>
      <c r="D12" s="339" t="s">
        <v>463</v>
      </c>
      <c r="E12" s="202" t="s">
        <v>177</v>
      </c>
      <c r="F12" s="226">
        <f>IF(ISNA(MATCH(E12,Invulblad!F104,0)),0,50)</f>
        <v>50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3</v>
      </c>
      <c r="I14" s="366" t="s">
        <v>29</v>
      </c>
      <c r="J14" s="366">
        <v>0</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1</v>
      </c>
      <c r="I15" s="366" t="s">
        <v>29</v>
      </c>
      <c r="J15" s="366">
        <v>1</v>
      </c>
      <c r="K15" s="212">
        <f t="shared" si="5"/>
        <v>3</v>
      </c>
      <c r="L15" s="210" t="str">
        <f>VLOOKUP($B15,Invulblad!$A$11:$S$103,13,0)</f>
        <v>1</v>
      </c>
      <c r="M15" s="211">
        <f>IF(L15&lt;&gt;"",VLOOKUP($B15,Invulblad!$A$11:$S$103,7,0),"")</f>
        <v>1</v>
      </c>
      <c r="N15" s="209" t="s">
        <v>29</v>
      </c>
      <c r="O15" s="211">
        <f>IF(L15&lt;&gt;"",VLOOKUP($B15,Invulblad!$A$11:$S$103,9,0),"")</f>
        <v>0</v>
      </c>
      <c r="P15" s="212">
        <f t="shared" si="6"/>
        <v>0</v>
      </c>
    </row>
    <row r="16" spans="1:21">
      <c r="A16" s="188">
        <v>3</v>
      </c>
      <c r="B16" s="195">
        <v>17</v>
      </c>
      <c r="C16" s="332">
        <v>41807</v>
      </c>
      <c r="D16" s="333">
        <v>0.875</v>
      </c>
      <c r="E16" s="189" t="s">
        <v>557</v>
      </c>
      <c r="F16" s="189" t="s">
        <v>29</v>
      </c>
      <c r="G16" s="189" t="s">
        <v>96</v>
      </c>
      <c r="H16" s="366">
        <v>1</v>
      </c>
      <c r="I16" s="366" t="s">
        <v>29</v>
      </c>
      <c r="J16" s="366">
        <v>0</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0</v>
      </c>
      <c r="I17" s="366" t="s">
        <v>29</v>
      </c>
      <c r="J17" s="366">
        <v>0</v>
      </c>
      <c r="K17" s="212">
        <f t="shared" si="5"/>
        <v>3</v>
      </c>
      <c r="L17" s="210">
        <f>VLOOKUP($B17,Invulblad!$A$11:$S$103,13,0)</f>
        <v>2</v>
      </c>
      <c r="M17" s="211">
        <f>IF(L17&lt;&gt;"",VLOOKUP($B17,Invulblad!$A$11:$S$103,7,0),"")</f>
        <v>0</v>
      </c>
      <c r="N17" s="209" t="s">
        <v>29</v>
      </c>
      <c r="O17" s="211">
        <f>IF(L17&lt;&gt;"",VLOOKUP($B17,Invulblad!$A$11:$S$103,9,0),"")</f>
        <v>4</v>
      </c>
      <c r="P17" s="212">
        <f t="shared" si="6"/>
        <v>0</v>
      </c>
    </row>
    <row r="18" spans="1:16">
      <c r="A18" s="188">
        <v>5</v>
      </c>
      <c r="B18" s="195">
        <v>33</v>
      </c>
      <c r="C18" s="332">
        <v>41813</v>
      </c>
      <c r="D18" s="333">
        <v>0.91666666666666663</v>
      </c>
      <c r="E18" s="189" t="s">
        <v>121</v>
      </c>
      <c r="F18" s="189" t="s">
        <v>29</v>
      </c>
      <c r="G18" s="189" t="s">
        <v>559</v>
      </c>
      <c r="H18" s="366">
        <v>0</v>
      </c>
      <c r="I18" s="366" t="s">
        <v>29</v>
      </c>
      <c r="J18" s="366">
        <v>2</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1</v>
      </c>
      <c r="I19" s="366" t="s">
        <v>29</v>
      </c>
      <c r="J19" s="366">
        <v>0</v>
      </c>
      <c r="K19" s="212" t="str">
        <f t="shared" si="5"/>
        <v>1</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1</v>
      </c>
      <c r="I22" s="366" t="s">
        <v>29</v>
      </c>
      <c r="J22" s="366">
        <v>1</v>
      </c>
      <c r="K22" s="212">
        <f t="shared" si="5"/>
        <v>3</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1</v>
      </c>
      <c r="I23" s="366" t="s">
        <v>29</v>
      </c>
      <c r="J23" s="366">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2</v>
      </c>
      <c r="I24" s="366" t="s">
        <v>29</v>
      </c>
      <c r="J24" s="366">
        <v>0</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0</v>
      </c>
      <c r="I25" s="366" t="s">
        <v>29</v>
      </c>
      <c r="J25" s="366">
        <v>1</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0</v>
      </c>
      <c r="I26" s="366" t="s">
        <v>29</v>
      </c>
      <c r="J26" s="366">
        <v>1</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0</v>
      </c>
      <c r="I27" s="366" t="s">
        <v>29</v>
      </c>
      <c r="J27" s="366">
        <v>0</v>
      </c>
      <c r="K27" s="212">
        <f t="shared" si="5"/>
        <v>3</v>
      </c>
      <c r="L27" s="210" t="str">
        <f>VLOOKUP($B27,Invulblad!$A$11:$S$103,13,0)</f>
        <v>1</v>
      </c>
      <c r="M27" s="211">
        <f>IF(L27&lt;&gt;"",VLOOKUP($B27,Invulblad!$A$11:$S$103,7,0),"")</f>
        <v>2</v>
      </c>
      <c r="N27" s="209" t="s">
        <v>29</v>
      </c>
      <c r="O27" s="211">
        <f>IF(L27&lt;&gt;"",VLOOKUP($B27,Invulblad!$A$11:$S$103,9,0),"")</f>
        <v>0</v>
      </c>
      <c r="P27" s="212">
        <f t="shared" si="7"/>
        <v>0</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2</v>
      </c>
      <c r="I30" s="366" t="s">
        <v>29</v>
      </c>
      <c r="J30" s="366">
        <v>0</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1</v>
      </c>
      <c r="I31" s="366" t="s">
        <v>29</v>
      </c>
      <c r="J31" s="366">
        <v>0</v>
      </c>
      <c r="K31" s="212" t="str">
        <f t="shared" si="5"/>
        <v>1</v>
      </c>
      <c r="L31" s="210" t="str">
        <f>VLOOKUP($B31,Invulblad!$A$11:$S$103,13,0)</f>
        <v>1</v>
      </c>
      <c r="M31" s="211">
        <f>IF(L31&lt;&gt;"",VLOOKUP($B31,Invulblad!$A$11:$S$103,7,0),"")</f>
        <v>2</v>
      </c>
      <c r="N31" s="209" t="s">
        <v>29</v>
      </c>
      <c r="O31" s="211">
        <f>IF(L31&lt;&gt;"",VLOOKUP($B31,Invulblad!$A$11:$S$103,9,0),"")</f>
        <v>1</v>
      </c>
      <c r="P31" s="212">
        <f t="shared" si="8"/>
        <v>5</v>
      </c>
    </row>
    <row r="32" spans="1:16">
      <c r="A32" s="188">
        <v>19</v>
      </c>
      <c r="B32" s="195">
        <v>21</v>
      </c>
      <c r="C32" s="332">
        <v>41809</v>
      </c>
      <c r="D32" s="333">
        <v>0.75</v>
      </c>
      <c r="E32" s="189" t="s">
        <v>428</v>
      </c>
      <c r="F32" s="189" t="s">
        <v>29</v>
      </c>
      <c r="G32" s="189" t="s">
        <v>125</v>
      </c>
      <c r="H32" s="366">
        <v>1</v>
      </c>
      <c r="I32" s="366" t="s">
        <v>29</v>
      </c>
      <c r="J32" s="366">
        <v>1</v>
      </c>
      <c r="K32" s="212">
        <f t="shared" si="5"/>
        <v>3</v>
      </c>
      <c r="L32" s="210" t="str">
        <f>VLOOKUP($B32,Invulblad!$A$11:$S$103,13,0)</f>
        <v>1</v>
      </c>
      <c r="M32" s="211">
        <f>IF(L32&lt;&gt;"",VLOOKUP($B32,Invulblad!$A$11:$S$103,7,0),"")</f>
        <v>2</v>
      </c>
      <c r="N32" s="209" t="s">
        <v>29</v>
      </c>
      <c r="O32" s="211">
        <f>IF(L32&lt;&gt;"",VLOOKUP($B32,Invulblad!$A$11:$S$103,9,0),"")</f>
        <v>1</v>
      </c>
      <c r="P32" s="212">
        <f t="shared" si="8"/>
        <v>0</v>
      </c>
    </row>
    <row r="33" spans="1:16">
      <c r="A33" s="188">
        <v>20</v>
      </c>
      <c r="B33" s="195">
        <v>22</v>
      </c>
      <c r="C33" s="332">
        <v>41810</v>
      </c>
      <c r="D33" s="333">
        <v>0</v>
      </c>
      <c r="E33" s="189" t="s">
        <v>118</v>
      </c>
      <c r="F33" s="189" t="s">
        <v>29</v>
      </c>
      <c r="G33" s="189" t="s">
        <v>105</v>
      </c>
      <c r="H33" s="366">
        <v>0</v>
      </c>
      <c r="I33" s="366" t="s">
        <v>29</v>
      </c>
      <c r="J33" s="366">
        <v>2</v>
      </c>
      <c r="K33" s="212">
        <f t="shared" si="5"/>
        <v>2</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0</v>
      </c>
      <c r="I34" s="366" t="s">
        <v>29</v>
      </c>
      <c r="J34" s="366">
        <v>1</v>
      </c>
      <c r="K34" s="212">
        <f t="shared" si="5"/>
        <v>2</v>
      </c>
      <c r="L34" s="210">
        <f>VLOOKUP($B34,Invulblad!$A$11:$S$103,13,0)</f>
        <v>2</v>
      </c>
      <c r="M34" s="211">
        <f>IF(L34&lt;&gt;"",VLOOKUP($B34,Invulblad!$A$11:$S$103,7,0),"")</f>
        <v>1</v>
      </c>
      <c r="N34" s="209" t="s">
        <v>29</v>
      </c>
      <c r="O34" s="211">
        <f>IF(L34&lt;&gt;"",VLOOKUP($B34,Invulblad!$A$11:$S$103,9,0),"")</f>
        <v>4</v>
      </c>
      <c r="P34" s="212">
        <f t="shared" si="8"/>
        <v>5</v>
      </c>
    </row>
    <row r="35" spans="1:16">
      <c r="A35" s="188">
        <v>22</v>
      </c>
      <c r="B35" s="195">
        <v>38</v>
      </c>
      <c r="C35" s="332">
        <v>41814</v>
      </c>
      <c r="D35" s="333">
        <v>0.91666666666666663</v>
      </c>
      <c r="E35" s="189" t="s">
        <v>233</v>
      </c>
      <c r="F35" s="189" t="s">
        <v>29</v>
      </c>
      <c r="G35" s="189" t="s">
        <v>125</v>
      </c>
      <c r="H35" s="366">
        <v>0</v>
      </c>
      <c r="I35" s="366" t="s">
        <v>29</v>
      </c>
      <c r="J35" s="366">
        <v>1</v>
      </c>
      <c r="K35" s="212">
        <f t="shared" si="5"/>
        <v>2</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2</v>
      </c>
      <c r="I38" s="366" t="s">
        <v>29</v>
      </c>
      <c r="J38" s="366">
        <v>0</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1</v>
      </c>
      <c r="K39" s="212">
        <f t="shared" si="5"/>
        <v>3</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0</v>
      </c>
      <c r="I40" s="366" t="s">
        <v>29</v>
      </c>
      <c r="J40" s="366">
        <v>0</v>
      </c>
      <c r="K40" s="212">
        <f t="shared" si="5"/>
        <v>3</v>
      </c>
      <c r="L40" s="210" t="str">
        <f>VLOOKUP($B40,Invulblad!$A$11:$S$103,13,0)</f>
        <v>1</v>
      </c>
      <c r="M40" s="211">
        <f>IF(L40&lt;&gt;"",VLOOKUP($B40,Invulblad!$A$11:$S$103,7,0),"")</f>
        <v>2</v>
      </c>
      <c r="N40" s="209" t="s">
        <v>29</v>
      </c>
      <c r="O40" s="211">
        <f>IF(L40&lt;&gt;"",VLOOKUP($B40,Invulblad!$A$11:$S$103,9,0),"")</f>
        <v>1</v>
      </c>
      <c r="P40" s="212">
        <f t="shared" si="9"/>
        <v>0</v>
      </c>
    </row>
    <row r="41" spans="1:16">
      <c r="A41" s="188">
        <v>28</v>
      </c>
      <c r="B41" s="195">
        <v>24</v>
      </c>
      <c r="C41" s="332">
        <v>41810</v>
      </c>
      <c r="D41" s="333">
        <v>0.75</v>
      </c>
      <c r="E41" s="189" t="s">
        <v>564</v>
      </c>
      <c r="F41" s="189" t="s">
        <v>29</v>
      </c>
      <c r="G41" s="189" t="s">
        <v>430</v>
      </c>
      <c r="H41" s="366">
        <v>2</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1</v>
      </c>
      <c r="I42" s="366" t="s">
        <v>29</v>
      </c>
      <c r="J42" s="366">
        <v>1</v>
      </c>
      <c r="K42" s="212">
        <f t="shared" si="5"/>
        <v>3</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1</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0</v>
      </c>
      <c r="I46" s="366" t="s">
        <v>29</v>
      </c>
      <c r="J46" s="366">
        <v>1</v>
      </c>
      <c r="K46" s="212">
        <f t="shared" si="5"/>
        <v>2</v>
      </c>
      <c r="L46" s="210" t="str">
        <f>VLOOKUP($B46,Invulblad!$A$11:$S$103,13,0)</f>
        <v>1</v>
      </c>
      <c r="M46" s="211">
        <f>IF(L46&lt;&gt;"",VLOOKUP($B46,Invulblad!$A$11:$S$103,7,0),"")</f>
        <v>2</v>
      </c>
      <c r="N46" s="209" t="s">
        <v>29</v>
      </c>
      <c r="O46" s="211">
        <f>IF(L46&lt;&gt;"",VLOOKUP($B46,Invulblad!$A$11:$S$103,9,0),"")</f>
        <v>1</v>
      </c>
      <c r="P46" s="212">
        <f t="shared" ref="P46:P51" si="10">IF(L46&lt;&gt;"",IF(AND(M46=H46,O46=J46),10,IF(K46=L46,5,0)),"")</f>
        <v>0</v>
      </c>
    </row>
    <row r="47" spans="1:16">
      <c r="A47" s="188">
        <v>34</v>
      </c>
      <c r="B47" s="195">
        <v>10</v>
      </c>
      <c r="C47" s="332">
        <v>41805</v>
      </c>
      <c r="D47" s="333">
        <v>0.875</v>
      </c>
      <c r="E47" s="189" t="s">
        <v>100</v>
      </c>
      <c r="F47" s="189" t="s">
        <v>29</v>
      </c>
      <c r="G47" s="189" t="s">
        <v>132</v>
      </c>
      <c r="H47" s="366">
        <v>2</v>
      </c>
      <c r="I47" s="366" t="s">
        <v>29</v>
      </c>
      <c r="J47" s="366">
        <v>1</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0</v>
      </c>
      <c r="I48" s="366" t="s">
        <v>29</v>
      </c>
      <c r="J48" s="366">
        <v>2</v>
      </c>
      <c r="K48" s="212">
        <f t="shared" si="5"/>
        <v>2</v>
      </c>
      <c r="L48" s="210">
        <f>VLOOKUP($B48,Invulblad!$A$11:$S$103,13,0)</f>
        <v>2</v>
      </c>
      <c r="M48" s="211">
        <f>IF(L48&lt;&gt;"",VLOOKUP($B48,Invulblad!$A$11:$S$103,7,0),"")</f>
        <v>2</v>
      </c>
      <c r="N48" s="209" t="s">
        <v>29</v>
      </c>
      <c r="O48" s="211">
        <f>IF(L48&lt;&gt;"",VLOOKUP($B48,Invulblad!$A$11:$S$103,9,0),"")</f>
        <v>5</v>
      </c>
      <c r="P48" s="212">
        <f t="shared" si="10"/>
        <v>5</v>
      </c>
    </row>
    <row r="49" spans="1:16">
      <c r="A49" s="188">
        <v>36</v>
      </c>
      <c r="B49" s="195">
        <v>26</v>
      </c>
      <c r="C49" s="332">
        <v>41811</v>
      </c>
      <c r="D49" s="333">
        <v>0</v>
      </c>
      <c r="E49" s="189" t="s">
        <v>127</v>
      </c>
      <c r="F49" s="189" t="s">
        <v>29</v>
      </c>
      <c r="G49" s="189" t="s">
        <v>434</v>
      </c>
      <c r="H49" s="366">
        <v>1</v>
      </c>
      <c r="I49" s="366" t="s">
        <v>29</v>
      </c>
      <c r="J49" s="366">
        <v>1</v>
      </c>
      <c r="K49" s="212">
        <f t="shared" si="5"/>
        <v>3</v>
      </c>
      <c r="L49" s="210">
        <f>VLOOKUP($B49,Invulblad!$A$11:$S$103,13,0)</f>
        <v>2</v>
      </c>
      <c r="M49" s="211">
        <f>IF(L49&lt;&gt;"",VLOOKUP($B49,Invulblad!$A$11:$S$103,7,0),"")</f>
        <v>1</v>
      </c>
      <c r="N49" s="209" t="s">
        <v>29</v>
      </c>
      <c r="O49" s="211">
        <f>IF(L49&lt;&gt;"",VLOOKUP($B49,Invulblad!$A$11:$S$103,9,0),"")</f>
        <v>2</v>
      </c>
      <c r="P49" s="212">
        <f t="shared" si="10"/>
        <v>0</v>
      </c>
    </row>
    <row r="50" spans="1:16">
      <c r="A50" s="188">
        <v>37</v>
      </c>
      <c r="B50" s="195">
        <v>41</v>
      </c>
      <c r="C50" s="332">
        <v>41815</v>
      </c>
      <c r="D50" s="333">
        <v>0.91666666666666663</v>
      </c>
      <c r="E50" s="189" t="s">
        <v>127</v>
      </c>
      <c r="F50" s="189" t="s">
        <v>29</v>
      </c>
      <c r="G50" s="189" t="s">
        <v>130</v>
      </c>
      <c r="H50" s="366">
        <v>1</v>
      </c>
      <c r="I50" s="366" t="s">
        <v>29</v>
      </c>
      <c r="J50" s="366">
        <v>0</v>
      </c>
      <c r="K50" s="212" t="str">
        <f t="shared" ref="K50:K85" si="11">IF(AND(H50="",J50=""),"",IF(OR(H50="",J50=""),"FOUT",IF(H50&gt;J50,"1",IF(H50=J50,3,2))))</f>
        <v>1</v>
      </c>
      <c r="L50" s="210">
        <f>VLOOKUP($B50,Invulblad!$A$11:$S$103,13,0)</f>
        <v>2</v>
      </c>
      <c r="M50" s="211">
        <f>IF(L50&lt;&gt;"",VLOOKUP($B50,Invulblad!$A$11:$S$103,7,0),"")</f>
        <v>0</v>
      </c>
      <c r="N50" s="209" t="s">
        <v>29</v>
      </c>
      <c r="O50" s="211">
        <f>IF(L50&lt;&gt;"",VLOOKUP($B50,Invulblad!$A$11:$S$103,9,0),"")</f>
        <v>3</v>
      </c>
      <c r="P50" s="212">
        <f t="shared" si="10"/>
        <v>0</v>
      </c>
    </row>
    <row r="51" spans="1:16">
      <c r="A51" s="188">
        <v>38</v>
      </c>
      <c r="B51" s="195">
        <v>42</v>
      </c>
      <c r="C51" s="332">
        <v>41815</v>
      </c>
      <c r="D51" s="333">
        <v>0.91666666666666663</v>
      </c>
      <c r="E51" s="189" t="s">
        <v>435</v>
      </c>
      <c r="F51" s="189" t="s">
        <v>29</v>
      </c>
      <c r="G51" s="189" t="s">
        <v>98</v>
      </c>
      <c r="H51" s="366">
        <v>1</v>
      </c>
      <c r="I51" s="366" t="s">
        <v>29</v>
      </c>
      <c r="J51" s="366">
        <v>1</v>
      </c>
      <c r="K51" s="212">
        <f t="shared" si="11"/>
        <v>3</v>
      </c>
      <c r="L51" s="210">
        <f>VLOOKUP($B51,Invulblad!$A$11:$S$103,13,0)</f>
        <v>3</v>
      </c>
      <c r="M51" s="211">
        <f>IF(L51&lt;&gt;"",VLOOKUP($B51,Invulblad!$A$11:$S$103,7,0),"")</f>
        <v>0</v>
      </c>
      <c r="N51" s="209" t="s">
        <v>29</v>
      </c>
      <c r="O51" s="211">
        <f>IF(L51&lt;&gt;"",VLOOKUP($B51,Invulblad!$A$11:$S$103,9,0),"")</f>
        <v>0</v>
      </c>
      <c r="P51" s="212">
        <f t="shared" si="10"/>
        <v>5</v>
      </c>
    </row>
    <row r="52" spans="1:16">
      <c r="A52" s="188">
        <v>39</v>
      </c>
      <c r="B52" s="201" t="s">
        <v>35</v>
      </c>
      <c r="H52" s="367"/>
      <c r="I52" s="367"/>
      <c r="J52" s="367"/>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2</v>
      </c>
      <c r="I54" s="366" t="s">
        <v>29</v>
      </c>
      <c r="J54" s="366">
        <v>0</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2">
        <v>41806</v>
      </c>
      <c r="D55" s="333">
        <v>0.875</v>
      </c>
      <c r="E55" s="189" t="s">
        <v>438</v>
      </c>
      <c r="F55" s="189" t="s">
        <v>29</v>
      </c>
      <c r="G55" s="189" t="s">
        <v>103</v>
      </c>
      <c r="H55" s="366">
        <v>0</v>
      </c>
      <c r="I55" s="366" t="s">
        <v>29</v>
      </c>
      <c r="J55" s="366">
        <v>1</v>
      </c>
      <c r="K55" s="212">
        <f t="shared" si="11"/>
        <v>2</v>
      </c>
      <c r="L55" s="210">
        <f>VLOOKUP($B55,Invulblad!$A$11:$S$103,13,0)</f>
        <v>3</v>
      </c>
      <c r="M55" s="211">
        <f>IF(L55&lt;&gt;"",VLOOKUP($B55,Invulblad!$A$11:$S$103,7,0),"")</f>
        <v>0</v>
      </c>
      <c r="N55" s="209" t="s">
        <v>29</v>
      </c>
      <c r="O55" s="211">
        <f>IF(L55&lt;&gt;"",VLOOKUP($B55,Invulblad!$A$11:$S$103,9,0),"")</f>
        <v>0</v>
      </c>
      <c r="P55" s="212">
        <f t="shared" si="12"/>
        <v>0</v>
      </c>
    </row>
    <row r="56" spans="1:16">
      <c r="A56" s="188">
        <v>43</v>
      </c>
      <c r="B56" s="195">
        <v>27</v>
      </c>
      <c r="C56" s="332">
        <v>41811</v>
      </c>
      <c r="D56" s="333">
        <v>0.75</v>
      </c>
      <c r="E56" s="189" t="s">
        <v>565</v>
      </c>
      <c r="F56" s="189" t="s">
        <v>29</v>
      </c>
      <c r="G56" s="189" t="s">
        <v>439</v>
      </c>
      <c r="H56" s="366">
        <v>3</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1</v>
      </c>
      <c r="I57" s="366" t="s">
        <v>29</v>
      </c>
      <c r="J57" s="366">
        <v>1</v>
      </c>
      <c r="K57" s="212">
        <f t="shared" si="11"/>
        <v>3</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0</v>
      </c>
      <c r="I58" s="366" t="s">
        <v>29</v>
      </c>
      <c r="J58" s="366">
        <v>1</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0</v>
      </c>
      <c r="I59" s="366" t="s">
        <v>29</v>
      </c>
      <c r="J59" s="366">
        <v>0</v>
      </c>
      <c r="K59" s="212">
        <f t="shared" si="11"/>
        <v>3</v>
      </c>
      <c r="L59" s="210" t="str">
        <f>VLOOKUP($B59,Invulblad!$A$11:$S$103,13,0)</f>
        <v>1</v>
      </c>
      <c r="M59" s="211">
        <f>IF(L59&lt;&gt;"",VLOOKUP($B59,Invulblad!$A$11:$S$103,7,0),"")</f>
        <v>3</v>
      </c>
      <c r="N59" s="209" t="s">
        <v>29</v>
      </c>
      <c r="O59" s="211">
        <f>IF(L59&lt;&gt;"",VLOOKUP($B59,Invulblad!$A$11:$S$103,9,0),"")</f>
        <v>1</v>
      </c>
      <c r="P59" s="212">
        <f t="shared" si="12"/>
        <v>0</v>
      </c>
    </row>
    <row r="60" spans="1:16">
      <c r="A60" s="188">
        <v>47</v>
      </c>
      <c r="B60" s="201" t="s">
        <v>36</v>
      </c>
      <c r="H60" s="367"/>
      <c r="I60" s="367"/>
      <c r="J60" s="367"/>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0</v>
      </c>
      <c r="I62" s="366" t="s">
        <v>29</v>
      </c>
      <c r="J62" s="366">
        <v>0</v>
      </c>
      <c r="K62" s="212">
        <f t="shared" si="11"/>
        <v>3</v>
      </c>
      <c r="L62" s="210" t="str">
        <f>VLOOKUP($B62,Invulblad!$A$11:$S$103,13,0)</f>
        <v>1</v>
      </c>
      <c r="M62" s="211">
        <f>IF(L62&lt;&gt;"",VLOOKUP($B62,Invulblad!$A$11:$S$103,7,0),"")</f>
        <v>4</v>
      </c>
      <c r="N62" s="209" t="s">
        <v>29</v>
      </c>
      <c r="O62" s="211">
        <f>IF(L62&lt;&gt;"",VLOOKUP($B62,Invulblad!$A$11:$S$103,9,0),"")</f>
        <v>0</v>
      </c>
      <c r="P62" s="212">
        <f t="shared" ref="P62:P67" si="13">IF(L62&lt;&gt;"",IF(AND(M62=H62,O62=J62),10,IF(K62=L62,5,0)),"")</f>
        <v>0</v>
      </c>
    </row>
    <row r="63" spans="1:16">
      <c r="A63" s="188">
        <v>50</v>
      </c>
      <c r="B63" s="195">
        <v>14</v>
      </c>
      <c r="C63" s="332">
        <v>41807</v>
      </c>
      <c r="D63" s="333">
        <v>0</v>
      </c>
      <c r="E63" s="189" t="s">
        <v>115</v>
      </c>
      <c r="F63" s="189" t="s">
        <v>29</v>
      </c>
      <c r="G63" s="189" t="s">
        <v>577</v>
      </c>
      <c r="H63" s="366">
        <v>0</v>
      </c>
      <c r="I63" s="366" t="s">
        <v>29</v>
      </c>
      <c r="J63" s="366">
        <v>2</v>
      </c>
      <c r="K63" s="212">
        <f t="shared" si="11"/>
        <v>2</v>
      </c>
      <c r="L63" s="210">
        <f>VLOOKUP($B63,Invulblad!$A$11:$S$103,13,0)</f>
        <v>2</v>
      </c>
      <c r="M63" s="211">
        <f>IF(L63&lt;&gt;"",VLOOKUP($B63,Invulblad!$A$11:$S$103,7,0),"")</f>
        <v>1</v>
      </c>
      <c r="N63" s="209" t="s">
        <v>29</v>
      </c>
      <c r="O63" s="211">
        <f>IF(L63&lt;&gt;"",VLOOKUP($B63,Invulblad!$A$11:$S$103,9,0),"")</f>
        <v>2</v>
      </c>
      <c r="P63" s="212">
        <f t="shared" si="13"/>
        <v>5</v>
      </c>
    </row>
    <row r="64" spans="1:16">
      <c r="A64" s="188">
        <v>51</v>
      </c>
      <c r="B64" s="195">
        <v>29</v>
      </c>
      <c r="C64" s="332">
        <v>41811</v>
      </c>
      <c r="D64" s="333">
        <v>0.875</v>
      </c>
      <c r="E64" s="189" t="s">
        <v>113</v>
      </c>
      <c r="F64" s="189" t="s">
        <v>29</v>
      </c>
      <c r="G64" s="189" t="s">
        <v>114</v>
      </c>
      <c r="H64" s="366">
        <v>2</v>
      </c>
      <c r="I64" s="366" t="s">
        <v>29</v>
      </c>
      <c r="J64" s="366">
        <v>0</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1</v>
      </c>
      <c r="I65" s="366" t="s">
        <v>29</v>
      </c>
      <c r="J65" s="366">
        <v>1</v>
      </c>
      <c r="K65" s="212">
        <f t="shared" si="11"/>
        <v>3</v>
      </c>
      <c r="L65" s="210">
        <f>VLOOKUP($B65,Invulblad!$A$11:$S$103,13,0)</f>
        <v>3</v>
      </c>
      <c r="M65" s="211">
        <f>IF(L65&lt;&gt;"",VLOOKUP($B65,Invulblad!$A$11:$S$103,7,0),"")</f>
        <v>2</v>
      </c>
      <c r="N65" s="209" t="s">
        <v>29</v>
      </c>
      <c r="O65" s="211">
        <f>IF(L65&lt;&gt;"",VLOOKUP($B65,Invulblad!$A$11:$S$103,9,0),"")</f>
        <v>2</v>
      </c>
      <c r="P65" s="212">
        <f t="shared" si="13"/>
        <v>5</v>
      </c>
    </row>
    <row r="66" spans="1:16">
      <c r="A66" s="188">
        <v>53</v>
      </c>
      <c r="B66" s="195">
        <v>45</v>
      </c>
      <c r="C66" s="332">
        <v>41816</v>
      </c>
      <c r="D66" s="333">
        <v>0.75</v>
      </c>
      <c r="E66" s="189" t="s">
        <v>578</v>
      </c>
      <c r="F66" s="189" t="s">
        <v>29</v>
      </c>
      <c r="G66" s="189" t="s">
        <v>116</v>
      </c>
      <c r="H66" s="366">
        <v>0</v>
      </c>
      <c r="I66" s="366" t="s">
        <v>29</v>
      </c>
      <c r="J66" s="366">
        <v>2</v>
      </c>
      <c r="K66" s="212">
        <f t="shared" si="11"/>
        <v>2</v>
      </c>
      <c r="L66" s="210">
        <f>VLOOKUP($B66,Invulblad!$A$11:$S$103,13,0)</f>
        <v>2</v>
      </c>
      <c r="M66" s="211">
        <f>IF(L66&lt;&gt;"",VLOOKUP($B66,Invulblad!$A$11:$S$103,7,0),"")</f>
        <v>0</v>
      </c>
      <c r="N66" s="209" t="s">
        <v>29</v>
      </c>
      <c r="O66" s="211">
        <f>IF(L66&lt;&gt;"",VLOOKUP($B66,Invulblad!$A$11:$S$103,9,0),"")</f>
        <v>1</v>
      </c>
      <c r="P66" s="212">
        <f t="shared" si="13"/>
        <v>5</v>
      </c>
    </row>
    <row r="67" spans="1:16">
      <c r="A67" s="188">
        <v>54</v>
      </c>
      <c r="B67" s="195">
        <v>46</v>
      </c>
      <c r="C67" s="332">
        <v>41816</v>
      </c>
      <c r="D67" s="333">
        <v>0.75</v>
      </c>
      <c r="E67" s="189" t="s">
        <v>126</v>
      </c>
      <c r="F67" s="189" t="s">
        <v>29</v>
      </c>
      <c r="G67" s="189" t="s">
        <v>114</v>
      </c>
      <c r="H67" s="366">
        <v>2</v>
      </c>
      <c r="I67" s="366" t="s">
        <v>29</v>
      </c>
      <c r="J67" s="366">
        <v>0</v>
      </c>
      <c r="K67" s="212" t="str">
        <f t="shared" si="11"/>
        <v>1</v>
      </c>
      <c r="L67" s="210" t="str">
        <f>VLOOKUP($B67,Invulblad!$A$11:$S$103,13,0)</f>
        <v>1</v>
      </c>
      <c r="M67" s="211">
        <f>IF(L67&lt;&gt;"",VLOOKUP($B67,Invulblad!$A$11:$S$103,7,0),"")</f>
        <v>2</v>
      </c>
      <c r="N67" s="209" t="s">
        <v>29</v>
      </c>
      <c r="O67" s="211">
        <f>IF(L67&lt;&gt;"",VLOOKUP($B67,Invulblad!$A$11:$S$103,9,0),"")</f>
        <v>1</v>
      </c>
      <c r="P67" s="212">
        <f t="shared" si="13"/>
        <v>5</v>
      </c>
    </row>
    <row r="68" spans="1:16">
      <c r="A68" s="188">
        <v>55</v>
      </c>
      <c r="B68" s="201" t="s">
        <v>37</v>
      </c>
      <c r="H68" s="367"/>
      <c r="I68" s="367"/>
      <c r="J68" s="367"/>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1</v>
      </c>
      <c r="I70" s="366" t="s">
        <v>29</v>
      </c>
      <c r="J70" s="366">
        <v>0</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c r="A71" s="188">
        <v>58</v>
      </c>
      <c r="B71" s="195">
        <v>16</v>
      </c>
      <c r="C71" s="332">
        <v>41808</v>
      </c>
      <c r="D71" s="333">
        <v>0</v>
      </c>
      <c r="E71" s="189" t="s">
        <v>445</v>
      </c>
      <c r="F71" s="189" t="s">
        <v>29</v>
      </c>
      <c r="G71" s="189" t="s">
        <v>107</v>
      </c>
      <c r="H71" s="366">
        <v>0</v>
      </c>
      <c r="I71" s="366" t="s">
        <v>29</v>
      </c>
      <c r="J71" s="366">
        <v>0</v>
      </c>
      <c r="K71" s="212">
        <f t="shared" si="11"/>
        <v>3</v>
      </c>
      <c r="L71" s="210">
        <f>VLOOKUP($B71,Invulblad!$A$11:$S$103,13,0)</f>
        <v>3</v>
      </c>
      <c r="M71" s="211">
        <f>IF(L71&lt;&gt;"",VLOOKUP($B71,Invulblad!$A$11:$S$103,7,0),"")</f>
        <v>1</v>
      </c>
      <c r="N71" s="209" t="s">
        <v>29</v>
      </c>
      <c r="O71" s="211">
        <f>IF(L71&lt;&gt;"",VLOOKUP($B71,Invulblad!$A$11:$S$103,9,0),"")</f>
        <v>1</v>
      </c>
      <c r="P71" s="212">
        <f t="shared" si="14"/>
        <v>5</v>
      </c>
    </row>
    <row r="72" spans="1:16">
      <c r="A72" s="188">
        <v>59</v>
      </c>
      <c r="B72" s="195">
        <v>31</v>
      </c>
      <c r="C72" s="332">
        <v>41812</v>
      </c>
      <c r="D72" s="333">
        <v>0.75</v>
      </c>
      <c r="E72" s="189" t="s">
        <v>569</v>
      </c>
      <c r="F72" s="189" t="s">
        <v>29</v>
      </c>
      <c r="G72" s="189" t="s">
        <v>446</v>
      </c>
      <c r="H72" s="366">
        <v>0</v>
      </c>
      <c r="I72" s="366" t="s">
        <v>29</v>
      </c>
      <c r="J72" s="366">
        <v>2</v>
      </c>
      <c r="K72" s="212">
        <f t="shared" si="11"/>
        <v>2</v>
      </c>
      <c r="L72" s="210" t="str">
        <f>VLOOKUP($B72,Invulblad!$A$11:$S$103,13,0)</f>
        <v>1</v>
      </c>
      <c r="M72" s="211">
        <f>IF(L72&lt;&gt;"",VLOOKUP($B72,Invulblad!$A$11:$S$103,7,0),"")</f>
        <v>1</v>
      </c>
      <c r="N72" s="209" t="s">
        <v>29</v>
      </c>
      <c r="O72" s="211">
        <f>IF(L72&lt;&gt;"",VLOOKUP($B72,Invulblad!$A$11:$S$103,9,0),"")</f>
        <v>0</v>
      </c>
      <c r="P72" s="212">
        <f t="shared" si="14"/>
        <v>0</v>
      </c>
    </row>
    <row r="73" spans="1:16">
      <c r="A73" s="188">
        <v>60</v>
      </c>
      <c r="B73" s="195">
        <v>32</v>
      </c>
      <c r="C73" s="332">
        <v>41812</v>
      </c>
      <c r="D73" s="333">
        <v>0.875</v>
      </c>
      <c r="E73" s="189" t="s">
        <v>232</v>
      </c>
      <c r="F73" s="189" t="s">
        <v>29</v>
      </c>
      <c r="G73" s="189" t="s">
        <v>111</v>
      </c>
      <c r="H73" s="366">
        <v>1</v>
      </c>
      <c r="I73" s="366" t="s">
        <v>29</v>
      </c>
      <c r="J73" s="366">
        <v>0</v>
      </c>
      <c r="K73" s="212" t="str">
        <f t="shared" si="11"/>
        <v>1</v>
      </c>
      <c r="L73" s="210">
        <f>VLOOKUP($B73,Invulblad!$A$11:$S$103,13,0)</f>
        <v>2</v>
      </c>
      <c r="M73" s="211">
        <f>IF(L73&lt;&gt;"",VLOOKUP($B73,Invulblad!$A$11:$S$103,7,0),"")</f>
        <v>2</v>
      </c>
      <c r="N73" s="209" t="s">
        <v>29</v>
      </c>
      <c r="O73" s="211">
        <f>IF(L73&lt;&gt;"",VLOOKUP($B73,Invulblad!$A$11:$S$103,9,0),"")</f>
        <v>4</v>
      </c>
      <c r="P73" s="212">
        <f t="shared" si="14"/>
        <v>0</v>
      </c>
    </row>
    <row r="74" spans="1:16">
      <c r="A74" s="188">
        <v>61</v>
      </c>
      <c r="B74" s="195">
        <v>47</v>
      </c>
      <c r="C74" s="332">
        <v>41816</v>
      </c>
      <c r="D74" s="333">
        <v>0.91666666666666663</v>
      </c>
      <c r="E74" s="189" t="s">
        <v>232</v>
      </c>
      <c r="F74" s="189" t="s">
        <v>29</v>
      </c>
      <c r="G74" s="189" t="s">
        <v>570</v>
      </c>
      <c r="H74" s="366">
        <v>0</v>
      </c>
      <c r="I74" s="366" t="s">
        <v>29</v>
      </c>
      <c r="J74" s="366">
        <v>1</v>
      </c>
      <c r="K74" s="212">
        <f t="shared" si="11"/>
        <v>2</v>
      </c>
      <c r="L74" s="210">
        <f>VLOOKUP($B74,Invulblad!$A$11:$S$103,13,0)</f>
        <v>2</v>
      </c>
      <c r="M74" s="211">
        <f>IF(L74&lt;&gt;"",VLOOKUP($B74,Invulblad!$A$11:$S$103,7,0),"")</f>
        <v>0</v>
      </c>
      <c r="N74" s="209" t="s">
        <v>29</v>
      </c>
      <c r="O74" s="211">
        <f>IF(L74&lt;&gt;"",VLOOKUP($B74,Invulblad!$A$11:$S$103,9,0),"")</f>
        <v>1</v>
      </c>
      <c r="P74" s="212">
        <f t="shared" si="14"/>
        <v>10</v>
      </c>
    </row>
    <row r="75" spans="1:16">
      <c r="A75" s="188">
        <v>62</v>
      </c>
      <c r="B75" s="195">
        <v>48</v>
      </c>
      <c r="C75" s="332">
        <v>41816</v>
      </c>
      <c r="D75" s="333">
        <v>0.91666666666666663</v>
      </c>
      <c r="E75" s="189" t="s">
        <v>236</v>
      </c>
      <c r="F75" s="189" t="s">
        <v>29</v>
      </c>
      <c r="G75" s="189" t="s">
        <v>446</v>
      </c>
      <c r="H75" s="366">
        <v>0</v>
      </c>
      <c r="I75" s="366" t="s">
        <v>29</v>
      </c>
      <c r="J75" s="366">
        <v>2</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367"/>
      <c r="I76" s="367"/>
      <c r="J76" s="367"/>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135</v>
      </c>
      <c r="H78" s="366">
        <v>2</v>
      </c>
      <c r="I78" s="366" t="s">
        <v>29</v>
      </c>
      <c r="J78" s="366">
        <v>1</v>
      </c>
      <c r="K78" s="212" t="str">
        <f t="shared" si="11"/>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390</v>
      </c>
      <c r="F79" s="189" t="s">
        <v>29</v>
      </c>
      <c r="G79" s="189" t="s">
        <v>97</v>
      </c>
      <c r="H79" s="366">
        <v>0</v>
      </c>
      <c r="I79" s="366" t="s">
        <v>29</v>
      </c>
      <c r="J79" s="366">
        <v>0</v>
      </c>
      <c r="K79" s="212">
        <f t="shared" si="11"/>
        <v>3</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138</v>
      </c>
      <c r="F80" s="189" t="s">
        <v>29</v>
      </c>
      <c r="G80" s="189" t="s">
        <v>389</v>
      </c>
      <c r="H80" s="366">
        <v>2</v>
      </c>
      <c r="I80" s="366" t="s">
        <v>29</v>
      </c>
      <c r="J80" s="366">
        <v>0</v>
      </c>
      <c r="K80" s="212" t="str">
        <f t="shared" si="11"/>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193</v>
      </c>
      <c r="F81" s="189" t="s">
        <v>29</v>
      </c>
      <c r="G81" s="189" t="s">
        <v>200</v>
      </c>
      <c r="H81" s="366">
        <v>0</v>
      </c>
      <c r="I81" s="366" t="s">
        <v>29</v>
      </c>
      <c r="J81" s="366">
        <v>0</v>
      </c>
      <c r="K81" s="212">
        <f t="shared" si="11"/>
        <v>3</v>
      </c>
      <c r="L81" s="210">
        <f>VLOOKUP($B81,Invulblad!$A$11:$S$103,13,0)</f>
        <v>3</v>
      </c>
      <c r="M81" s="211">
        <f>IF(L81&lt;&gt;"",VLOOKUP($B81,Invulblad!$A$11:$S$103,7,0),"")</f>
        <v>1</v>
      </c>
      <c r="N81" s="209" t="s">
        <v>29</v>
      </c>
      <c r="O81" s="211">
        <f>IF(L81&lt;&gt;"",VLOOKUP($B81,Invulblad!$A$11:$S$103,9,0),"")</f>
        <v>1</v>
      </c>
      <c r="P81" s="212">
        <f t="shared" si="15"/>
        <v>5</v>
      </c>
    </row>
    <row r="82" spans="1:16">
      <c r="A82" s="188">
        <v>69</v>
      </c>
      <c r="B82" s="195">
        <v>53</v>
      </c>
      <c r="C82" s="332">
        <v>41820</v>
      </c>
      <c r="D82" s="333">
        <v>0.75</v>
      </c>
      <c r="E82" s="189" t="s">
        <v>143</v>
      </c>
      <c r="F82" s="189" t="s">
        <v>29</v>
      </c>
      <c r="G82" s="189" t="s">
        <v>108</v>
      </c>
      <c r="H82" s="366">
        <v>2</v>
      </c>
      <c r="I82" s="366" t="s">
        <v>29</v>
      </c>
      <c r="J82" s="366">
        <v>0</v>
      </c>
      <c r="K82" s="212" t="str">
        <f t="shared" si="11"/>
        <v>1</v>
      </c>
      <c r="L82" s="210" t="str">
        <f>VLOOKUP($B82,Invulblad!$A$11:$S$103,13,0)</f>
        <v>1</v>
      </c>
      <c r="M82" s="211">
        <f>IF(L82&lt;&gt;"",VLOOKUP($B82,Invulblad!$A$11:$S$103,7,0),"")</f>
        <v>2</v>
      </c>
      <c r="N82" s="209" t="s">
        <v>29</v>
      </c>
      <c r="O82" s="211">
        <f>IF(L82&lt;&gt;"",VLOOKUP($B82,Invulblad!$A$11:$S$103,9,0),"")</f>
        <v>0</v>
      </c>
      <c r="P82" s="212">
        <f t="shared" si="15"/>
        <v>10</v>
      </c>
    </row>
    <row r="83" spans="1:16">
      <c r="A83" s="188">
        <v>70</v>
      </c>
      <c r="B83" s="195">
        <v>54</v>
      </c>
      <c r="C83" s="332">
        <v>41820</v>
      </c>
      <c r="D83" s="333">
        <v>0.91666666666666663</v>
      </c>
      <c r="E83" s="189" t="s">
        <v>177</v>
      </c>
      <c r="F83" s="189" t="s">
        <v>29</v>
      </c>
      <c r="G83" s="189" t="s">
        <v>395</v>
      </c>
      <c r="H83" s="366">
        <v>2</v>
      </c>
      <c r="I83" s="366" t="s">
        <v>29</v>
      </c>
      <c r="J83" s="366">
        <v>0</v>
      </c>
      <c r="K83" s="212" t="str">
        <f t="shared" si="11"/>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392</v>
      </c>
      <c r="H84" s="366">
        <v>0</v>
      </c>
      <c r="I84" s="366" t="s">
        <v>29</v>
      </c>
      <c r="J84" s="366">
        <v>0</v>
      </c>
      <c r="K84" s="212">
        <f t="shared" si="11"/>
        <v>3</v>
      </c>
      <c r="L84" s="210" t="str">
        <f>VLOOKUP($B84,Invulblad!$A$11:$S$103,13,0)</f>
        <v>1</v>
      </c>
      <c r="M84" s="211">
        <f>IF(L84&lt;&gt;"",VLOOKUP($B84,Invulblad!$A$11:$S$103,7,0),"")</f>
        <v>1</v>
      </c>
      <c r="N84" s="209" t="s">
        <v>29</v>
      </c>
      <c r="O84" s="211">
        <f>IF(L84&lt;&gt;"",VLOOKUP($B84,Invulblad!$A$11:$S$103,9,0),"")</f>
        <v>0</v>
      </c>
      <c r="P84" s="212">
        <f t="shared" si="15"/>
        <v>0</v>
      </c>
    </row>
    <row r="85" spans="1:16">
      <c r="A85" s="188">
        <v>72</v>
      </c>
      <c r="B85" s="195">
        <v>56</v>
      </c>
      <c r="C85" s="332">
        <v>41821</v>
      </c>
      <c r="D85" s="333">
        <v>0.91666666666666663</v>
      </c>
      <c r="E85" s="189" t="s">
        <v>396</v>
      </c>
      <c r="F85" s="189" t="s">
        <v>29</v>
      </c>
      <c r="G85" s="189" t="s">
        <v>202</v>
      </c>
      <c r="H85" s="366">
        <v>1</v>
      </c>
      <c r="I85" s="366" t="s">
        <v>29</v>
      </c>
      <c r="J85" s="366">
        <v>1</v>
      </c>
      <c r="K85" s="212">
        <f t="shared" si="11"/>
        <v>3</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97</v>
      </c>
      <c r="H88" s="366">
        <v>1</v>
      </c>
      <c r="I88" s="366" t="s">
        <v>29</v>
      </c>
      <c r="J88" s="366">
        <v>0</v>
      </c>
      <c r="K88" s="212" t="str">
        <f t="shared" si="16"/>
        <v>1</v>
      </c>
      <c r="L88" s="210" t="str">
        <f>VLOOKUP($B88,Invulblad!$A$11:$S$103,13,0)</f>
        <v>1</v>
      </c>
      <c r="M88" s="211">
        <f>IF(L88&lt;&gt;"",VLOOKUP($B88,Invulblad!$A$11:$S$103,7,0),"")</f>
        <v>2</v>
      </c>
      <c r="N88" s="209" t="s">
        <v>29</v>
      </c>
      <c r="O88" s="211">
        <f>IF(L88&lt;&gt;"",VLOOKUP($B88,Invulblad!$A$11:$S$103,9,0),"")</f>
        <v>1</v>
      </c>
      <c r="P88" s="212">
        <f>IF(L88&lt;&gt;"",IF(AND(M88=H88,O88=J88),10,IF(K88=L88,5,0)),"")</f>
        <v>5</v>
      </c>
    </row>
    <row r="89" spans="1:16">
      <c r="A89" s="188">
        <v>76</v>
      </c>
      <c r="B89" s="195">
        <v>58</v>
      </c>
      <c r="C89" s="332">
        <v>41824</v>
      </c>
      <c r="D89" s="333">
        <v>0.75</v>
      </c>
      <c r="E89" s="189" t="s">
        <v>143</v>
      </c>
      <c r="F89" s="189" t="s">
        <v>29</v>
      </c>
      <c r="G89" s="189" t="s">
        <v>177</v>
      </c>
      <c r="H89" s="366">
        <v>1</v>
      </c>
      <c r="I89" s="366" t="s">
        <v>29</v>
      </c>
      <c r="J89" s="366">
        <v>2</v>
      </c>
      <c r="K89" s="212">
        <f t="shared" si="16"/>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138</v>
      </c>
      <c r="F90" s="189" t="s">
        <v>29</v>
      </c>
      <c r="G90" s="189" t="s">
        <v>200</v>
      </c>
      <c r="H90" s="366">
        <v>2</v>
      </c>
      <c r="I90" s="366" t="s">
        <v>29</v>
      </c>
      <c r="J90" s="366">
        <v>0</v>
      </c>
      <c r="K90" s="212" t="str">
        <f t="shared" si="16"/>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202</v>
      </c>
      <c r="H91" s="366">
        <v>0</v>
      </c>
      <c r="I91" s="366" t="s">
        <v>29</v>
      </c>
      <c r="J91" s="366">
        <v>0</v>
      </c>
      <c r="K91" s="212">
        <f t="shared" si="16"/>
        <v>3</v>
      </c>
      <c r="L91" s="210" t="str">
        <f>VLOOKUP($B91,Invulblad!$A$11:$S$103,13,0)</f>
        <v>1</v>
      </c>
      <c r="M91" s="211">
        <f>IF(L91&lt;&gt;"",VLOOKUP($B91,Invulblad!$A$11:$S$103,7,0),"")</f>
        <v>1</v>
      </c>
      <c r="N91" s="209" t="s">
        <v>29</v>
      </c>
      <c r="O91" s="211">
        <f>IF(L91&lt;&gt;"",VLOOKUP($B91,Invulblad!$A$11:$S$103,9,0),"")</f>
        <v>0</v>
      </c>
      <c r="P91" s="212">
        <f>IF(L91&lt;&gt;"",IF(AND(M91=H91,O91=J91),10,IF(K91=L91,5,0)),"")</f>
        <v>0</v>
      </c>
    </row>
    <row r="92" spans="1:16">
      <c r="A92" s="188">
        <v>79</v>
      </c>
      <c r="B92" s="201" t="s">
        <v>88</v>
      </c>
      <c r="H92" s="367"/>
      <c r="I92" s="367"/>
      <c r="J92" s="367"/>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177</v>
      </c>
      <c r="H94" s="366">
        <v>0</v>
      </c>
      <c r="I94" s="366" t="s">
        <v>29</v>
      </c>
      <c r="J94" s="366">
        <v>0</v>
      </c>
      <c r="K94" s="212">
        <f t="shared" si="16"/>
        <v>3</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138</v>
      </c>
      <c r="F95" s="189" t="s">
        <v>29</v>
      </c>
      <c r="G95" s="189" t="s">
        <v>202</v>
      </c>
      <c r="H95" s="366">
        <v>2</v>
      </c>
      <c r="I95" s="366" t="s">
        <v>29</v>
      </c>
      <c r="J95" s="366">
        <v>1</v>
      </c>
      <c r="K95" s="212" t="str">
        <f t="shared" si="16"/>
        <v>1</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367"/>
      <c r="I96" s="367"/>
      <c r="J96" s="367"/>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199</v>
      </c>
      <c r="F98" s="189" t="s">
        <v>29</v>
      </c>
      <c r="G98" s="189" t="s">
        <v>202</v>
      </c>
      <c r="H98" s="366">
        <v>2</v>
      </c>
      <c r="I98" s="366" t="s">
        <v>29</v>
      </c>
      <c r="J98" s="366">
        <v>0</v>
      </c>
      <c r="K98" s="212" t="str">
        <f t="shared" si="16"/>
        <v>1</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367"/>
      <c r="I99" s="367"/>
      <c r="J99" s="367"/>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177</v>
      </c>
      <c r="F101" s="189" t="s">
        <v>29</v>
      </c>
      <c r="G101" s="189" t="s">
        <v>138</v>
      </c>
      <c r="H101" s="366">
        <v>1</v>
      </c>
      <c r="I101" s="366" t="s">
        <v>29</v>
      </c>
      <c r="J101" s="366">
        <v>0</v>
      </c>
      <c r="K101" s="212" t="str">
        <f t="shared" si="16"/>
        <v>1</v>
      </c>
      <c r="L101" s="210" t="str">
        <f>VLOOKUP($B101,Invulblad!$A$11:$S$103,13,0)</f>
        <v>1</v>
      </c>
      <c r="M101" s="211">
        <f>IF(L101&lt;&gt;"",VLOOKUP($B101,Invulblad!$A$11:$S$103,7,0),"")</f>
        <v>1</v>
      </c>
      <c r="N101" s="209" t="s">
        <v>29</v>
      </c>
      <c r="O101" s="211">
        <f>IF(L101&lt;&gt;"",VLOOKUP($B101,Invulblad!$A$11:$S$103,9,0),"")</f>
        <v>0</v>
      </c>
      <c r="P101" s="212">
        <f>IF(L101&lt;&gt;"",IF(AND(M101=H101,O101=J101),10,IF(K101=L101,5,0)),"")</f>
        <v>10</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389</v>
      </c>
    </row>
    <row r="112" spans="1:16">
      <c r="B112" s="201" t="s">
        <v>144</v>
      </c>
    </row>
    <row r="114" spans="2:15">
      <c r="B114" s="215" t="s">
        <v>145</v>
      </c>
      <c r="C114" s="215" t="s">
        <v>146</v>
      </c>
      <c r="D114" s="215" t="s">
        <v>147</v>
      </c>
      <c r="E114" s="215" t="s">
        <v>148</v>
      </c>
    </row>
    <row r="115" spans="2:15">
      <c r="B115" s="216" t="s">
        <v>199</v>
      </c>
      <c r="C115" s="216" t="s">
        <v>163</v>
      </c>
      <c r="D115" s="216" t="s">
        <v>164</v>
      </c>
      <c r="E115" s="216" t="s">
        <v>164</v>
      </c>
    </row>
    <row r="116" spans="2:15">
      <c r="B116" s="217" t="s">
        <v>389</v>
      </c>
      <c r="C116" s="217" t="s">
        <v>149</v>
      </c>
      <c r="D116" s="217" t="s">
        <v>165</v>
      </c>
      <c r="E116" s="217" t="s">
        <v>156</v>
      </c>
    </row>
    <row r="117" spans="2:15">
      <c r="B117" s="216" t="s">
        <v>152</v>
      </c>
      <c r="C117" s="216" t="s">
        <v>156</v>
      </c>
      <c r="D117" s="216" t="s">
        <v>165</v>
      </c>
      <c r="E117" s="216" t="s">
        <v>156</v>
      </c>
    </row>
    <row r="118" spans="2:15">
      <c r="B118" s="217" t="s">
        <v>185</v>
      </c>
      <c r="C118" s="217" t="s">
        <v>153</v>
      </c>
      <c r="D118" s="217" t="s">
        <v>165</v>
      </c>
      <c r="E118" s="217" t="s">
        <v>156</v>
      </c>
    </row>
    <row r="121" spans="2:15">
      <c r="B121" s="201" t="s">
        <v>157</v>
      </c>
    </row>
    <row r="122" spans="2:15">
      <c r="B122" s="195"/>
    </row>
    <row r="123" spans="2:15">
      <c r="B123" s="195" t="s">
        <v>158</v>
      </c>
    </row>
    <row r="124" spans="2:15">
      <c r="B124" s="195" t="s">
        <v>251</v>
      </c>
    </row>
    <row r="127" spans="2:15">
      <c r="B127" s="218"/>
      <c r="C127" s="218"/>
      <c r="D127" s="218"/>
      <c r="E127" s="218"/>
      <c r="F127" s="218"/>
      <c r="G127" s="218"/>
      <c r="H127" s="364"/>
      <c r="I127" s="364"/>
      <c r="J127" s="364"/>
      <c r="K127" s="218"/>
      <c r="L127" s="219"/>
      <c r="M127" s="218"/>
      <c r="N127" s="218"/>
      <c r="O127" s="218"/>
    </row>
    <row r="130" spans="1:5">
      <c r="B130" s="201" t="s">
        <v>160</v>
      </c>
    </row>
    <row r="132" spans="1:5">
      <c r="A132" s="227" t="s">
        <v>67</v>
      </c>
      <c r="B132" s="189" t="s">
        <v>140</v>
      </c>
      <c r="C132" s="189" t="s">
        <v>141</v>
      </c>
      <c r="D132" s="201" t="s">
        <v>138</v>
      </c>
    </row>
    <row r="133" spans="1:5">
      <c r="A133" s="188" t="s">
        <v>68</v>
      </c>
      <c r="B133" s="189" t="s">
        <v>142</v>
      </c>
      <c r="C133" s="189" t="s">
        <v>141</v>
      </c>
      <c r="D133" s="201" t="s">
        <v>135</v>
      </c>
    </row>
    <row r="136" spans="1:5">
      <c r="B136" s="201" t="s">
        <v>161</v>
      </c>
    </row>
    <row r="138" spans="1:5">
      <c r="B138" s="215" t="s">
        <v>145</v>
      </c>
      <c r="C138" s="215" t="s">
        <v>146</v>
      </c>
      <c r="D138" s="215" t="s">
        <v>147</v>
      </c>
      <c r="E138" s="215" t="s">
        <v>148</v>
      </c>
    </row>
    <row r="139" spans="1:5">
      <c r="B139" s="216" t="s">
        <v>138</v>
      </c>
      <c r="C139" s="216" t="s">
        <v>172</v>
      </c>
      <c r="D139" s="216" t="s">
        <v>151</v>
      </c>
      <c r="E139" s="216" t="s">
        <v>149</v>
      </c>
    </row>
    <row r="140" spans="1:5">
      <c r="B140" s="217" t="s">
        <v>135</v>
      </c>
      <c r="C140" s="217" t="s">
        <v>155</v>
      </c>
      <c r="D140" s="217" t="s">
        <v>156</v>
      </c>
      <c r="E140" s="217" t="s">
        <v>153</v>
      </c>
    </row>
    <row r="141" spans="1:5">
      <c r="B141" s="216" t="s">
        <v>207</v>
      </c>
      <c r="C141" s="216" t="s">
        <v>149</v>
      </c>
      <c r="D141" s="216" t="s">
        <v>154</v>
      </c>
      <c r="E141" s="216" t="s">
        <v>156</v>
      </c>
    </row>
    <row r="142" spans="1:5">
      <c r="B142" s="217" t="s">
        <v>179</v>
      </c>
      <c r="C142" s="217" t="s">
        <v>150</v>
      </c>
      <c r="D142" s="217" t="s">
        <v>171</v>
      </c>
      <c r="E142" s="217" t="s">
        <v>150</v>
      </c>
    </row>
    <row r="145" spans="1:15">
      <c r="B145" s="201" t="s">
        <v>166</v>
      </c>
    </row>
    <row r="146" spans="1:15">
      <c r="B146" s="195"/>
    </row>
    <row r="147" spans="1:15">
      <c r="B147" s="195" t="s">
        <v>167</v>
      </c>
    </row>
    <row r="148" spans="1:15">
      <c r="B148" s="195" t="s">
        <v>168</v>
      </c>
    </row>
    <row r="151" spans="1:15">
      <c r="B151" s="218"/>
      <c r="C151" s="218"/>
      <c r="D151" s="218"/>
      <c r="E151" s="218"/>
      <c r="F151" s="218"/>
      <c r="G151" s="218"/>
      <c r="H151" s="364"/>
      <c r="I151" s="364"/>
      <c r="J151" s="364"/>
    </row>
    <row r="152" spans="1:15">
      <c r="K152" s="218"/>
      <c r="L152" s="219"/>
      <c r="M152" s="218"/>
      <c r="N152" s="218"/>
      <c r="O152" s="218"/>
    </row>
    <row r="154" spans="1:15">
      <c r="B154" s="201" t="s">
        <v>169</v>
      </c>
    </row>
    <row r="156" spans="1:15">
      <c r="A156" s="188" t="s">
        <v>69</v>
      </c>
      <c r="B156" s="189" t="s">
        <v>140</v>
      </c>
      <c r="C156" s="189" t="s">
        <v>141</v>
      </c>
      <c r="D156" s="201" t="s">
        <v>390</v>
      </c>
    </row>
    <row r="157" spans="1:15">
      <c r="A157" s="188" t="s">
        <v>70</v>
      </c>
      <c r="B157" s="189" t="s">
        <v>142</v>
      </c>
      <c r="C157" s="189" t="s">
        <v>141</v>
      </c>
      <c r="D157" s="201" t="s">
        <v>200</v>
      </c>
    </row>
    <row r="160" spans="1:15">
      <c r="B160" s="201" t="s">
        <v>170</v>
      </c>
    </row>
    <row r="162" spans="2:15">
      <c r="B162" s="215" t="s">
        <v>145</v>
      </c>
      <c r="C162" s="215" t="s">
        <v>146</v>
      </c>
      <c r="D162" s="215" t="s">
        <v>147</v>
      </c>
      <c r="E162" s="215" t="s">
        <v>148</v>
      </c>
    </row>
    <row r="163" spans="2:15">
      <c r="B163" s="216" t="s">
        <v>390</v>
      </c>
      <c r="C163" s="216" t="s">
        <v>172</v>
      </c>
      <c r="D163" s="216" t="s">
        <v>151</v>
      </c>
      <c r="E163" s="216" t="s">
        <v>149</v>
      </c>
    </row>
    <row r="164" spans="2:15">
      <c r="B164" s="217" t="s">
        <v>106</v>
      </c>
      <c r="C164" s="217" t="s">
        <v>151</v>
      </c>
      <c r="D164" s="217" t="s">
        <v>154</v>
      </c>
      <c r="E164" s="217" t="s">
        <v>153</v>
      </c>
    </row>
    <row r="165" spans="2:15">
      <c r="B165" s="216" t="s">
        <v>200</v>
      </c>
      <c r="C165" s="216" t="s">
        <v>172</v>
      </c>
      <c r="D165" s="216" t="s">
        <v>153</v>
      </c>
      <c r="E165" s="216" t="s">
        <v>151</v>
      </c>
    </row>
    <row r="166" spans="2:15">
      <c r="B166" s="217" t="s">
        <v>187</v>
      </c>
      <c r="C166" s="217" t="s">
        <v>150</v>
      </c>
      <c r="D166" s="217" t="s">
        <v>180</v>
      </c>
      <c r="E166" s="217" t="s">
        <v>150</v>
      </c>
    </row>
    <row r="169" spans="2:15">
      <c r="B169" s="201" t="s">
        <v>173</v>
      </c>
    </row>
    <row r="170" spans="2:15">
      <c r="B170" s="195"/>
    </row>
    <row r="171" spans="2:15">
      <c r="B171" s="195" t="s">
        <v>238</v>
      </c>
    </row>
    <row r="172" spans="2:15">
      <c r="B172" s="195"/>
    </row>
    <row r="175" spans="2:15">
      <c r="B175" s="218"/>
      <c r="C175" s="218"/>
      <c r="D175" s="218"/>
      <c r="E175" s="218"/>
      <c r="F175" s="218"/>
      <c r="G175" s="218"/>
      <c r="H175" s="364"/>
      <c r="I175" s="364"/>
      <c r="J175" s="364"/>
    </row>
    <row r="176" spans="2:15">
      <c r="K176" s="218"/>
      <c r="L176" s="219"/>
      <c r="M176" s="218"/>
      <c r="N176" s="218"/>
      <c r="O176" s="218"/>
    </row>
    <row r="178" spans="1:5">
      <c r="B178" s="201" t="s">
        <v>176</v>
      </c>
    </row>
    <row r="180" spans="1:5">
      <c r="A180" s="188" t="s">
        <v>71</v>
      </c>
      <c r="B180" s="189" t="s">
        <v>140</v>
      </c>
      <c r="C180" s="189" t="s">
        <v>141</v>
      </c>
      <c r="D180" s="201" t="s">
        <v>193</v>
      </c>
    </row>
    <row r="181" spans="1:5">
      <c r="A181" s="188" t="s">
        <v>72</v>
      </c>
      <c r="B181" s="189" t="s">
        <v>142</v>
      </c>
      <c r="C181" s="189" t="s">
        <v>141</v>
      </c>
      <c r="D181" s="201" t="s">
        <v>97</v>
      </c>
    </row>
    <row r="184" spans="1:5">
      <c r="B184" s="201" t="s">
        <v>178</v>
      </c>
    </row>
    <row r="186" spans="1:5">
      <c r="B186" s="215" t="s">
        <v>145</v>
      </c>
      <c r="C186" s="215" t="s">
        <v>146</v>
      </c>
      <c r="D186" s="215" t="s">
        <v>147</v>
      </c>
      <c r="E186" s="215" t="s">
        <v>148</v>
      </c>
    </row>
    <row r="187" spans="1:5">
      <c r="B187" s="216" t="s">
        <v>97</v>
      </c>
      <c r="C187" s="216" t="s">
        <v>155</v>
      </c>
      <c r="D187" s="216" t="s">
        <v>153</v>
      </c>
      <c r="E187" s="216" t="s">
        <v>151</v>
      </c>
    </row>
    <row r="188" spans="1:5">
      <c r="B188" s="217" t="s">
        <v>391</v>
      </c>
      <c r="C188" s="217" t="s">
        <v>150</v>
      </c>
      <c r="D188" s="217" t="s">
        <v>162</v>
      </c>
      <c r="E188" s="217" t="s">
        <v>150</v>
      </c>
    </row>
    <row r="189" spans="1:5">
      <c r="B189" s="216" t="s">
        <v>109</v>
      </c>
      <c r="C189" s="216" t="s">
        <v>155</v>
      </c>
      <c r="D189" s="216" t="s">
        <v>156</v>
      </c>
      <c r="E189" s="216" t="s">
        <v>153</v>
      </c>
    </row>
    <row r="190" spans="1:5">
      <c r="B190" s="217" t="s">
        <v>193</v>
      </c>
      <c r="C190" s="217" t="s">
        <v>155</v>
      </c>
      <c r="D190" s="217" t="s">
        <v>153</v>
      </c>
      <c r="E190" s="217" t="s">
        <v>149</v>
      </c>
    </row>
    <row r="193" spans="1:15">
      <c r="B193" s="201" t="s">
        <v>182</v>
      </c>
    </row>
    <row r="194" spans="1:15">
      <c r="B194" s="195"/>
    </row>
    <row r="195" spans="1:15">
      <c r="B195" s="195" t="s">
        <v>274</v>
      </c>
    </row>
    <row r="196" spans="1:15">
      <c r="B196" s="195"/>
    </row>
    <row r="199" spans="1:15">
      <c r="B199" s="218"/>
      <c r="C199" s="218"/>
      <c r="D199" s="218"/>
      <c r="E199" s="218"/>
      <c r="F199" s="218"/>
      <c r="G199" s="218"/>
      <c r="H199" s="364"/>
      <c r="I199" s="364"/>
      <c r="J199" s="364"/>
      <c r="K199" s="218"/>
      <c r="L199" s="219"/>
      <c r="M199" s="218"/>
      <c r="N199" s="218"/>
      <c r="O199" s="218"/>
    </row>
    <row r="202" spans="1:15">
      <c r="B202" s="201" t="s">
        <v>184</v>
      </c>
    </row>
    <row r="204" spans="1:15">
      <c r="A204" s="188" t="s">
        <v>73</v>
      </c>
      <c r="B204" s="189" t="s">
        <v>140</v>
      </c>
      <c r="C204" s="189" t="s">
        <v>141</v>
      </c>
      <c r="D204" s="201" t="s">
        <v>143</v>
      </c>
    </row>
    <row r="205" spans="1:15">
      <c r="A205" s="188" t="s">
        <v>74</v>
      </c>
      <c r="B205" s="189" t="s">
        <v>142</v>
      </c>
      <c r="C205" s="189" t="s">
        <v>141</v>
      </c>
      <c r="D205" s="201" t="s">
        <v>392</v>
      </c>
    </row>
    <row r="208" spans="1:15">
      <c r="B208" s="201" t="s">
        <v>186</v>
      </c>
    </row>
    <row r="210" spans="2:15">
      <c r="B210" s="215" t="s">
        <v>145</v>
      </c>
      <c r="C210" s="215" t="s">
        <v>146</v>
      </c>
      <c r="D210" s="215" t="s">
        <v>147</v>
      </c>
      <c r="E210" s="215" t="s">
        <v>148</v>
      </c>
    </row>
    <row r="211" spans="2:15">
      <c r="B211" s="216" t="s">
        <v>209</v>
      </c>
      <c r="C211" s="216" t="s">
        <v>150</v>
      </c>
      <c r="D211" s="216" t="s">
        <v>180</v>
      </c>
      <c r="E211" s="216" t="s">
        <v>150</v>
      </c>
    </row>
    <row r="212" spans="2:15">
      <c r="B212" s="217" t="s">
        <v>392</v>
      </c>
      <c r="C212" s="217" t="s">
        <v>155</v>
      </c>
      <c r="D212" s="217" t="s">
        <v>156</v>
      </c>
      <c r="E212" s="217" t="s">
        <v>151</v>
      </c>
    </row>
    <row r="213" spans="2:15">
      <c r="B213" s="216" t="s">
        <v>143</v>
      </c>
      <c r="C213" s="216" t="s">
        <v>172</v>
      </c>
      <c r="D213" s="216" t="s">
        <v>151</v>
      </c>
      <c r="E213" s="216" t="s">
        <v>155</v>
      </c>
    </row>
    <row r="214" spans="2:15">
      <c r="B214" s="217" t="s">
        <v>210</v>
      </c>
      <c r="C214" s="217" t="s">
        <v>149</v>
      </c>
      <c r="D214" s="217" t="s">
        <v>150</v>
      </c>
      <c r="E214" s="217" t="s">
        <v>151</v>
      </c>
    </row>
    <row r="217" spans="2:15">
      <c r="B217" s="201" t="s">
        <v>189</v>
      </c>
    </row>
    <row r="218" spans="2:15">
      <c r="B218" s="195"/>
    </row>
    <row r="219" spans="2:15">
      <c r="B219" s="195" t="s">
        <v>190</v>
      </c>
    </row>
    <row r="220" spans="2:15">
      <c r="B220" s="195" t="s">
        <v>191</v>
      </c>
    </row>
    <row r="223" spans="2:15">
      <c r="B223" s="218"/>
      <c r="C223" s="218"/>
      <c r="D223" s="218"/>
      <c r="E223" s="218"/>
      <c r="F223" s="218"/>
      <c r="G223" s="218"/>
      <c r="H223" s="364"/>
      <c r="I223" s="364"/>
      <c r="J223" s="364"/>
      <c r="K223" s="218"/>
      <c r="L223" s="219"/>
      <c r="M223" s="218"/>
      <c r="N223" s="218"/>
      <c r="O223" s="218"/>
    </row>
    <row r="226" spans="1:5">
      <c r="B226" s="201" t="s">
        <v>192</v>
      </c>
    </row>
    <row r="228" spans="1:5">
      <c r="A228" s="188" t="s">
        <v>75</v>
      </c>
      <c r="B228" s="189" t="s">
        <v>140</v>
      </c>
      <c r="C228" s="189" t="s">
        <v>141</v>
      </c>
      <c r="D228" s="201" t="s">
        <v>102</v>
      </c>
    </row>
    <row r="229" spans="1:5">
      <c r="A229" s="188" t="s">
        <v>76</v>
      </c>
      <c r="B229" s="189" t="s">
        <v>142</v>
      </c>
      <c r="C229" s="189" t="s">
        <v>141</v>
      </c>
      <c r="D229" s="201" t="s">
        <v>108</v>
      </c>
    </row>
    <row r="232" spans="1:5">
      <c r="B232" s="201" t="s">
        <v>194</v>
      </c>
    </row>
    <row r="234" spans="1:5">
      <c r="B234" s="215" t="s">
        <v>145</v>
      </c>
      <c r="C234" s="215" t="s">
        <v>146</v>
      </c>
      <c r="D234" s="215" t="s">
        <v>147</v>
      </c>
      <c r="E234" s="215" t="s">
        <v>148</v>
      </c>
    </row>
    <row r="235" spans="1:5">
      <c r="B235" s="216" t="s">
        <v>102</v>
      </c>
      <c r="C235" s="216" t="s">
        <v>163</v>
      </c>
      <c r="D235" s="216" t="s">
        <v>164</v>
      </c>
      <c r="E235" s="216" t="s">
        <v>164</v>
      </c>
    </row>
    <row r="236" spans="1:5">
      <c r="B236" s="217" t="s">
        <v>572</v>
      </c>
      <c r="C236" s="217" t="s">
        <v>153</v>
      </c>
      <c r="D236" s="217" t="s">
        <v>165</v>
      </c>
      <c r="E236" s="217" t="s">
        <v>156</v>
      </c>
    </row>
    <row r="237" spans="1:5">
      <c r="B237" s="216" t="s">
        <v>394</v>
      </c>
      <c r="C237" s="216" t="s">
        <v>156</v>
      </c>
      <c r="D237" s="216" t="s">
        <v>180</v>
      </c>
      <c r="E237" s="216" t="s">
        <v>150</v>
      </c>
    </row>
    <row r="238" spans="1:5">
      <c r="B238" s="217" t="s">
        <v>108</v>
      </c>
      <c r="C238" s="217" t="s">
        <v>149</v>
      </c>
      <c r="D238" s="217" t="s">
        <v>150</v>
      </c>
      <c r="E238" s="217" t="s">
        <v>153</v>
      </c>
    </row>
    <row r="241" spans="1:15">
      <c r="B241" s="201" t="s">
        <v>195</v>
      </c>
    </row>
    <row r="242" spans="1:15">
      <c r="B242" s="195"/>
    </row>
    <row r="243" spans="1:15">
      <c r="B243" s="195" t="s">
        <v>196</v>
      </c>
    </row>
    <row r="244" spans="1:15">
      <c r="B244" s="195" t="s">
        <v>197</v>
      </c>
    </row>
    <row r="247" spans="1:15">
      <c r="B247" s="218"/>
      <c r="C247" s="218"/>
      <c r="D247" s="218"/>
      <c r="E247" s="218"/>
      <c r="F247" s="218"/>
      <c r="G247" s="218"/>
      <c r="H247" s="364"/>
      <c r="I247" s="364"/>
      <c r="J247" s="364"/>
      <c r="K247" s="218"/>
      <c r="L247" s="219"/>
      <c r="M247" s="218"/>
      <c r="N247" s="218"/>
      <c r="O247" s="218"/>
    </row>
    <row r="250" spans="1:15">
      <c r="B250" s="201" t="s">
        <v>198</v>
      </c>
    </row>
    <row r="252" spans="1:15">
      <c r="A252" s="188" t="s">
        <v>77</v>
      </c>
      <c r="B252" s="189" t="s">
        <v>140</v>
      </c>
      <c r="C252" s="189" t="s">
        <v>141</v>
      </c>
      <c r="D252" s="201" t="s">
        <v>177</v>
      </c>
    </row>
    <row r="253" spans="1:15">
      <c r="A253" s="188" t="s">
        <v>78</v>
      </c>
      <c r="B253" s="189" t="s">
        <v>142</v>
      </c>
      <c r="C253" s="189" t="s">
        <v>141</v>
      </c>
      <c r="D253" s="201" t="s">
        <v>202</v>
      </c>
    </row>
    <row r="256" spans="1:15">
      <c r="B256" s="201" t="s">
        <v>201</v>
      </c>
    </row>
    <row r="258" spans="2:15">
      <c r="B258" s="215" t="s">
        <v>145</v>
      </c>
      <c r="C258" s="215" t="s">
        <v>146</v>
      </c>
      <c r="D258" s="215" t="s">
        <v>147</v>
      </c>
      <c r="E258" s="215" t="s">
        <v>148</v>
      </c>
    </row>
    <row r="259" spans="2:15">
      <c r="B259" s="216" t="s">
        <v>177</v>
      </c>
      <c r="C259" s="216" t="s">
        <v>172</v>
      </c>
      <c r="D259" s="216" t="s">
        <v>149</v>
      </c>
      <c r="E259" s="216" t="s">
        <v>149</v>
      </c>
    </row>
    <row r="260" spans="2:15">
      <c r="B260" s="217" t="s">
        <v>202</v>
      </c>
      <c r="C260" s="217" t="s">
        <v>155</v>
      </c>
      <c r="D260" s="217" t="s">
        <v>153</v>
      </c>
      <c r="E260" s="217" t="s">
        <v>151</v>
      </c>
    </row>
    <row r="261" spans="2:15">
      <c r="B261" s="216" t="s">
        <v>181</v>
      </c>
      <c r="C261" s="216" t="s">
        <v>150</v>
      </c>
      <c r="D261" s="216" t="s">
        <v>241</v>
      </c>
      <c r="E261" s="216" t="s">
        <v>150</v>
      </c>
    </row>
    <row r="262" spans="2:15">
      <c r="B262" s="217" t="s">
        <v>32</v>
      </c>
      <c r="C262" s="217" t="s">
        <v>149</v>
      </c>
      <c r="D262" s="217" t="s">
        <v>150</v>
      </c>
      <c r="E262" s="217" t="s">
        <v>151</v>
      </c>
    </row>
    <row r="265" spans="2:15">
      <c r="B265" s="201" t="s">
        <v>203</v>
      </c>
    </row>
    <row r="266" spans="2:15">
      <c r="B266" s="195"/>
    </row>
    <row r="267" spans="2:15">
      <c r="B267" s="195" t="s">
        <v>204</v>
      </c>
    </row>
    <row r="268" spans="2:15">
      <c r="B268" s="195" t="s">
        <v>205</v>
      </c>
    </row>
    <row r="270" spans="2:15">
      <c r="B270" s="218"/>
      <c r="C270" s="218"/>
      <c r="D270" s="218"/>
      <c r="E270" s="218"/>
      <c r="F270" s="218"/>
      <c r="G270" s="218"/>
      <c r="K270" s="218"/>
      <c r="L270" s="219"/>
      <c r="M270" s="218"/>
      <c r="N270" s="218"/>
      <c r="O270" s="218"/>
    </row>
    <row r="271" spans="2:15">
      <c r="H271" s="364"/>
      <c r="I271" s="364"/>
      <c r="J271" s="364"/>
    </row>
    <row r="274" spans="1:5">
      <c r="B274" s="201" t="s">
        <v>206</v>
      </c>
    </row>
    <row r="276" spans="1:5">
      <c r="A276" s="188" t="s">
        <v>79</v>
      </c>
      <c r="B276" s="189" t="s">
        <v>140</v>
      </c>
      <c r="C276" s="189" t="s">
        <v>141</v>
      </c>
      <c r="D276" s="201" t="s">
        <v>396</v>
      </c>
    </row>
    <row r="277" spans="1:5">
      <c r="A277" s="188" t="s">
        <v>80</v>
      </c>
      <c r="B277" s="189" t="s">
        <v>142</v>
      </c>
      <c r="C277" s="189" t="s">
        <v>141</v>
      </c>
      <c r="D277" s="201" t="s">
        <v>395</v>
      </c>
    </row>
    <row r="280" spans="1:5">
      <c r="B280" s="201" t="s">
        <v>208</v>
      </c>
    </row>
    <row r="282" spans="1:5">
      <c r="B282" s="215" t="s">
        <v>145</v>
      </c>
      <c r="C282" s="215" t="s">
        <v>146</v>
      </c>
      <c r="D282" s="215" t="s">
        <v>147</v>
      </c>
      <c r="E282" s="215" t="s">
        <v>148</v>
      </c>
    </row>
    <row r="283" spans="1:5">
      <c r="B283" s="216" t="s">
        <v>395</v>
      </c>
      <c r="C283" s="216" t="s">
        <v>164</v>
      </c>
      <c r="D283" s="216" t="s">
        <v>150</v>
      </c>
      <c r="E283" s="216" t="s">
        <v>153</v>
      </c>
    </row>
    <row r="284" spans="1:5">
      <c r="B284" s="217" t="s">
        <v>110</v>
      </c>
      <c r="C284" s="217" t="s">
        <v>150</v>
      </c>
      <c r="D284" s="217" t="s">
        <v>180</v>
      </c>
      <c r="E284" s="217" t="s">
        <v>150</v>
      </c>
    </row>
    <row r="285" spans="1:5">
      <c r="B285" s="216" t="s">
        <v>396</v>
      </c>
      <c r="C285" s="216" t="s">
        <v>172</v>
      </c>
      <c r="D285" s="216" t="s">
        <v>149</v>
      </c>
      <c r="E285" s="216" t="s">
        <v>149</v>
      </c>
    </row>
    <row r="286" spans="1:5">
      <c r="B286" s="217" t="s">
        <v>104</v>
      </c>
      <c r="C286" s="217" t="s">
        <v>149</v>
      </c>
      <c r="D286" s="217" t="s">
        <v>150</v>
      </c>
      <c r="E286" s="217" t="s">
        <v>156</v>
      </c>
    </row>
    <row r="289" spans="2:15">
      <c r="B289" s="201" t="s">
        <v>211</v>
      </c>
    </row>
    <row r="290" spans="2:15">
      <c r="B290" s="195"/>
    </row>
    <row r="291" spans="2:15">
      <c r="B291" s="195" t="s">
        <v>212</v>
      </c>
    </row>
    <row r="292" spans="2:15">
      <c r="B292" s="195" t="s">
        <v>213</v>
      </c>
    </row>
    <row r="295" spans="2:15">
      <c r="B295" s="218"/>
      <c r="C295" s="218"/>
      <c r="D295" s="218"/>
      <c r="E295" s="218"/>
      <c r="F295" s="218"/>
      <c r="G295" s="218"/>
      <c r="H295" s="364"/>
      <c r="I295" s="364"/>
      <c r="J295" s="364"/>
      <c r="K295" s="218"/>
      <c r="L295" s="219"/>
      <c r="M295" s="218"/>
      <c r="N295" s="218"/>
      <c r="O295" s="218"/>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32.xml><?xml version="1.0" encoding="utf-8"?>
<worksheet xmlns="http://schemas.openxmlformats.org/spreadsheetml/2006/main" xmlns:r="http://schemas.openxmlformats.org/officeDocument/2006/relationships">
  <sheetPr codeName="Blad24">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499</v>
      </c>
      <c r="L1" s="194"/>
      <c r="P1" s="193">
        <f>SUM(P14:P101)+E11+H11+L7+L11+Q11</f>
        <v>530</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Spanje</v>
      </c>
      <c r="E3" s="222">
        <f t="shared" ref="E3:E10" si="3">IF(ISNA(MATCH(D3,teams_achtste,0)),0,10)</f>
        <v>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Colombia</v>
      </c>
      <c r="C4" s="222">
        <f t="shared" si="1"/>
        <v>10</v>
      </c>
      <c r="D4" s="224" t="str">
        <f t="shared" si="2"/>
        <v>Engeland</v>
      </c>
      <c r="E4" s="222">
        <f t="shared" si="3"/>
        <v>0</v>
      </c>
      <c r="F4" s="339" t="s">
        <v>450</v>
      </c>
      <c r="G4" s="195" t="str">
        <f>G88</f>
        <v>Colombia</v>
      </c>
      <c r="H4" s="222">
        <f t="shared" si="4"/>
        <v>15</v>
      </c>
      <c r="I4" s="339" t="s">
        <v>458</v>
      </c>
      <c r="J4" s="195" t="str">
        <f>G94</f>
        <v>Duitsland</v>
      </c>
      <c r="L4" s="222">
        <f>IF(ISNA(MATCH(J4,teams_halve,0)),0,20)</f>
        <v>20</v>
      </c>
      <c r="Q4" s="224"/>
    </row>
    <row r="5" spans="1:21" s="195" customFormat="1" ht="15" customHeight="1">
      <c r="B5" s="224" t="str">
        <f t="shared" si="0"/>
        <v>Nederland</v>
      </c>
      <c r="C5" s="222">
        <f t="shared" si="1"/>
        <v>10</v>
      </c>
      <c r="D5" s="224" t="str">
        <f t="shared" si="2"/>
        <v>Kroatië</v>
      </c>
      <c r="E5" s="222">
        <f t="shared" si="3"/>
        <v>0</v>
      </c>
      <c r="F5" s="339" t="s">
        <v>451</v>
      </c>
      <c r="G5" s="195" t="str">
        <f>E90</f>
        <v>Nederland</v>
      </c>
      <c r="H5" s="222">
        <f t="shared" si="4"/>
        <v>15</v>
      </c>
      <c r="I5" s="339" t="s">
        <v>459</v>
      </c>
      <c r="J5" s="195" t="str">
        <f>E95</f>
        <v>Nederland</v>
      </c>
      <c r="L5" s="222">
        <f>IF(ISNA(MATCH(J5,teams_halve,0)),0,20)</f>
        <v>20</v>
      </c>
    </row>
    <row r="6" spans="1:21" s="195" customFormat="1" ht="15" customHeight="1">
      <c r="B6" s="224" t="str">
        <f t="shared" si="0"/>
        <v>Uruguay</v>
      </c>
      <c r="C6" s="222">
        <f t="shared" si="1"/>
        <v>10</v>
      </c>
      <c r="D6" s="224" t="str">
        <f t="shared" si="2"/>
        <v>Japan</v>
      </c>
      <c r="E6" s="222">
        <f t="shared" si="3"/>
        <v>0</v>
      </c>
      <c r="F6" s="339" t="s">
        <v>452</v>
      </c>
      <c r="G6" s="195" t="str">
        <f>G90</f>
        <v>Uruguay</v>
      </c>
      <c r="H6" s="222">
        <f t="shared" si="4"/>
        <v>0</v>
      </c>
      <c r="I6" s="339" t="s">
        <v>460</v>
      </c>
      <c r="J6" s="195" t="str">
        <f>G95</f>
        <v>Argentinië</v>
      </c>
      <c r="L6" s="222">
        <f>IF(ISNA(MATCH(J6,teams_halve,0)),0,20)</f>
        <v>20</v>
      </c>
    </row>
    <row r="7" spans="1:21" s="195" customFormat="1" ht="15" customHeight="1">
      <c r="B7" s="224" t="str">
        <f t="shared" si="0"/>
        <v>Frankrijk</v>
      </c>
      <c r="C7" s="222">
        <f t="shared" si="1"/>
        <v>10</v>
      </c>
      <c r="D7" s="224" t="str">
        <f t="shared" si="2"/>
        <v>Nigeria</v>
      </c>
      <c r="E7" s="222">
        <f t="shared" si="3"/>
        <v>10</v>
      </c>
      <c r="F7" s="339" t="s">
        <v>453</v>
      </c>
      <c r="G7" s="195" t="str">
        <f>E89</f>
        <v>Frankrijk</v>
      </c>
      <c r="H7" s="222">
        <f t="shared" si="4"/>
        <v>15</v>
      </c>
      <c r="I7" s="339"/>
      <c r="J7" s="198" t="s">
        <v>83</v>
      </c>
      <c r="K7" s="199"/>
      <c r="L7" s="225">
        <f>SUM(L3:L6)</f>
        <v>80</v>
      </c>
    </row>
    <row r="8" spans="1:21" s="195" customFormat="1" ht="15" customHeight="1">
      <c r="B8" s="224" t="str">
        <f t="shared" si="0"/>
        <v>Duitsland</v>
      </c>
      <c r="C8" s="222">
        <f t="shared" si="1"/>
        <v>10</v>
      </c>
      <c r="D8" s="224" t="str">
        <f t="shared" si="2"/>
        <v>Rusland</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Zwitserland</v>
      </c>
      <c r="E9" s="222">
        <f t="shared" si="3"/>
        <v>10</v>
      </c>
      <c r="F9" s="339" t="s">
        <v>455</v>
      </c>
      <c r="G9" s="195" t="str">
        <f>E91</f>
        <v>Argentinië</v>
      </c>
      <c r="H9" s="222">
        <f t="shared" si="4"/>
        <v>15</v>
      </c>
      <c r="I9" s="339" t="s">
        <v>461</v>
      </c>
      <c r="J9" s="195" t="str">
        <f>E101</f>
        <v>Brazilië</v>
      </c>
      <c r="L9" s="222">
        <f>IF(ISNA(MATCH(J9,teams_fin,0)),0,30)</f>
        <v>0</v>
      </c>
      <c r="P9" s="444" t="str">
        <f>E98</f>
        <v>Duitsland</v>
      </c>
      <c r="Q9" s="222">
        <f>IF(ISNA(MATCH(P9,teams_troost,0)),0,25)</f>
        <v>0</v>
      </c>
    </row>
    <row r="10" spans="1:21" s="195" customFormat="1" ht="15" customHeight="1">
      <c r="B10" s="224" t="str">
        <f t="shared" si="0"/>
        <v>België</v>
      </c>
      <c r="C10" s="222">
        <f t="shared" si="1"/>
        <v>10</v>
      </c>
      <c r="D10" s="224" t="str">
        <f t="shared" si="2"/>
        <v>Portugal</v>
      </c>
      <c r="E10" s="222">
        <f t="shared" si="3"/>
        <v>0</v>
      </c>
      <c r="F10" s="339" t="s">
        <v>456</v>
      </c>
      <c r="G10" s="195" t="str">
        <f>G91</f>
        <v>Portugal</v>
      </c>
      <c r="H10" s="222">
        <f t="shared" si="4"/>
        <v>0</v>
      </c>
      <c r="I10" s="339" t="s">
        <v>462</v>
      </c>
      <c r="J10" s="195" t="str">
        <f>G101</f>
        <v>Argentinië</v>
      </c>
      <c r="L10" s="222">
        <f>IF(ISNA(MATCH(J10,teams_fin,0)),0,30)</f>
        <v>30</v>
      </c>
      <c r="P10" s="444" t="str">
        <f>G98</f>
        <v>Nederland</v>
      </c>
      <c r="Q10" s="222">
        <f>IF(ISNA(MATCH(P10,teams_troost,0)),0,25)</f>
        <v>25</v>
      </c>
    </row>
    <row r="11" spans="1:21" s="195" customFormat="1" ht="15" customHeight="1">
      <c r="D11" s="198" t="s">
        <v>89</v>
      </c>
      <c r="E11" s="225">
        <f>SUM(C3:E10)</f>
        <v>100</v>
      </c>
      <c r="G11" s="198" t="s">
        <v>82</v>
      </c>
      <c r="H11" s="225">
        <f>SUM(H3:H10)</f>
        <v>90</v>
      </c>
      <c r="J11" s="198" t="s">
        <v>90</v>
      </c>
      <c r="K11" s="199"/>
      <c r="L11" s="225">
        <f>SUM(L9:L10)</f>
        <v>30</v>
      </c>
      <c r="P11" s="199"/>
      <c r="Q11" s="225">
        <f>SUM(Q9:Q10)</f>
        <v>25</v>
      </c>
    </row>
    <row r="12" spans="1:21">
      <c r="B12" s="201" t="s">
        <v>19</v>
      </c>
      <c r="C12" s="201"/>
      <c r="D12" s="339" t="s">
        <v>463</v>
      </c>
      <c r="E12" s="202" t="s">
        <v>199</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2</v>
      </c>
      <c r="I14" s="366" t="s">
        <v>29</v>
      </c>
      <c r="J14" s="366">
        <v>1</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1</v>
      </c>
      <c r="I15" s="366" t="s">
        <v>29</v>
      </c>
      <c r="J15" s="366">
        <v>0</v>
      </c>
      <c r="K15" s="212" t="str">
        <f t="shared" si="5"/>
        <v>1</v>
      </c>
      <c r="L15" s="210" t="str">
        <f>VLOOKUP($B15,Invulblad!$A$11:$S$103,13,0)</f>
        <v>1</v>
      </c>
      <c r="M15" s="211">
        <f>IF(L15&lt;&gt;"",VLOOKUP($B15,Invulblad!$A$11:$S$103,7,0),"")</f>
        <v>1</v>
      </c>
      <c r="N15" s="209" t="s">
        <v>29</v>
      </c>
      <c r="O15" s="211">
        <f>IF(L15&lt;&gt;"",VLOOKUP($B15,Invulblad!$A$11:$S$103,9,0),"")</f>
        <v>0</v>
      </c>
      <c r="P15" s="212">
        <f t="shared" si="6"/>
        <v>10</v>
      </c>
    </row>
    <row r="16" spans="1:21">
      <c r="A16" s="188">
        <v>3</v>
      </c>
      <c r="B16" s="195">
        <v>17</v>
      </c>
      <c r="C16" s="332">
        <v>41807</v>
      </c>
      <c r="D16" s="333">
        <v>0.875</v>
      </c>
      <c r="E16" s="189" t="s">
        <v>557</v>
      </c>
      <c r="F16" s="189" t="s">
        <v>29</v>
      </c>
      <c r="G16" s="189" t="s">
        <v>96</v>
      </c>
      <c r="H16" s="366">
        <v>3</v>
      </c>
      <c r="I16" s="366" t="s">
        <v>29</v>
      </c>
      <c r="J16" s="366">
        <v>1</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0</v>
      </c>
      <c r="I17" s="366" t="s">
        <v>29</v>
      </c>
      <c r="J17" s="366">
        <v>1</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0</v>
      </c>
      <c r="I18" s="366" t="s">
        <v>29</v>
      </c>
      <c r="J18" s="366">
        <v>2</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1</v>
      </c>
      <c r="I19" s="366" t="s">
        <v>29</v>
      </c>
      <c r="J19" s="366">
        <v>1</v>
      </c>
      <c r="K19" s="212">
        <f t="shared" si="5"/>
        <v>3</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1</v>
      </c>
      <c r="I22" s="366" t="s">
        <v>29</v>
      </c>
      <c r="J22" s="366">
        <v>1</v>
      </c>
      <c r="K22" s="212">
        <f t="shared" si="5"/>
        <v>3</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2</v>
      </c>
      <c r="I23" s="366" t="s">
        <v>29</v>
      </c>
      <c r="J23" s="366">
        <v>1</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1</v>
      </c>
      <c r="I24" s="366" t="s">
        <v>29</v>
      </c>
      <c r="J24" s="366">
        <v>0</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0</v>
      </c>
      <c r="I25" s="366" t="s">
        <v>29</v>
      </c>
      <c r="J25" s="366">
        <v>2</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0</v>
      </c>
      <c r="I26" s="366" t="s">
        <v>29</v>
      </c>
      <c r="J26" s="366">
        <v>2</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2</v>
      </c>
      <c r="I27" s="366" t="s">
        <v>29</v>
      </c>
      <c r="J27" s="366">
        <v>1</v>
      </c>
      <c r="K27" s="212" t="str">
        <f t="shared" si="5"/>
        <v>1</v>
      </c>
      <c r="L27" s="210" t="str">
        <f>VLOOKUP($B27,Invulblad!$A$11:$S$103,13,0)</f>
        <v>1</v>
      </c>
      <c r="M27" s="211">
        <f>IF(L27&lt;&gt;"",VLOOKUP($B27,Invulblad!$A$11:$S$103,7,0),"")</f>
        <v>2</v>
      </c>
      <c r="N27" s="209" t="s">
        <v>29</v>
      </c>
      <c r="O27" s="211">
        <f>IF(L27&lt;&gt;"",VLOOKUP($B27,Invulblad!$A$11:$S$103,9,0),"")</f>
        <v>0</v>
      </c>
      <c r="P27" s="212">
        <f t="shared" si="7"/>
        <v>5</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2</v>
      </c>
      <c r="I30" s="366" t="s">
        <v>29</v>
      </c>
      <c r="J30" s="366">
        <v>1</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0</v>
      </c>
      <c r="I31" s="366" t="s">
        <v>29</v>
      </c>
      <c r="J31" s="366">
        <v>0</v>
      </c>
      <c r="K31" s="212">
        <f t="shared" si="5"/>
        <v>3</v>
      </c>
      <c r="L31" s="210" t="str">
        <f>VLOOKUP($B31,Invulblad!$A$11:$S$103,13,0)</f>
        <v>1</v>
      </c>
      <c r="M31" s="211">
        <f>IF(L31&lt;&gt;"",VLOOKUP($B31,Invulblad!$A$11:$S$103,7,0),"")</f>
        <v>2</v>
      </c>
      <c r="N31" s="209" t="s">
        <v>29</v>
      </c>
      <c r="O31" s="211">
        <f>IF(L31&lt;&gt;"",VLOOKUP($B31,Invulblad!$A$11:$S$103,9,0),"")</f>
        <v>1</v>
      </c>
      <c r="P31" s="212">
        <f t="shared" si="8"/>
        <v>0</v>
      </c>
    </row>
    <row r="32" spans="1:16">
      <c r="A32" s="188">
        <v>19</v>
      </c>
      <c r="B32" s="195">
        <v>21</v>
      </c>
      <c r="C32" s="332">
        <v>41809</v>
      </c>
      <c r="D32" s="333">
        <v>0.75</v>
      </c>
      <c r="E32" s="189" t="s">
        <v>428</v>
      </c>
      <c r="F32" s="189" t="s">
        <v>29</v>
      </c>
      <c r="G32" s="189" t="s">
        <v>125</v>
      </c>
      <c r="H32" s="366">
        <v>1</v>
      </c>
      <c r="I32" s="366" t="s">
        <v>29</v>
      </c>
      <c r="J32" s="366">
        <v>0</v>
      </c>
      <c r="K32" s="212" t="str">
        <f t="shared" si="5"/>
        <v>1</v>
      </c>
      <c r="L32" s="210" t="str">
        <f>VLOOKUP($B32,Invulblad!$A$11:$S$103,13,0)</f>
        <v>1</v>
      </c>
      <c r="M32" s="211">
        <f>IF(L32&lt;&gt;"",VLOOKUP($B32,Invulblad!$A$11:$S$103,7,0),"")</f>
        <v>2</v>
      </c>
      <c r="N32" s="209" t="s">
        <v>29</v>
      </c>
      <c r="O32" s="211">
        <f>IF(L32&lt;&gt;"",VLOOKUP($B32,Invulblad!$A$11:$S$103,9,0),"")</f>
        <v>1</v>
      </c>
      <c r="P32" s="212">
        <f t="shared" si="8"/>
        <v>5</v>
      </c>
    </row>
    <row r="33" spans="1:16">
      <c r="A33" s="188">
        <v>20</v>
      </c>
      <c r="B33" s="195">
        <v>22</v>
      </c>
      <c r="C33" s="332">
        <v>41810</v>
      </c>
      <c r="D33" s="333">
        <v>0</v>
      </c>
      <c r="E33" s="189" t="s">
        <v>118</v>
      </c>
      <c r="F33" s="189" t="s">
        <v>29</v>
      </c>
      <c r="G33" s="189" t="s">
        <v>105</v>
      </c>
      <c r="H33" s="366">
        <v>1</v>
      </c>
      <c r="I33" s="366" t="s">
        <v>29</v>
      </c>
      <c r="J33" s="366">
        <v>0</v>
      </c>
      <c r="K33" s="212" t="str">
        <f t="shared" si="5"/>
        <v>1</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0</v>
      </c>
      <c r="I34" s="366" t="s">
        <v>29</v>
      </c>
      <c r="J34" s="366">
        <v>0</v>
      </c>
      <c r="K34" s="212">
        <f t="shared" si="5"/>
        <v>3</v>
      </c>
      <c r="L34" s="210">
        <f>VLOOKUP($B34,Invulblad!$A$11:$S$103,13,0)</f>
        <v>2</v>
      </c>
      <c r="M34" s="211">
        <f>IF(L34&lt;&gt;"",VLOOKUP($B34,Invulblad!$A$11:$S$103,7,0),"")</f>
        <v>1</v>
      </c>
      <c r="N34" s="209" t="s">
        <v>29</v>
      </c>
      <c r="O34" s="211">
        <f>IF(L34&lt;&gt;"",VLOOKUP($B34,Invulblad!$A$11:$S$103,9,0),"")</f>
        <v>4</v>
      </c>
      <c r="P34" s="212">
        <f t="shared" si="8"/>
        <v>0</v>
      </c>
    </row>
    <row r="35" spans="1:16">
      <c r="A35" s="188">
        <v>22</v>
      </c>
      <c r="B35" s="195">
        <v>38</v>
      </c>
      <c r="C35" s="332">
        <v>41814</v>
      </c>
      <c r="D35" s="333">
        <v>0.91666666666666663</v>
      </c>
      <c r="E35" s="189" t="s">
        <v>233</v>
      </c>
      <c r="F35" s="189" t="s">
        <v>29</v>
      </c>
      <c r="G35" s="189" t="s">
        <v>125</v>
      </c>
      <c r="H35" s="366">
        <v>0</v>
      </c>
      <c r="I35" s="366" t="s">
        <v>29</v>
      </c>
      <c r="J35" s="366">
        <v>1</v>
      </c>
      <c r="K35" s="212">
        <f t="shared" si="5"/>
        <v>2</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2</v>
      </c>
      <c r="I38" s="366" t="s">
        <v>29</v>
      </c>
      <c r="J38" s="366">
        <v>0</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1</v>
      </c>
      <c r="K39" s="212">
        <f t="shared" si="5"/>
        <v>3</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1</v>
      </c>
      <c r="I40" s="366" t="s">
        <v>29</v>
      </c>
      <c r="J40" s="366">
        <v>1</v>
      </c>
      <c r="K40" s="212">
        <f t="shared" si="5"/>
        <v>3</v>
      </c>
      <c r="L40" s="210" t="str">
        <f>VLOOKUP($B40,Invulblad!$A$11:$S$103,13,0)</f>
        <v>1</v>
      </c>
      <c r="M40" s="211">
        <f>IF(L40&lt;&gt;"",VLOOKUP($B40,Invulblad!$A$11:$S$103,7,0),"")</f>
        <v>2</v>
      </c>
      <c r="N40" s="209" t="s">
        <v>29</v>
      </c>
      <c r="O40" s="211">
        <f>IF(L40&lt;&gt;"",VLOOKUP($B40,Invulblad!$A$11:$S$103,9,0),"")</f>
        <v>1</v>
      </c>
      <c r="P40" s="212">
        <f t="shared" si="9"/>
        <v>0</v>
      </c>
    </row>
    <row r="41" spans="1:16">
      <c r="A41" s="188">
        <v>28</v>
      </c>
      <c r="B41" s="195">
        <v>24</v>
      </c>
      <c r="C41" s="332">
        <v>41810</v>
      </c>
      <c r="D41" s="333">
        <v>0.75</v>
      </c>
      <c r="E41" s="189" t="s">
        <v>564</v>
      </c>
      <c r="F41" s="189" t="s">
        <v>29</v>
      </c>
      <c r="G41" s="189" t="s">
        <v>430</v>
      </c>
      <c r="H41" s="366">
        <v>1</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1</v>
      </c>
      <c r="I42" s="366" t="s">
        <v>29</v>
      </c>
      <c r="J42" s="366">
        <v>1</v>
      </c>
      <c r="K42" s="212">
        <f t="shared" si="5"/>
        <v>3</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2</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1</v>
      </c>
      <c r="I46" s="366" t="s">
        <v>29</v>
      </c>
      <c r="J46" s="366">
        <v>0</v>
      </c>
      <c r="K46" s="212" t="str">
        <f t="shared" si="5"/>
        <v>1</v>
      </c>
      <c r="L46" s="210" t="str">
        <f>VLOOKUP($B46,Invulblad!$A$11:$S$103,13,0)</f>
        <v>1</v>
      </c>
      <c r="M46" s="211">
        <f>IF(L46&lt;&gt;"",VLOOKUP($B46,Invulblad!$A$11:$S$103,7,0),"")</f>
        <v>2</v>
      </c>
      <c r="N46" s="209" t="s">
        <v>29</v>
      </c>
      <c r="O46" s="211">
        <f>IF(L46&lt;&gt;"",VLOOKUP($B46,Invulblad!$A$11:$S$103,9,0),"")</f>
        <v>1</v>
      </c>
      <c r="P46" s="212">
        <f t="shared" ref="P46:P51" si="10">IF(L46&lt;&gt;"",IF(AND(M46=H46,O46=J46),10,IF(K46=L46,5,0)),"")</f>
        <v>5</v>
      </c>
    </row>
    <row r="47" spans="1:16">
      <c r="A47" s="188">
        <v>34</v>
      </c>
      <c r="B47" s="195">
        <v>10</v>
      </c>
      <c r="C47" s="332">
        <v>41805</v>
      </c>
      <c r="D47" s="333">
        <v>0.875</v>
      </c>
      <c r="E47" s="189" t="s">
        <v>100</v>
      </c>
      <c r="F47" s="189" t="s">
        <v>29</v>
      </c>
      <c r="G47" s="189" t="s">
        <v>132</v>
      </c>
      <c r="H47" s="366">
        <v>2</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0</v>
      </c>
      <c r="I48" s="366" t="s">
        <v>29</v>
      </c>
      <c r="J48" s="366">
        <v>1</v>
      </c>
      <c r="K48" s="212">
        <f t="shared" si="5"/>
        <v>2</v>
      </c>
      <c r="L48" s="210">
        <f>VLOOKUP($B48,Invulblad!$A$11:$S$103,13,0)</f>
        <v>2</v>
      </c>
      <c r="M48" s="211">
        <f>IF(L48&lt;&gt;"",VLOOKUP($B48,Invulblad!$A$11:$S$103,7,0),"")</f>
        <v>2</v>
      </c>
      <c r="N48" s="209" t="s">
        <v>29</v>
      </c>
      <c r="O48" s="211">
        <f>IF(L48&lt;&gt;"",VLOOKUP($B48,Invulblad!$A$11:$S$103,9,0),"")</f>
        <v>5</v>
      </c>
      <c r="P48" s="212">
        <f t="shared" si="10"/>
        <v>5</v>
      </c>
    </row>
    <row r="49" spans="1:16">
      <c r="A49" s="188">
        <v>36</v>
      </c>
      <c r="B49" s="195">
        <v>26</v>
      </c>
      <c r="C49" s="332">
        <v>41811</v>
      </c>
      <c r="D49" s="333">
        <v>0</v>
      </c>
      <c r="E49" s="189" t="s">
        <v>127</v>
      </c>
      <c r="F49" s="189" t="s">
        <v>29</v>
      </c>
      <c r="G49" s="189" t="s">
        <v>434</v>
      </c>
      <c r="H49" s="366">
        <v>0</v>
      </c>
      <c r="I49" s="366" t="s">
        <v>29</v>
      </c>
      <c r="J49" s="366">
        <v>1</v>
      </c>
      <c r="K49" s="212">
        <f t="shared" si="5"/>
        <v>2</v>
      </c>
      <c r="L49" s="210">
        <f>VLOOKUP($B49,Invulblad!$A$11:$S$103,13,0)</f>
        <v>2</v>
      </c>
      <c r="M49" s="211">
        <f>IF(L49&lt;&gt;"",VLOOKUP($B49,Invulblad!$A$11:$S$103,7,0),"")</f>
        <v>1</v>
      </c>
      <c r="N49" s="209" t="s">
        <v>29</v>
      </c>
      <c r="O49" s="211">
        <f>IF(L49&lt;&gt;"",VLOOKUP($B49,Invulblad!$A$11:$S$103,9,0),"")</f>
        <v>2</v>
      </c>
      <c r="P49" s="212">
        <f t="shared" si="10"/>
        <v>5</v>
      </c>
    </row>
    <row r="50" spans="1:16">
      <c r="A50" s="188">
        <v>37</v>
      </c>
      <c r="B50" s="195">
        <v>41</v>
      </c>
      <c r="C50" s="332">
        <v>41815</v>
      </c>
      <c r="D50" s="333">
        <v>0.91666666666666663</v>
      </c>
      <c r="E50" s="189" t="s">
        <v>127</v>
      </c>
      <c r="F50" s="189" t="s">
        <v>29</v>
      </c>
      <c r="G50" s="189" t="s">
        <v>130</v>
      </c>
      <c r="H50" s="366">
        <v>0</v>
      </c>
      <c r="I50" s="366" t="s">
        <v>29</v>
      </c>
      <c r="J50" s="366">
        <v>1</v>
      </c>
      <c r="K50" s="212">
        <f t="shared" ref="K50:K85" si="11">IF(AND(H50="",J50=""),"",IF(OR(H50="",J50=""),"FOUT",IF(H50&gt;J50,"1",IF(H50=J50,3,2))))</f>
        <v>2</v>
      </c>
      <c r="L50" s="210">
        <f>VLOOKUP($B50,Invulblad!$A$11:$S$103,13,0)</f>
        <v>2</v>
      </c>
      <c r="M50" s="211">
        <f>IF(L50&lt;&gt;"",VLOOKUP($B50,Invulblad!$A$11:$S$103,7,0),"")</f>
        <v>0</v>
      </c>
      <c r="N50" s="209" t="s">
        <v>29</v>
      </c>
      <c r="O50" s="211">
        <f>IF(L50&lt;&gt;"",VLOOKUP($B50,Invulblad!$A$11:$S$103,9,0),"")</f>
        <v>3</v>
      </c>
      <c r="P50" s="212">
        <f t="shared" si="10"/>
        <v>5</v>
      </c>
    </row>
    <row r="51" spans="1:16">
      <c r="A51" s="188">
        <v>38</v>
      </c>
      <c r="B51" s="195">
        <v>42</v>
      </c>
      <c r="C51" s="332">
        <v>41815</v>
      </c>
      <c r="D51" s="333">
        <v>0.91666666666666663</v>
      </c>
      <c r="E51" s="189" t="s">
        <v>435</v>
      </c>
      <c r="F51" s="189" t="s">
        <v>29</v>
      </c>
      <c r="G51" s="189" t="s">
        <v>98</v>
      </c>
      <c r="H51" s="366">
        <v>1</v>
      </c>
      <c r="I51" s="366" t="s">
        <v>29</v>
      </c>
      <c r="J51" s="366">
        <v>2</v>
      </c>
      <c r="K51" s="212">
        <f t="shared" si="11"/>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367"/>
      <c r="I52" s="367"/>
      <c r="J52" s="367"/>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2</v>
      </c>
      <c r="I54" s="366" t="s">
        <v>29</v>
      </c>
      <c r="J54" s="366">
        <v>0</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2">
        <v>41806</v>
      </c>
      <c r="D55" s="333">
        <v>0.875</v>
      </c>
      <c r="E55" s="189" t="s">
        <v>438</v>
      </c>
      <c r="F55" s="189" t="s">
        <v>29</v>
      </c>
      <c r="G55" s="189" t="s">
        <v>103</v>
      </c>
      <c r="H55" s="366">
        <v>0</v>
      </c>
      <c r="I55" s="366" t="s">
        <v>29</v>
      </c>
      <c r="J55" s="366">
        <v>1</v>
      </c>
      <c r="K55" s="212">
        <f t="shared" si="11"/>
        <v>2</v>
      </c>
      <c r="L55" s="210">
        <f>VLOOKUP($B55,Invulblad!$A$11:$S$103,13,0)</f>
        <v>3</v>
      </c>
      <c r="M55" s="211">
        <f>IF(L55&lt;&gt;"",VLOOKUP($B55,Invulblad!$A$11:$S$103,7,0),"")</f>
        <v>0</v>
      </c>
      <c r="N55" s="209" t="s">
        <v>29</v>
      </c>
      <c r="O55" s="211">
        <f>IF(L55&lt;&gt;"",VLOOKUP($B55,Invulblad!$A$11:$S$103,9,0),"")</f>
        <v>0</v>
      </c>
      <c r="P55" s="212">
        <f t="shared" si="12"/>
        <v>0</v>
      </c>
    </row>
    <row r="56" spans="1:16">
      <c r="A56" s="188">
        <v>43</v>
      </c>
      <c r="B56" s="195">
        <v>27</v>
      </c>
      <c r="C56" s="332">
        <v>41811</v>
      </c>
      <c r="D56" s="333">
        <v>0.75</v>
      </c>
      <c r="E56" s="189" t="s">
        <v>565</v>
      </c>
      <c r="F56" s="189" t="s">
        <v>29</v>
      </c>
      <c r="G56" s="189" t="s">
        <v>439</v>
      </c>
      <c r="H56" s="366">
        <v>2</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1</v>
      </c>
      <c r="I57" s="366" t="s">
        <v>29</v>
      </c>
      <c r="J57" s="366">
        <v>1</v>
      </c>
      <c r="K57" s="212">
        <f t="shared" si="11"/>
        <v>3</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1</v>
      </c>
      <c r="I58" s="366" t="s">
        <v>29</v>
      </c>
      <c r="J58" s="366">
        <v>3</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1</v>
      </c>
      <c r="I59" s="366" t="s">
        <v>29</v>
      </c>
      <c r="J59" s="366">
        <v>0</v>
      </c>
      <c r="K59" s="212" t="str">
        <f t="shared" si="11"/>
        <v>1</v>
      </c>
      <c r="L59" s="210" t="str">
        <f>VLOOKUP($B59,Invulblad!$A$11:$S$103,13,0)</f>
        <v>1</v>
      </c>
      <c r="M59" s="211">
        <f>IF(L59&lt;&gt;"",VLOOKUP($B59,Invulblad!$A$11:$S$103,7,0),"")</f>
        <v>3</v>
      </c>
      <c r="N59" s="209" t="s">
        <v>29</v>
      </c>
      <c r="O59" s="211">
        <f>IF(L59&lt;&gt;"",VLOOKUP($B59,Invulblad!$A$11:$S$103,9,0),"")</f>
        <v>1</v>
      </c>
      <c r="P59" s="212">
        <f t="shared" si="12"/>
        <v>5</v>
      </c>
    </row>
    <row r="60" spans="1:16">
      <c r="A60" s="188">
        <v>47</v>
      </c>
      <c r="B60" s="201" t="s">
        <v>36</v>
      </c>
      <c r="H60" s="367"/>
      <c r="I60" s="367"/>
      <c r="J60" s="367"/>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2</v>
      </c>
      <c r="I62" s="366" t="s">
        <v>29</v>
      </c>
      <c r="J62" s="366">
        <v>1</v>
      </c>
      <c r="K62" s="212" t="str">
        <f t="shared" si="11"/>
        <v>1</v>
      </c>
      <c r="L62" s="210" t="str">
        <f>VLOOKUP($B62,Invulblad!$A$11:$S$103,13,0)</f>
        <v>1</v>
      </c>
      <c r="M62" s="211">
        <f>IF(L62&lt;&gt;"",VLOOKUP($B62,Invulblad!$A$11:$S$103,7,0),"")</f>
        <v>4</v>
      </c>
      <c r="N62" s="209" t="s">
        <v>29</v>
      </c>
      <c r="O62" s="211">
        <f>IF(L62&lt;&gt;"",VLOOKUP($B62,Invulblad!$A$11:$S$103,9,0),"")</f>
        <v>0</v>
      </c>
      <c r="P62" s="212">
        <f t="shared" ref="P62:P67" si="13">IF(L62&lt;&gt;"",IF(AND(M62=H62,O62=J62),10,IF(K62=L62,5,0)),"")</f>
        <v>5</v>
      </c>
    </row>
    <row r="63" spans="1:16">
      <c r="A63" s="188">
        <v>50</v>
      </c>
      <c r="B63" s="195">
        <v>14</v>
      </c>
      <c r="C63" s="332">
        <v>41807</v>
      </c>
      <c r="D63" s="333">
        <v>0</v>
      </c>
      <c r="E63" s="189" t="s">
        <v>115</v>
      </c>
      <c r="F63" s="189" t="s">
        <v>29</v>
      </c>
      <c r="G63" s="189" t="s">
        <v>577</v>
      </c>
      <c r="H63" s="366">
        <v>1</v>
      </c>
      <c r="I63" s="366" t="s">
        <v>29</v>
      </c>
      <c r="J63" s="366">
        <v>2</v>
      </c>
      <c r="K63" s="212">
        <f t="shared" si="11"/>
        <v>2</v>
      </c>
      <c r="L63" s="210">
        <f>VLOOKUP($B63,Invulblad!$A$11:$S$103,13,0)</f>
        <v>2</v>
      </c>
      <c r="M63" s="211">
        <f>IF(L63&lt;&gt;"",VLOOKUP($B63,Invulblad!$A$11:$S$103,7,0),"")</f>
        <v>1</v>
      </c>
      <c r="N63" s="209" t="s">
        <v>29</v>
      </c>
      <c r="O63" s="211">
        <f>IF(L63&lt;&gt;"",VLOOKUP($B63,Invulblad!$A$11:$S$103,9,0),"")</f>
        <v>2</v>
      </c>
      <c r="P63" s="212">
        <f t="shared" si="13"/>
        <v>10</v>
      </c>
    </row>
    <row r="64" spans="1:16">
      <c r="A64" s="188">
        <v>51</v>
      </c>
      <c r="B64" s="195">
        <v>29</v>
      </c>
      <c r="C64" s="332">
        <v>41811</v>
      </c>
      <c r="D64" s="333">
        <v>0.875</v>
      </c>
      <c r="E64" s="189" t="s">
        <v>113</v>
      </c>
      <c r="F64" s="189" t="s">
        <v>29</v>
      </c>
      <c r="G64" s="189" t="s">
        <v>114</v>
      </c>
      <c r="H64" s="366">
        <v>2</v>
      </c>
      <c r="I64" s="366" t="s">
        <v>29</v>
      </c>
      <c r="J64" s="366">
        <v>1</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0</v>
      </c>
      <c r="I65" s="366" t="s">
        <v>29</v>
      </c>
      <c r="J65" s="366">
        <v>1</v>
      </c>
      <c r="K65" s="212">
        <f t="shared" si="11"/>
        <v>2</v>
      </c>
      <c r="L65" s="210">
        <f>VLOOKUP($B65,Invulblad!$A$11:$S$103,13,0)</f>
        <v>3</v>
      </c>
      <c r="M65" s="211">
        <f>IF(L65&lt;&gt;"",VLOOKUP($B65,Invulblad!$A$11:$S$103,7,0),"")</f>
        <v>2</v>
      </c>
      <c r="N65" s="209" t="s">
        <v>29</v>
      </c>
      <c r="O65" s="211">
        <f>IF(L65&lt;&gt;"",VLOOKUP($B65,Invulblad!$A$11:$S$103,9,0),"")</f>
        <v>2</v>
      </c>
      <c r="P65" s="212">
        <f t="shared" si="13"/>
        <v>0</v>
      </c>
    </row>
    <row r="66" spans="1:16">
      <c r="A66" s="188">
        <v>53</v>
      </c>
      <c r="B66" s="195">
        <v>45</v>
      </c>
      <c r="C66" s="332">
        <v>41816</v>
      </c>
      <c r="D66" s="333">
        <v>0.75</v>
      </c>
      <c r="E66" s="189" t="s">
        <v>578</v>
      </c>
      <c r="F66" s="189" t="s">
        <v>29</v>
      </c>
      <c r="G66" s="189" t="s">
        <v>116</v>
      </c>
      <c r="H66" s="366">
        <v>0</v>
      </c>
      <c r="I66" s="366" t="s">
        <v>29</v>
      </c>
      <c r="J66" s="366">
        <v>1</v>
      </c>
      <c r="K66" s="212">
        <f t="shared" si="11"/>
        <v>2</v>
      </c>
      <c r="L66" s="210">
        <f>VLOOKUP($B66,Invulblad!$A$11:$S$103,13,0)</f>
        <v>2</v>
      </c>
      <c r="M66" s="211">
        <f>IF(L66&lt;&gt;"",VLOOKUP($B66,Invulblad!$A$11:$S$103,7,0),"")</f>
        <v>0</v>
      </c>
      <c r="N66" s="209" t="s">
        <v>29</v>
      </c>
      <c r="O66" s="211">
        <f>IF(L66&lt;&gt;"",VLOOKUP($B66,Invulblad!$A$11:$S$103,9,0),"")</f>
        <v>1</v>
      </c>
      <c r="P66" s="212">
        <f t="shared" si="13"/>
        <v>10</v>
      </c>
    </row>
    <row r="67" spans="1:16">
      <c r="A67" s="188">
        <v>54</v>
      </c>
      <c r="B67" s="195">
        <v>46</v>
      </c>
      <c r="C67" s="332">
        <v>41816</v>
      </c>
      <c r="D67" s="333">
        <v>0.75</v>
      </c>
      <c r="E67" s="189" t="s">
        <v>126</v>
      </c>
      <c r="F67" s="189" t="s">
        <v>29</v>
      </c>
      <c r="G67" s="189" t="s">
        <v>114</v>
      </c>
      <c r="H67" s="366">
        <v>2</v>
      </c>
      <c r="I67" s="366" t="s">
        <v>29</v>
      </c>
      <c r="J67" s="366">
        <v>1</v>
      </c>
      <c r="K67" s="212" t="str">
        <f t="shared" si="11"/>
        <v>1</v>
      </c>
      <c r="L67" s="210" t="str">
        <f>VLOOKUP($B67,Invulblad!$A$11:$S$103,13,0)</f>
        <v>1</v>
      </c>
      <c r="M67" s="211">
        <f>IF(L67&lt;&gt;"",VLOOKUP($B67,Invulblad!$A$11:$S$103,7,0),"")</f>
        <v>2</v>
      </c>
      <c r="N67" s="209" t="s">
        <v>29</v>
      </c>
      <c r="O67" s="211">
        <f>IF(L67&lt;&gt;"",VLOOKUP($B67,Invulblad!$A$11:$S$103,9,0),"")</f>
        <v>1</v>
      </c>
      <c r="P67" s="212">
        <f t="shared" si="13"/>
        <v>10</v>
      </c>
    </row>
    <row r="68" spans="1:16">
      <c r="A68" s="188">
        <v>55</v>
      </c>
      <c r="B68" s="201" t="s">
        <v>37</v>
      </c>
      <c r="H68" s="367"/>
      <c r="I68" s="367"/>
      <c r="J68" s="367"/>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1</v>
      </c>
      <c r="I70" s="366" t="s">
        <v>29</v>
      </c>
      <c r="J70" s="366">
        <v>0</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c r="A71" s="188">
        <v>58</v>
      </c>
      <c r="B71" s="195">
        <v>16</v>
      </c>
      <c r="C71" s="332">
        <v>41808</v>
      </c>
      <c r="D71" s="333">
        <v>0</v>
      </c>
      <c r="E71" s="189" t="s">
        <v>445</v>
      </c>
      <c r="F71" s="189" t="s">
        <v>29</v>
      </c>
      <c r="G71" s="189" t="s">
        <v>107</v>
      </c>
      <c r="H71" s="366">
        <v>1</v>
      </c>
      <c r="I71" s="366" t="s">
        <v>29</v>
      </c>
      <c r="J71" s="366">
        <v>0</v>
      </c>
      <c r="K71" s="212" t="str">
        <f t="shared" si="11"/>
        <v>1</v>
      </c>
      <c r="L71" s="210">
        <f>VLOOKUP($B71,Invulblad!$A$11:$S$103,13,0)</f>
        <v>3</v>
      </c>
      <c r="M71" s="211">
        <f>IF(L71&lt;&gt;"",VLOOKUP($B71,Invulblad!$A$11:$S$103,7,0),"")</f>
        <v>1</v>
      </c>
      <c r="N71" s="209" t="s">
        <v>29</v>
      </c>
      <c r="O71" s="211">
        <f>IF(L71&lt;&gt;"",VLOOKUP($B71,Invulblad!$A$11:$S$103,9,0),"")</f>
        <v>1</v>
      </c>
      <c r="P71" s="212">
        <f t="shared" si="14"/>
        <v>0</v>
      </c>
    </row>
    <row r="72" spans="1:16">
      <c r="A72" s="188">
        <v>59</v>
      </c>
      <c r="B72" s="195">
        <v>31</v>
      </c>
      <c r="C72" s="332">
        <v>41812</v>
      </c>
      <c r="D72" s="333">
        <v>0.75</v>
      </c>
      <c r="E72" s="189" t="s">
        <v>569</v>
      </c>
      <c r="F72" s="189" t="s">
        <v>29</v>
      </c>
      <c r="G72" s="189" t="s">
        <v>446</v>
      </c>
      <c r="H72" s="366">
        <v>1</v>
      </c>
      <c r="I72" s="366" t="s">
        <v>29</v>
      </c>
      <c r="J72" s="366">
        <v>1</v>
      </c>
      <c r="K72" s="212">
        <f t="shared" si="11"/>
        <v>3</v>
      </c>
      <c r="L72" s="210" t="str">
        <f>VLOOKUP($B72,Invulblad!$A$11:$S$103,13,0)</f>
        <v>1</v>
      </c>
      <c r="M72" s="211">
        <f>IF(L72&lt;&gt;"",VLOOKUP($B72,Invulblad!$A$11:$S$103,7,0),"")</f>
        <v>1</v>
      </c>
      <c r="N72" s="209" t="s">
        <v>29</v>
      </c>
      <c r="O72" s="211">
        <f>IF(L72&lt;&gt;"",VLOOKUP($B72,Invulblad!$A$11:$S$103,9,0),"")</f>
        <v>0</v>
      </c>
      <c r="P72" s="212">
        <f t="shared" si="14"/>
        <v>0</v>
      </c>
    </row>
    <row r="73" spans="1:16">
      <c r="A73" s="188">
        <v>60</v>
      </c>
      <c r="B73" s="195">
        <v>32</v>
      </c>
      <c r="C73" s="332">
        <v>41812</v>
      </c>
      <c r="D73" s="333">
        <v>0.875</v>
      </c>
      <c r="E73" s="189" t="s">
        <v>232</v>
      </c>
      <c r="F73" s="189" t="s">
        <v>29</v>
      </c>
      <c r="G73" s="189" t="s">
        <v>111</v>
      </c>
      <c r="H73" s="366">
        <v>1</v>
      </c>
      <c r="I73" s="366" t="s">
        <v>29</v>
      </c>
      <c r="J73" s="366">
        <v>0</v>
      </c>
      <c r="K73" s="212" t="str">
        <f t="shared" si="11"/>
        <v>1</v>
      </c>
      <c r="L73" s="210">
        <f>VLOOKUP($B73,Invulblad!$A$11:$S$103,13,0)</f>
        <v>2</v>
      </c>
      <c r="M73" s="211">
        <f>IF(L73&lt;&gt;"",VLOOKUP($B73,Invulblad!$A$11:$S$103,7,0),"")</f>
        <v>2</v>
      </c>
      <c r="N73" s="209" t="s">
        <v>29</v>
      </c>
      <c r="O73" s="211">
        <f>IF(L73&lt;&gt;"",VLOOKUP($B73,Invulblad!$A$11:$S$103,9,0),"")</f>
        <v>4</v>
      </c>
      <c r="P73" s="212">
        <f t="shared" si="14"/>
        <v>0</v>
      </c>
    </row>
    <row r="74" spans="1:16">
      <c r="A74" s="188">
        <v>61</v>
      </c>
      <c r="B74" s="195">
        <v>47</v>
      </c>
      <c r="C74" s="332">
        <v>41816</v>
      </c>
      <c r="D74" s="333">
        <v>0.91666666666666663</v>
      </c>
      <c r="E74" s="189" t="s">
        <v>232</v>
      </c>
      <c r="F74" s="189" t="s">
        <v>29</v>
      </c>
      <c r="G74" s="189" t="s">
        <v>570</v>
      </c>
      <c r="H74" s="366">
        <v>1</v>
      </c>
      <c r="I74" s="366" t="s">
        <v>29</v>
      </c>
      <c r="J74" s="366">
        <v>2</v>
      </c>
      <c r="K74" s="212">
        <f t="shared" si="11"/>
        <v>2</v>
      </c>
      <c r="L74" s="210">
        <f>VLOOKUP($B74,Invulblad!$A$11:$S$103,13,0)</f>
        <v>2</v>
      </c>
      <c r="M74" s="211">
        <f>IF(L74&lt;&gt;"",VLOOKUP($B74,Invulblad!$A$11:$S$103,7,0),"")</f>
        <v>0</v>
      </c>
      <c r="N74" s="209" t="s">
        <v>29</v>
      </c>
      <c r="O74" s="211">
        <f>IF(L74&lt;&gt;"",VLOOKUP($B74,Invulblad!$A$11:$S$103,9,0),"")</f>
        <v>1</v>
      </c>
      <c r="P74" s="212">
        <f t="shared" si="14"/>
        <v>5</v>
      </c>
    </row>
    <row r="75" spans="1:16">
      <c r="A75" s="188">
        <v>62</v>
      </c>
      <c r="B75" s="195">
        <v>48</v>
      </c>
      <c r="C75" s="332">
        <v>41816</v>
      </c>
      <c r="D75" s="333">
        <v>0.91666666666666663</v>
      </c>
      <c r="E75" s="189" t="s">
        <v>236</v>
      </c>
      <c r="F75" s="189" t="s">
        <v>29</v>
      </c>
      <c r="G75" s="189" t="s">
        <v>446</v>
      </c>
      <c r="H75" s="366">
        <v>0</v>
      </c>
      <c r="I75" s="366" t="s">
        <v>29</v>
      </c>
      <c r="J75" s="366">
        <v>1</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367"/>
      <c r="I76" s="367"/>
      <c r="J76" s="367"/>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138</v>
      </c>
      <c r="H78" s="366">
        <v>2</v>
      </c>
      <c r="I78" s="366" t="s">
        <v>29</v>
      </c>
      <c r="J78" s="366">
        <v>1</v>
      </c>
      <c r="K78" s="212" t="str">
        <f t="shared" si="11"/>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390</v>
      </c>
      <c r="F79" s="189" t="s">
        <v>29</v>
      </c>
      <c r="G79" s="189" t="s">
        <v>109</v>
      </c>
      <c r="H79" s="366">
        <v>1</v>
      </c>
      <c r="I79" s="366" t="s">
        <v>29</v>
      </c>
      <c r="J79" s="366">
        <v>1</v>
      </c>
      <c r="K79" s="212">
        <f t="shared" si="11"/>
        <v>3</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135</v>
      </c>
      <c r="F80" s="189" t="s">
        <v>29</v>
      </c>
      <c r="G80" s="189" t="s">
        <v>389</v>
      </c>
      <c r="H80" s="366">
        <v>1</v>
      </c>
      <c r="I80" s="366" t="s">
        <v>29</v>
      </c>
      <c r="J80" s="366">
        <v>0</v>
      </c>
      <c r="K80" s="212" t="str">
        <f t="shared" si="11"/>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97</v>
      </c>
      <c r="F81" s="189" t="s">
        <v>29</v>
      </c>
      <c r="G81" s="189" t="s">
        <v>187</v>
      </c>
      <c r="H81" s="366">
        <v>1</v>
      </c>
      <c r="I81" s="366" t="s">
        <v>29</v>
      </c>
      <c r="J81" s="366">
        <v>1</v>
      </c>
      <c r="K81" s="212">
        <f t="shared" si="11"/>
        <v>3</v>
      </c>
      <c r="L81" s="210">
        <f>VLOOKUP($B81,Invulblad!$A$11:$S$103,13,0)</f>
        <v>3</v>
      </c>
      <c r="M81" s="211">
        <f>IF(L81&lt;&gt;"",VLOOKUP($B81,Invulblad!$A$11:$S$103,7,0),"")</f>
        <v>1</v>
      </c>
      <c r="N81" s="209" t="s">
        <v>29</v>
      </c>
      <c r="O81" s="211">
        <f>IF(L81&lt;&gt;"",VLOOKUP($B81,Invulblad!$A$11:$S$103,9,0),"")</f>
        <v>1</v>
      </c>
      <c r="P81" s="212">
        <f t="shared" si="15"/>
        <v>10</v>
      </c>
    </row>
    <row r="82" spans="1:16">
      <c r="A82" s="188">
        <v>69</v>
      </c>
      <c r="B82" s="195">
        <v>53</v>
      </c>
      <c r="C82" s="332">
        <v>41820</v>
      </c>
      <c r="D82" s="333">
        <v>0.75</v>
      </c>
      <c r="E82" s="189" t="s">
        <v>143</v>
      </c>
      <c r="F82" s="189" t="s">
        <v>29</v>
      </c>
      <c r="G82" s="189" t="s">
        <v>108</v>
      </c>
      <c r="H82" s="366">
        <v>2</v>
      </c>
      <c r="I82" s="366" t="s">
        <v>29</v>
      </c>
      <c r="J82" s="366">
        <v>1</v>
      </c>
      <c r="K82" s="212" t="str">
        <f t="shared" si="11"/>
        <v>1</v>
      </c>
      <c r="L82" s="210" t="str">
        <f>VLOOKUP($B82,Invulblad!$A$11:$S$103,13,0)</f>
        <v>1</v>
      </c>
      <c r="M82" s="211">
        <f>IF(L82&lt;&gt;"",VLOOKUP($B82,Invulblad!$A$11:$S$103,7,0),"")</f>
        <v>2</v>
      </c>
      <c r="N82" s="209" t="s">
        <v>29</v>
      </c>
      <c r="O82" s="211">
        <f>IF(L82&lt;&gt;"",VLOOKUP($B82,Invulblad!$A$11:$S$103,9,0),"")</f>
        <v>0</v>
      </c>
      <c r="P82" s="212">
        <f t="shared" si="15"/>
        <v>5</v>
      </c>
    </row>
    <row r="83" spans="1:16">
      <c r="A83" s="188">
        <v>70</v>
      </c>
      <c r="B83" s="195">
        <v>54</v>
      </c>
      <c r="C83" s="332">
        <v>41820</v>
      </c>
      <c r="D83" s="333">
        <v>0.91666666666666663</v>
      </c>
      <c r="E83" s="189" t="s">
        <v>177</v>
      </c>
      <c r="F83" s="189" t="s">
        <v>29</v>
      </c>
      <c r="G83" s="189" t="s">
        <v>396</v>
      </c>
      <c r="H83" s="366">
        <v>1</v>
      </c>
      <c r="I83" s="366" t="s">
        <v>29</v>
      </c>
      <c r="J83" s="366">
        <v>0</v>
      </c>
      <c r="K83" s="212" t="str">
        <f t="shared" si="11"/>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209</v>
      </c>
      <c r="H84" s="366">
        <v>2</v>
      </c>
      <c r="I84" s="366" t="s">
        <v>29</v>
      </c>
      <c r="J84" s="366">
        <v>0</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395</v>
      </c>
      <c r="F85" s="189" t="s">
        <v>29</v>
      </c>
      <c r="G85" s="189" t="s">
        <v>202</v>
      </c>
      <c r="H85" s="366">
        <v>0</v>
      </c>
      <c r="I85" s="366" t="s">
        <v>29</v>
      </c>
      <c r="J85" s="366">
        <v>0</v>
      </c>
      <c r="K85" s="212">
        <f t="shared" si="11"/>
        <v>3</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390</v>
      </c>
      <c r="H88" s="366">
        <v>2</v>
      </c>
      <c r="I88" s="366" t="s">
        <v>29</v>
      </c>
      <c r="J88" s="366">
        <v>1</v>
      </c>
      <c r="K88" s="212" t="str">
        <f t="shared" si="16"/>
        <v>1</v>
      </c>
      <c r="L88" s="210" t="str">
        <f>VLOOKUP($B88,Invulblad!$A$11:$S$103,13,0)</f>
        <v>1</v>
      </c>
      <c r="M88" s="211">
        <f>IF(L88&lt;&gt;"",VLOOKUP($B88,Invulblad!$A$11:$S$103,7,0),"")</f>
        <v>2</v>
      </c>
      <c r="N88" s="209" t="s">
        <v>29</v>
      </c>
      <c r="O88" s="211">
        <f>IF(L88&lt;&gt;"",VLOOKUP($B88,Invulblad!$A$11:$S$103,9,0),"")</f>
        <v>1</v>
      </c>
      <c r="P88" s="212">
        <f>IF(L88&lt;&gt;"",IF(AND(M88=H88,O88=J88),10,IF(K88=L88,5,0)),"")</f>
        <v>10</v>
      </c>
    </row>
    <row r="89" spans="1:16">
      <c r="A89" s="188">
        <v>76</v>
      </c>
      <c r="B89" s="195">
        <v>58</v>
      </c>
      <c r="C89" s="332">
        <v>41824</v>
      </c>
      <c r="D89" s="333">
        <v>0.75</v>
      </c>
      <c r="E89" s="189" t="s">
        <v>143</v>
      </c>
      <c r="F89" s="189" t="s">
        <v>29</v>
      </c>
      <c r="G89" s="189" t="s">
        <v>177</v>
      </c>
      <c r="H89" s="366">
        <v>1</v>
      </c>
      <c r="I89" s="366" t="s">
        <v>29</v>
      </c>
      <c r="J89" s="366">
        <v>2</v>
      </c>
      <c r="K89" s="212">
        <f t="shared" si="16"/>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135</v>
      </c>
      <c r="F90" s="189" t="s">
        <v>29</v>
      </c>
      <c r="G90" s="189" t="s">
        <v>97</v>
      </c>
      <c r="H90" s="366">
        <v>1</v>
      </c>
      <c r="I90" s="366" t="s">
        <v>29</v>
      </c>
      <c r="J90" s="366">
        <v>0</v>
      </c>
      <c r="K90" s="212" t="str">
        <f t="shared" si="16"/>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202</v>
      </c>
      <c r="H91" s="366">
        <v>2</v>
      </c>
      <c r="I91" s="366" t="s">
        <v>29</v>
      </c>
      <c r="J91" s="366">
        <v>0</v>
      </c>
      <c r="K91" s="212" t="str">
        <f t="shared" si="16"/>
        <v>1</v>
      </c>
      <c r="L91" s="210"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H92" s="367"/>
      <c r="I92" s="367"/>
      <c r="J92" s="367"/>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177</v>
      </c>
      <c r="H94" s="366">
        <v>2</v>
      </c>
      <c r="I94" s="366" t="s">
        <v>29</v>
      </c>
      <c r="J94" s="366">
        <v>1</v>
      </c>
      <c r="K94" s="212" t="str">
        <f t="shared" si="16"/>
        <v>1</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135</v>
      </c>
      <c r="F95" s="189" t="s">
        <v>29</v>
      </c>
      <c r="G95" s="189" t="s">
        <v>102</v>
      </c>
      <c r="H95" s="366">
        <v>1</v>
      </c>
      <c r="I95" s="366" t="s">
        <v>29</v>
      </c>
      <c r="J95" s="366">
        <v>1</v>
      </c>
      <c r="K95" s="212">
        <f t="shared" si="16"/>
        <v>3</v>
      </c>
      <c r="L95" s="210">
        <f>VLOOKUP($B95,Invulblad!$A$11:$S$103,13,0)</f>
        <v>3</v>
      </c>
      <c r="M95" s="211">
        <f>IF(L95&lt;&gt;"",VLOOKUP($B95,Invulblad!$A$11:$S$103,7,0),"")</f>
        <v>0</v>
      </c>
      <c r="N95" s="209" t="s">
        <v>29</v>
      </c>
      <c r="O95" s="211">
        <f>IF(L95&lt;&gt;"",VLOOKUP($B95,Invulblad!$A$11:$S$103,9,0),"")</f>
        <v>0</v>
      </c>
      <c r="P95" s="212">
        <f>IF(L95&lt;&gt;"",IF(AND(M95=H95,O95=J95),10,IF(K95=L95,5,0)),"")</f>
        <v>5</v>
      </c>
    </row>
    <row r="96" spans="1:16">
      <c r="A96" s="188">
        <v>83</v>
      </c>
      <c r="B96" s="201" t="s">
        <v>571</v>
      </c>
      <c r="H96" s="367"/>
      <c r="I96" s="367"/>
      <c r="J96" s="367"/>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177</v>
      </c>
      <c r="F98" s="189" t="s">
        <v>29</v>
      </c>
      <c r="G98" s="189" t="s">
        <v>135</v>
      </c>
      <c r="H98" s="366">
        <v>2</v>
      </c>
      <c r="I98" s="366" t="s">
        <v>29</v>
      </c>
      <c r="J98" s="366">
        <v>1</v>
      </c>
      <c r="K98" s="212" t="str">
        <f t="shared" si="16"/>
        <v>1</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367"/>
      <c r="I99" s="367"/>
      <c r="J99" s="367"/>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199</v>
      </c>
      <c r="F101" s="189" t="s">
        <v>29</v>
      </c>
      <c r="G101" s="189" t="s">
        <v>102</v>
      </c>
      <c r="H101" s="366">
        <v>2</v>
      </c>
      <c r="I101" s="366" t="s">
        <v>29</v>
      </c>
      <c r="J101" s="366">
        <v>0</v>
      </c>
      <c r="K101" s="212" t="str">
        <f t="shared" si="16"/>
        <v>1</v>
      </c>
      <c r="L101" s="210" t="str">
        <f>VLOOKUP($B101,Invulblad!$A$11:$S$103,13,0)</f>
        <v>1</v>
      </c>
      <c r="M101" s="211">
        <f>IF(L101&lt;&gt;"",VLOOKUP($B101,Invulblad!$A$11:$S$103,7,0),"")</f>
        <v>1</v>
      </c>
      <c r="N101" s="209" t="s">
        <v>29</v>
      </c>
      <c r="O101" s="211">
        <f>IF(L101&lt;&gt;"",VLOOKUP($B101,Invulblad!$A$11:$S$103,9,0),"")</f>
        <v>0</v>
      </c>
      <c r="P101" s="212">
        <f>IF(L101&lt;&gt;"",IF(AND(M101=H101,O101=J101),10,IF(K101=L101,5,0)),"")</f>
        <v>5</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389</v>
      </c>
    </row>
    <row r="112" spans="1:16">
      <c r="B112" s="201" t="s">
        <v>144</v>
      </c>
    </row>
    <row r="114" spans="2:15">
      <c r="B114" s="215" t="s">
        <v>145</v>
      </c>
      <c r="C114" s="215" t="s">
        <v>146</v>
      </c>
      <c r="D114" s="215" t="s">
        <v>147</v>
      </c>
      <c r="E114" s="215" t="s">
        <v>148</v>
      </c>
    </row>
    <row r="115" spans="2:15">
      <c r="B115" s="216" t="s">
        <v>199</v>
      </c>
      <c r="C115" s="216" t="s">
        <v>163</v>
      </c>
      <c r="D115" s="216" t="s">
        <v>155</v>
      </c>
      <c r="E115" s="216" t="s">
        <v>172</v>
      </c>
    </row>
    <row r="116" spans="2:15">
      <c r="B116" s="217" t="s">
        <v>389</v>
      </c>
      <c r="C116" s="217" t="s">
        <v>149</v>
      </c>
      <c r="D116" s="217" t="s">
        <v>150</v>
      </c>
      <c r="E116" s="217" t="s">
        <v>151</v>
      </c>
    </row>
    <row r="117" spans="2:15">
      <c r="B117" s="216" t="s">
        <v>152</v>
      </c>
      <c r="C117" s="216" t="s">
        <v>149</v>
      </c>
      <c r="D117" s="216" t="s">
        <v>154</v>
      </c>
      <c r="E117" s="216" t="s">
        <v>151</v>
      </c>
    </row>
    <row r="118" spans="2:15">
      <c r="B118" s="217" t="s">
        <v>185</v>
      </c>
      <c r="C118" s="217" t="s">
        <v>150</v>
      </c>
      <c r="D118" s="217" t="s">
        <v>180</v>
      </c>
      <c r="E118" s="217" t="s">
        <v>150</v>
      </c>
    </row>
    <row r="121" spans="2:15">
      <c r="B121" s="201" t="s">
        <v>157</v>
      </c>
    </row>
    <row r="122" spans="2:15">
      <c r="B122" s="195"/>
    </row>
    <row r="123" spans="2:15">
      <c r="B123" s="195" t="s">
        <v>158</v>
      </c>
    </row>
    <row r="124" spans="2:15">
      <c r="B124" s="195" t="s">
        <v>249</v>
      </c>
    </row>
    <row r="127" spans="2:15">
      <c r="B127" s="218"/>
      <c r="C127" s="218"/>
      <c r="D127" s="218"/>
      <c r="E127" s="218"/>
      <c r="F127" s="218"/>
      <c r="G127" s="218"/>
      <c r="H127" s="364"/>
      <c r="I127" s="364"/>
      <c r="J127" s="364"/>
      <c r="K127" s="218"/>
      <c r="L127" s="219"/>
      <c r="M127" s="218"/>
      <c r="N127" s="218"/>
      <c r="O127" s="218"/>
    </row>
    <row r="130" spans="1:5">
      <c r="B130" s="201" t="s">
        <v>160</v>
      </c>
    </row>
    <row r="132" spans="1:5">
      <c r="A132" s="227" t="s">
        <v>67</v>
      </c>
      <c r="B132" s="189" t="s">
        <v>140</v>
      </c>
      <c r="C132" s="189" t="s">
        <v>141</v>
      </c>
      <c r="D132" s="201" t="s">
        <v>135</v>
      </c>
    </row>
    <row r="133" spans="1:5">
      <c r="A133" s="188" t="s">
        <v>68</v>
      </c>
      <c r="B133" s="189" t="s">
        <v>142</v>
      </c>
      <c r="C133" s="189" t="s">
        <v>141</v>
      </c>
      <c r="D133" s="201" t="s">
        <v>138</v>
      </c>
    </row>
    <row r="136" spans="1:5">
      <c r="B136" s="201" t="s">
        <v>161</v>
      </c>
    </row>
    <row r="138" spans="1:5">
      <c r="B138" s="215" t="s">
        <v>145</v>
      </c>
      <c r="C138" s="215" t="s">
        <v>146</v>
      </c>
      <c r="D138" s="215" t="s">
        <v>147</v>
      </c>
      <c r="E138" s="215" t="s">
        <v>148</v>
      </c>
    </row>
    <row r="139" spans="1:5">
      <c r="B139" s="216" t="s">
        <v>138</v>
      </c>
      <c r="C139" s="216" t="s">
        <v>172</v>
      </c>
      <c r="D139" s="216" t="s">
        <v>151</v>
      </c>
      <c r="E139" s="216" t="s">
        <v>149</v>
      </c>
    </row>
    <row r="140" spans="1:5">
      <c r="B140" s="217" t="s">
        <v>135</v>
      </c>
      <c r="C140" s="217" t="s">
        <v>172</v>
      </c>
      <c r="D140" s="217" t="s">
        <v>151</v>
      </c>
      <c r="E140" s="217" t="s">
        <v>155</v>
      </c>
    </row>
    <row r="141" spans="1:5">
      <c r="B141" s="216" t="s">
        <v>207</v>
      </c>
      <c r="C141" s="216" t="s">
        <v>151</v>
      </c>
      <c r="D141" s="216" t="s">
        <v>154</v>
      </c>
      <c r="E141" s="216" t="s">
        <v>151</v>
      </c>
    </row>
    <row r="142" spans="1:5">
      <c r="B142" s="217" t="s">
        <v>179</v>
      </c>
      <c r="C142" s="217" t="s">
        <v>150</v>
      </c>
      <c r="D142" s="217" t="s">
        <v>162</v>
      </c>
      <c r="E142" s="217" t="s">
        <v>156</v>
      </c>
    </row>
    <row r="145" spans="1:15">
      <c r="B145" s="201" t="s">
        <v>166</v>
      </c>
    </row>
    <row r="146" spans="1:15">
      <c r="B146" s="195"/>
    </row>
    <row r="147" spans="1:15">
      <c r="B147" s="195" t="s">
        <v>532</v>
      </c>
    </row>
    <row r="148" spans="1:15">
      <c r="B148" s="195"/>
    </row>
    <row r="151" spans="1:15">
      <c r="B151" s="218"/>
      <c r="C151" s="218"/>
      <c r="D151" s="218"/>
      <c r="E151" s="218"/>
      <c r="F151" s="218"/>
      <c r="G151" s="218"/>
      <c r="H151" s="364"/>
      <c r="I151" s="364"/>
      <c r="J151" s="364"/>
      <c r="K151" s="218"/>
      <c r="L151" s="219"/>
      <c r="M151" s="218"/>
      <c r="N151" s="218"/>
      <c r="O151" s="218"/>
    </row>
    <row r="154" spans="1:15">
      <c r="B154" s="201" t="s">
        <v>169</v>
      </c>
    </row>
    <row r="156" spans="1:15">
      <c r="A156" s="188" t="s">
        <v>69</v>
      </c>
      <c r="B156" s="189" t="s">
        <v>140</v>
      </c>
      <c r="C156" s="189" t="s">
        <v>141</v>
      </c>
      <c r="D156" s="201" t="s">
        <v>390</v>
      </c>
    </row>
    <row r="157" spans="1:15">
      <c r="A157" s="188" t="s">
        <v>70</v>
      </c>
      <c r="B157" s="189" t="s">
        <v>142</v>
      </c>
      <c r="C157" s="189" t="s">
        <v>141</v>
      </c>
      <c r="D157" s="201" t="s">
        <v>187</v>
      </c>
    </row>
    <row r="160" spans="1:15">
      <c r="B160" s="201" t="s">
        <v>170</v>
      </c>
    </row>
    <row r="162" spans="2:15">
      <c r="B162" s="215" t="s">
        <v>145</v>
      </c>
      <c r="C162" s="215" t="s">
        <v>146</v>
      </c>
      <c r="D162" s="215" t="s">
        <v>147</v>
      </c>
      <c r="E162" s="215" t="s">
        <v>148</v>
      </c>
    </row>
    <row r="163" spans="2:15">
      <c r="B163" s="216" t="s">
        <v>390</v>
      </c>
      <c r="C163" s="216" t="s">
        <v>172</v>
      </c>
      <c r="D163" s="216" t="s">
        <v>153</v>
      </c>
      <c r="E163" s="216" t="s">
        <v>151</v>
      </c>
    </row>
    <row r="164" spans="2:15">
      <c r="B164" s="217" t="s">
        <v>106</v>
      </c>
      <c r="C164" s="217" t="s">
        <v>150</v>
      </c>
      <c r="D164" s="217" t="s">
        <v>171</v>
      </c>
      <c r="E164" s="217" t="s">
        <v>156</v>
      </c>
    </row>
    <row r="165" spans="2:15">
      <c r="B165" s="216" t="s">
        <v>200</v>
      </c>
      <c r="C165" s="216" t="s">
        <v>149</v>
      </c>
      <c r="D165" s="216" t="s">
        <v>150</v>
      </c>
      <c r="E165" s="216" t="s">
        <v>156</v>
      </c>
    </row>
    <row r="166" spans="2:15">
      <c r="B166" s="217" t="s">
        <v>187</v>
      </c>
      <c r="C166" s="217" t="s">
        <v>155</v>
      </c>
      <c r="D166" s="217" t="s">
        <v>156</v>
      </c>
      <c r="E166" s="217" t="s">
        <v>156</v>
      </c>
    </row>
    <row r="169" spans="2:15">
      <c r="B169" s="201" t="s">
        <v>173</v>
      </c>
    </row>
    <row r="170" spans="2:15">
      <c r="B170" s="195"/>
    </row>
    <row r="171" spans="2:15">
      <c r="B171" s="195" t="s">
        <v>174</v>
      </c>
    </row>
    <row r="172" spans="2:15">
      <c r="B172" s="195" t="s">
        <v>175</v>
      </c>
    </row>
    <row r="175" spans="2:15">
      <c r="B175" s="218"/>
      <c r="C175" s="218"/>
      <c r="D175" s="218"/>
      <c r="E175" s="218"/>
      <c r="F175" s="218"/>
      <c r="G175" s="218"/>
      <c r="H175" s="364"/>
      <c r="I175" s="364"/>
      <c r="J175" s="364"/>
      <c r="K175" s="218"/>
      <c r="L175" s="219"/>
      <c r="M175" s="218"/>
      <c r="N175" s="218"/>
      <c r="O175" s="218"/>
    </row>
    <row r="178" spans="1:5">
      <c r="B178" s="201" t="s">
        <v>176</v>
      </c>
    </row>
    <row r="180" spans="1:5">
      <c r="A180" s="188" t="s">
        <v>71</v>
      </c>
      <c r="B180" s="189" t="s">
        <v>140</v>
      </c>
      <c r="C180" s="189" t="s">
        <v>141</v>
      </c>
      <c r="D180" s="201" t="s">
        <v>97</v>
      </c>
    </row>
    <row r="181" spans="1:5">
      <c r="A181" s="188" t="s">
        <v>72</v>
      </c>
      <c r="B181" s="189" t="s">
        <v>142</v>
      </c>
      <c r="C181" s="189" t="s">
        <v>141</v>
      </c>
      <c r="D181" s="201" t="s">
        <v>109</v>
      </c>
    </row>
    <row r="184" spans="1:5">
      <c r="B184" s="201" t="s">
        <v>178</v>
      </c>
    </row>
    <row r="186" spans="1:5">
      <c r="B186" s="215" t="s">
        <v>145</v>
      </c>
      <c r="C186" s="215" t="s">
        <v>146</v>
      </c>
      <c r="D186" s="215" t="s">
        <v>147</v>
      </c>
      <c r="E186" s="215" t="s">
        <v>148</v>
      </c>
    </row>
    <row r="187" spans="1:5">
      <c r="B187" s="216" t="s">
        <v>97</v>
      </c>
      <c r="C187" s="216" t="s">
        <v>155</v>
      </c>
      <c r="D187" s="216" t="s">
        <v>153</v>
      </c>
      <c r="E187" s="216" t="s">
        <v>149</v>
      </c>
    </row>
    <row r="188" spans="1:5">
      <c r="B188" s="217" t="s">
        <v>391</v>
      </c>
      <c r="C188" s="217" t="s">
        <v>150</v>
      </c>
      <c r="D188" s="217" t="s">
        <v>162</v>
      </c>
      <c r="E188" s="217" t="s">
        <v>150</v>
      </c>
    </row>
    <row r="189" spans="1:5">
      <c r="B189" s="216" t="s">
        <v>109</v>
      </c>
      <c r="C189" s="216" t="s">
        <v>155</v>
      </c>
      <c r="D189" s="216" t="s">
        <v>153</v>
      </c>
      <c r="E189" s="216" t="s">
        <v>149</v>
      </c>
    </row>
    <row r="190" spans="1:5">
      <c r="B190" s="217" t="s">
        <v>193</v>
      </c>
      <c r="C190" s="217" t="s">
        <v>155</v>
      </c>
      <c r="D190" s="217" t="s">
        <v>156</v>
      </c>
      <c r="E190" s="217" t="s">
        <v>151</v>
      </c>
    </row>
    <row r="193" spans="1:15">
      <c r="B193" s="201" t="s">
        <v>182</v>
      </c>
    </row>
    <row r="194" spans="1:15">
      <c r="B194" s="195"/>
    </row>
    <row r="195" spans="1:15">
      <c r="B195" s="195" t="s">
        <v>527</v>
      </c>
    </row>
    <row r="196" spans="1:15">
      <c r="B196" s="195"/>
    </row>
    <row r="198" spans="1:15">
      <c r="K198" s="218"/>
      <c r="L198" s="219"/>
      <c r="M198" s="218"/>
      <c r="N198" s="218"/>
      <c r="O198" s="218"/>
    </row>
    <row r="199" spans="1:15">
      <c r="B199" s="218"/>
      <c r="C199" s="218"/>
      <c r="D199" s="218"/>
      <c r="E199" s="218"/>
      <c r="F199" s="218"/>
      <c r="G199" s="218"/>
      <c r="H199" s="364"/>
      <c r="I199" s="364"/>
      <c r="J199" s="364"/>
    </row>
    <row r="202" spans="1:15">
      <c r="B202" s="201" t="s">
        <v>184</v>
      </c>
    </row>
    <row r="204" spans="1:15">
      <c r="A204" s="188" t="s">
        <v>73</v>
      </c>
      <c r="B204" s="189" t="s">
        <v>140</v>
      </c>
      <c r="C204" s="189" t="s">
        <v>141</v>
      </c>
      <c r="D204" s="201" t="s">
        <v>143</v>
      </c>
    </row>
    <row r="205" spans="1:15">
      <c r="A205" s="188" t="s">
        <v>74</v>
      </c>
      <c r="B205" s="189" t="s">
        <v>142</v>
      </c>
      <c r="C205" s="189" t="s">
        <v>141</v>
      </c>
      <c r="D205" s="201" t="s">
        <v>209</v>
      </c>
    </row>
    <row r="208" spans="1:15">
      <c r="B208" s="201" t="s">
        <v>186</v>
      </c>
    </row>
    <row r="210" spans="2:15">
      <c r="B210" s="215" t="s">
        <v>145</v>
      </c>
      <c r="C210" s="215" t="s">
        <v>146</v>
      </c>
      <c r="D210" s="215" t="s">
        <v>147</v>
      </c>
      <c r="E210" s="215" t="s">
        <v>148</v>
      </c>
    </row>
    <row r="211" spans="2:15">
      <c r="B211" s="216" t="s">
        <v>209</v>
      </c>
      <c r="C211" s="216" t="s">
        <v>164</v>
      </c>
      <c r="D211" s="216" t="s">
        <v>156</v>
      </c>
      <c r="E211" s="216" t="s">
        <v>153</v>
      </c>
    </row>
    <row r="212" spans="2:15">
      <c r="B212" s="217" t="s">
        <v>392</v>
      </c>
      <c r="C212" s="217" t="s">
        <v>151</v>
      </c>
      <c r="D212" s="217" t="s">
        <v>154</v>
      </c>
      <c r="E212" s="217" t="s">
        <v>153</v>
      </c>
    </row>
    <row r="213" spans="2:15">
      <c r="B213" s="216" t="s">
        <v>143</v>
      </c>
      <c r="C213" s="216" t="s">
        <v>163</v>
      </c>
      <c r="D213" s="216" t="s">
        <v>149</v>
      </c>
      <c r="E213" s="216" t="s">
        <v>155</v>
      </c>
    </row>
    <row r="214" spans="2:15">
      <c r="B214" s="217" t="s">
        <v>210</v>
      </c>
      <c r="C214" s="217" t="s">
        <v>150</v>
      </c>
      <c r="D214" s="217" t="s">
        <v>180</v>
      </c>
      <c r="E214" s="217" t="s">
        <v>150</v>
      </c>
    </row>
    <row r="217" spans="2:15">
      <c r="B217" s="201" t="s">
        <v>189</v>
      </c>
    </row>
    <row r="218" spans="2:15">
      <c r="B218" s="195"/>
    </row>
    <row r="219" spans="2:15">
      <c r="B219" s="195" t="s">
        <v>190</v>
      </c>
    </row>
    <row r="220" spans="2:15">
      <c r="B220" s="195" t="s">
        <v>191</v>
      </c>
    </row>
    <row r="222" spans="2:15">
      <c r="K222" s="218"/>
      <c r="L222" s="219"/>
      <c r="M222" s="218"/>
      <c r="N222" s="218"/>
      <c r="O222" s="218"/>
    </row>
    <row r="223" spans="2:15">
      <c r="B223" s="218"/>
      <c r="C223" s="218"/>
      <c r="D223" s="218"/>
      <c r="E223" s="218"/>
      <c r="F223" s="218"/>
      <c r="G223" s="218"/>
      <c r="H223" s="364"/>
      <c r="I223" s="364"/>
      <c r="J223" s="364"/>
    </row>
    <row r="226" spans="1:5">
      <c r="B226" s="201" t="s">
        <v>192</v>
      </c>
    </row>
    <row r="228" spans="1:5">
      <c r="A228" s="188" t="s">
        <v>75</v>
      </c>
      <c r="B228" s="189" t="s">
        <v>140</v>
      </c>
      <c r="C228" s="189" t="s">
        <v>141</v>
      </c>
      <c r="D228" s="201" t="s">
        <v>102</v>
      </c>
    </row>
    <row r="229" spans="1:5">
      <c r="A229" s="188" t="s">
        <v>76</v>
      </c>
      <c r="B229" s="189" t="s">
        <v>142</v>
      </c>
      <c r="C229" s="189" t="s">
        <v>141</v>
      </c>
      <c r="D229" s="201" t="s">
        <v>108</v>
      </c>
    </row>
    <row r="232" spans="1:5">
      <c r="B232" s="201" t="s">
        <v>194</v>
      </c>
    </row>
    <row r="234" spans="1:5">
      <c r="B234" s="215" t="s">
        <v>145</v>
      </c>
      <c r="C234" s="215" t="s">
        <v>146</v>
      </c>
      <c r="D234" s="215" t="s">
        <v>147</v>
      </c>
      <c r="E234" s="215" t="s">
        <v>148</v>
      </c>
    </row>
    <row r="235" spans="1:5">
      <c r="B235" s="216" t="s">
        <v>102</v>
      </c>
      <c r="C235" s="216" t="s">
        <v>163</v>
      </c>
      <c r="D235" s="216" t="s">
        <v>164</v>
      </c>
      <c r="E235" s="216" t="s">
        <v>172</v>
      </c>
    </row>
    <row r="236" spans="1:5">
      <c r="B236" s="217" t="s">
        <v>572</v>
      </c>
      <c r="C236" s="217" t="s">
        <v>149</v>
      </c>
      <c r="D236" s="217" t="s">
        <v>154</v>
      </c>
      <c r="E236" s="217" t="s">
        <v>153</v>
      </c>
    </row>
    <row r="237" spans="1:5">
      <c r="B237" s="216" t="s">
        <v>394</v>
      </c>
      <c r="C237" s="216" t="s">
        <v>150</v>
      </c>
      <c r="D237" s="216" t="s">
        <v>180</v>
      </c>
      <c r="E237" s="216" t="s">
        <v>150</v>
      </c>
    </row>
    <row r="238" spans="1:5">
      <c r="B238" s="217" t="s">
        <v>108</v>
      </c>
      <c r="C238" s="217" t="s">
        <v>149</v>
      </c>
      <c r="D238" s="217" t="s">
        <v>154</v>
      </c>
      <c r="E238" s="217" t="s">
        <v>151</v>
      </c>
    </row>
    <row r="241" spans="1:15">
      <c r="B241" s="201" t="s">
        <v>195</v>
      </c>
    </row>
    <row r="242" spans="1:15">
      <c r="B242" s="195"/>
    </row>
    <row r="243" spans="1:15">
      <c r="B243" s="195" t="s">
        <v>196</v>
      </c>
    </row>
    <row r="244" spans="1:15">
      <c r="B244" s="195" t="s">
        <v>529</v>
      </c>
    </row>
    <row r="246" spans="1:15">
      <c r="K246" s="218"/>
      <c r="L246" s="219"/>
      <c r="M246" s="218"/>
      <c r="N246" s="218"/>
      <c r="O246" s="218"/>
    </row>
    <row r="247" spans="1:15">
      <c r="B247" s="218"/>
      <c r="C247" s="218"/>
      <c r="D247" s="218"/>
      <c r="E247" s="218"/>
      <c r="F247" s="218"/>
      <c r="G247" s="218"/>
      <c r="H247" s="364"/>
      <c r="I247" s="364"/>
      <c r="J247" s="364"/>
    </row>
    <row r="250" spans="1:15">
      <c r="B250" s="201" t="s">
        <v>198</v>
      </c>
    </row>
    <row r="252" spans="1:15">
      <c r="A252" s="188" t="s">
        <v>77</v>
      </c>
      <c r="B252" s="189" t="s">
        <v>140</v>
      </c>
      <c r="C252" s="189" t="s">
        <v>141</v>
      </c>
      <c r="D252" s="201" t="s">
        <v>177</v>
      </c>
    </row>
    <row r="253" spans="1:15">
      <c r="A253" s="188" t="s">
        <v>78</v>
      </c>
      <c r="B253" s="189" t="s">
        <v>142</v>
      </c>
      <c r="C253" s="189" t="s">
        <v>141</v>
      </c>
      <c r="D253" s="201" t="s">
        <v>202</v>
      </c>
    </row>
    <row r="256" spans="1:15">
      <c r="B256" s="201" t="s">
        <v>201</v>
      </c>
    </row>
    <row r="258" spans="2:10">
      <c r="B258" s="215" t="s">
        <v>145</v>
      </c>
      <c r="C258" s="215" t="s">
        <v>146</v>
      </c>
      <c r="D258" s="215" t="s">
        <v>147</v>
      </c>
      <c r="E258" s="215" t="s">
        <v>148</v>
      </c>
    </row>
    <row r="259" spans="2:10">
      <c r="B259" s="216" t="s">
        <v>177</v>
      </c>
      <c r="C259" s="216" t="s">
        <v>163</v>
      </c>
      <c r="D259" s="216" t="s">
        <v>151</v>
      </c>
      <c r="E259" s="216" t="s">
        <v>155</v>
      </c>
    </row>
    <row r="260" spans="2:10">
      <c r="B260" s="217" t="s">
        <v>202</v>
      </c>
      <c r="C260" s="217" t="s">
        <v>164</v>
      </c>
      <c r="D260" s="217" t="s">
        <v>156</v>
      </c>
      <c r="E260" s="217" t="s">
        <v>149</v>
      </c>
    </row>
    <row r="261" spans="2:10">
      <c r="B261" s="216" t="s">
        <v>181</v>
      </c>
      <c r="C261" s="216" t="s">
        <v>150</v>
      </c>
      <c r="D261" s="216" t="s">
        <v>171</v>
      </c>
      <c r="E261" s="216" t="s">
        <v>151</v>
      </c>
    </row>
    <row r="262" spans="2:10">
      <c r="B262" s="217" t="s">
        <v>32</v>
      </c>
      <c r="C262" s="217" t="s">
        <v>151</v>
      </c>
      <c r="D262" s="217" t="s">
        <v>154</v>
      </c>
      <c r="E262" s="217" t="s">
        <v>153</v>
      </c>
    </row>
    <row r="265" spans="2:10">
      <c r="B265" s="201" t="s">
        <v>203</v>
      </c>
    </row>
    <row r="266" spans="2:10">
      <c r="B266" s="195"/>
    </row>
    <row r="267" spans="2:10">
      <c r="B267" s="195" t="s">
        <v>204</v>
      </c>
    </row>
    <row r="268" spans="2:10">
      <c r="B268" s="195" t="s">
        <v>205</v>
      </c>
    </row>
    <row r="270" spans="2:10">
      <c r="B270" s="218"/>
      <c r="C270" s="218"/>
      <c r="D270" s="218"/>
      <c r="E270" s="218"/>
      <c r="F270" s="218"/>
      <c r="G270" s="218"/>
    </row>
    <row r="271" spans="2:10">
      <c r="H271" s="364"/>
      <c r="I271" s="364"/>
      <c r="J271" s="364"/>
    </row>
    <row r="274" spans="1:5">
      <c r="B274" s="201" t="s">
        <v>206</v>
      </c>
    </row>
    <row r="276" spans="1:5">
      <c r="A276" s="188" t="s">
        <v>79</v>
      </c>
      <c r="B276" s="189" t="s">
        <v>140</v>
      </c>
      <c r="C276" s="189" t="s">
        <v>141</v>
      </c>
      <c r="D276" s="201" t="s">
        <v>395</v>
      </c>
    </row>
    <row r="277" spans="1:5">
      <c r="A277" s="188" t="s">
        <v>80</v>
      </c>
      <c r="B277" s="189" t="s">
        <v>142</v>
      </c>
      <c r="C277" s="189" t="s">
        <v>141</v>
      </c>
      <c r="D277" s="201" t="s">
        <v>396</v>
      </c>
    </row>
    <row r="280" spans="1:5">
      <c r="B280" s="201" t="s">
        <v>208</v>
      </c>
    </row>
    <row r="282" spans="1:5">
      <c r="B282" s="215" t="s">
        <v>145</v>
      </c>
      <c r="C282" s="215" t="s">
        <v>146</v>
      </c>
      <c r="D282" s="215" t="s">
        <v>147</v>
      </c>
      <c r="E282" s="215" t="s">
        <v>148</v>
      </c>
    </row>
    <row r="283" spans="1:5">
      <c r="B283" s="216" t="s">
        <v>395</v>
      </c>
      <c r="C283" s="216" t="s">
        <v>172</v>
      </c>
      <c r="D283" s="216" t="s">
        <v>153</v>
      </c>
      <c r="E283" s="216" t="s">
        <v>149</v>
      </c>
    </row>
    <row r="284" spans="1:5">
      <c r="B284" s="217" t="s">
        <v>110</v>
      </c>
      <c r="C284" s="217" t="s">
        <v>150</v>
      </c>
      <c r="D284" s="217" t="s">
        <v>171</v>
      </c>
      <c r="E284" s="217" t="s">
        <v>150</v>
      </c>
    </row>
    <row r="285" spans="1:5">
      <c r="B285" s="216" t="s">
        <v>396</v>
      </c>
      <c r="C285" s="216" t="s">
        <v>172</v>
      </c>
      <c r="D285" s="216" t="s">
        <v>153</v>
      </c>
      <c r="E285" s="216" t="s">
        <v>151</v>
      </c>
    </row>
    <row r="286" spans="1:5">
      <c r="B286" s="217" t="s">
        <v>104</v>
      </c>
      <c r="C286" s="217" t="s">
        <v>151</v>
      </c>
      <c r="D286" s="217" t="s">
        <v>154</v>
      </c>
      <c r="E286" s="217" t="s">
        <v>153</v>
      </c>
    </row>
    <row r="289" spans="2:15">
      <c r="B289" s="201" t="s">
        <v>211</v>
      </c>
    </row>
    <row r="290" spans="2:15">
      <c r="B290" s="195"/>
    </row>
    <row r="291" spans="2:15">
      <c r="B291" s="195" t="s">
        <v>259</v>
      </c>
    </row>
    <row r="292" spans="2:15">
      <c r="B292" s="195"/>
    </row>
    <row r="294" spans="2:15">
      <c r="H294" s="364"/>
      <c r="I294" s="364"/>
      <c r="J294" s="364"/>
    </row>
    <row r="295" spans="2:15">
      <c r="B295" s="218"/>
      <c r="C295" s="218"/>
      <c r="D295" s="218"/>
      <c r="E295" s="218"/>
      <c r="F295" s="218"/>
      <c r="G295" s="218"/>
      <c r="K295" s="218"/>
      <c r="L295" s="219"/>
      <c r="M295" s="218"/>
      <c r="N295" s="218"/>
      <c r="O295" s="218"/>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33.xml><?xml version="1.0" encoding="utf-8"?>
<worksheet xmlns="http://schemas.openxmlformats.org/spreadsheetml/2006/main" xmlns:r="http://schemas.openxmlformats.org/officeDocument/2006/relationships">
  <sheetPr codeName="Blad19">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256</v>
      </c>
      <c r="L1" s="194"/>
      <c r="P1" s="193">
        <f>SUM(P14:P101)+E11+H11+L7+L11+Q11</f>
        <v>360</v>
      </c>
    </row>
    <row r="2" spans="1:21" s="195" customFormat="1" ht="15" customHeight="1">
      <c r="B2" s="196" t="s">
        <v>86</v>
      </c>
      <c r="G2" s="196" t="s">
        <v>87</v>
      </c>
      <c r="J2" s="196" t="s">
        <v>88</v>
      </c>
      <c r="L2" s="197"/>
      <c r="U2" s="195" t="s">
        <v>464</v>
      </c>
    </row>
    <row r="3" spans="1:21" s="195" customFormat="1" ht="15" customHeight="1">
      <c r="B3" s="224" t="str">
        <f t="shared" ref="B3:B10" si="0">E78</f>
        <v>Kameroen</v>
      </c>
      <c r="C3" s="222">
        <f t="shared" ref="C3:C10" si="1">IF(ISNA(MATCH(B3,teams_achtste,0)),0,10)</f>
        <v>0</v>
      </c>
      <c r="D3" s="224" t="str">
        <f t="shared" ref="D3:D10" si="2">G78</f>
        <v>Spanje</v>
      </c>
      <c r="E3" s="222">
        <f t="shared" ref="E3:E10" si="3">IF(ISNA(MATCH(D3,teams_achtste,0)),0,10)</f>
        <v>0</v>
      </c>
      <c r="F3" s="339" t="s">
        <v>449</v>
      </c>
      <c r="G3" s="195" t="str">
        <f>E88</f>
        <v>Spanje</v>
      </c>
      <c r="H3" s="222">
        <f t="shared" ref="H3:H10" si="4">IF(ISNA(MATCH(G3,teams_kwart,0)),0,15)</f>
        <v>0</v>
      </c>
      <c r="I3" s="339" t="s">
        <v>457</v>
      </c>
      <c r="J3" s="195" t="str">
        <f>E94</f>
        <v>Spanje</v>
      </c>
      <c r="L3" s="222">
        <f>IF(ISNA(MATCH(J3,teams_halve,0)),0,20)</f>
        <v>0</v>
      </c>
      <c r="Q3" s="223"/>
    </row>
    <row r="4" spans="1:21" s="195" customFormat="1" ht="15" customHeight="1">
      <c r="B4" s="224" t="str">
        <f t="shared" si="0"/>
        <v>Ivoorkust</v>
      </c>
      <c r="C4" s="222">
        <f t="shared" si="1"/>
        <v>0</v>
      </c>
      <c r="D4" s="224" t="str">
        <f t="shared" si="2"/>
        <v>Italië</v>
      </c>
      <c r="E4" s="222">
        <f t="shared" si="3"/>
        <v>0</v>
      </c>
      <c r="F4" s="339" t="s">
        <v>450</v>
      </c>
      <c r="G4" s="195" t="str">
        <f>G88</f>
        <v>Italië</v>
      </c>
      <c r="H4" s="222">
        <f t="shared" si="4"/>
        <v>0</v>
      </c>
      <c r="I4" s="339" t="s">
        <v>458</v>
      </c>
      <c r="J4" s="195" t="str">
        <f>G94</f>
        <v>Frankrijk</v>
      </c>
      <c r="L4" s="222">
        <f>IF(ISNA(MATCH(J4,teams_halve,0)),0,20)</f>
        <v>0</v>
      </c>
      <c r="Q4" s="224"/>
    </row>
    <row r="5" spans="1:21" s="195" customFormat="1" ht="15" customHeight="1">
      <c r="B5" s="224" t="str">
        <f t="shared" si="0"/>
        <v>Nederland</v>
      </c>
      <c r="C5" s="222">
        <f t="shared" si="1"/>
        <v>10</v>
      </c>
      <c r="D5" s="224" t="str">
        <f t="shared" si="2"/>
        <v>Brazilië</v>
      </c>
      <c r="E5" s="222">
        <f t="shared" si="3"/>
        <v>10</v>
      </c>
      <c r="F5" s="339" t="s">
        <v>451</v>
      </c>
      <c r="G5" s="195" t="str">
        <f>E90</f>
        <v>Brazilië</v>
      </c>
      <c r="H5" s="222">
        <f t="shared" si="4"/>
        <v>15</v>
      </c>
      <c r="I5" s="339" t="s">
        <v>459</v>
      </c>
      <c r="J5" s="195" t="str">
        <f>E95</f>
        <v>Brazilië</v>
      </c>
      <c r="L5" s="222">
        <f>IF(ISNA(MATCH(J5,teams_halve,0)),0,20)</f>
        <v>20</v>
      </c>
    </row>
    <row r="6" spans="1:21" s="195" customFormat="1" ht="15" customHeight="1">
      <c r="B6" s="224" t="str">
        <f t="shared" si="0"/>
        <v>Engeland</v>
      </c>
      <c r="C6" s="222">
        <f t="shared" si="1"/>
        <v>0</v>
      </c>
      <c r="D6" s="224" t="str">
        <f t="shared" si="2"/>
        <v>Japan</v>
      </c>
      <c r="E6" s="222">
        <f t="shared" si="3"/>
        <v>0</v>
      </c>
      <c r="F6" s="339" t="s">
        <v>452</v>
      </c>
      <c r="G6" s="195" t="str">
        <f>G90</f>
        <v>Engeland</v>
      </c>
      <c r="H6" s="222">
        <f t="shared" si="4"/>
        <v>0</v>
      </c>
      <c r="I6" s="339" t="s">
        <v>460</v>
      </c>
      <c r="J6" s="195" t="str">
        <f>G95</f>
        <v>Argentinië</v>
      </c>
      <c r="L6" s="222">
        <f>IF(ISNA(MATCH(J6,teams_halve,0)),0,20)</f>
        <v>20</v>
      </c>
    </row>
    <row r="7" spans="1:21" s="195" customFormat="1" ht="15" customHeight="1">
      <c r="B7" s="224" t="str">
        <f t="shared" si="0"/>
        <v>Frankrijk</v>
      </c>
      <c r="C7" s="222">
        <f t="shared" si="1"/>
        <v>10</v>
      </c>
      <c r="D7" s="224" t="str">
        <f t="shared" si="2"/>
        <v>Nigeria</v>
      </c>
      <c r="E7" s="222">
        <f t="shared" si="3"/>
        <v>10</v>
      </c>
      <c r="F7" s="339" t="s">
        <v>453</v>
      </c>
      <c r="G7" s="195" t="str">
        <f>E89</f>
        <v>Frankrijk</v>
      </c>
      <c r="H7" s="222">
        <f t="shared" si="4"/>
        <v>15</v>
      </c>
      <c r="I7" s="339"/>
      <c r="J7" s="198" t="s">
        <v>83</v>
      </c>
      <c r="K7" s="199"/>
      <c r="L7" s="225">
        <f>SUM(L3:L6)</f>
        <v>40</v>
      </c>
    </row>
    <row r="8" spans="1:21" s="195" customFormat="1" ht="15" customHeight="1">
      <c r="B8" s="224" t="str">
        <f t="shared" si="0"/>
        <v>Ghana</v>
      </c>
      <c r="C8" s="222">
        <f t="shared" si="1"/>
        <v>0</v>
      </c>
      <c r="D8" s="224" t="str">
        <f t="shared" si="2"/>
        <v>Zuid-Korea</v>
      </c>
      <c r="E8" s="222">
        <f t="shared" si="3"/>
        <v>0</v>
      </c>
      <c r="F8" s="339" t="s">
        <v>454</v>
      </c>
      <c r="G8" s="195" t="str">
        <f>G89</f>
        <v>Ghana</v>
      </c>
      <c r="H8" s="222">
        <f t="shared" si="4"/>
        <v>0</v>
      </c>
      <c r="I8" s="339"/>
      <c r="J8" s="196" t="s">
        <v>48</v>
      </c>
      <c r="L8" s="197"/>
      <c r="P8" s="196" t="s">
        <v>579</v>
      </c>
    </row>
    <row r="9" spans="1:21" s="195" customFormat="1" ht="15" customHeight="1">
      <c r="B9" s="224" t="str">
        <f t="shared" si="0"/>
        <v>Argentinië</v>
      </c>
      <c r="C9" s="222">
        <f t="shared" si="1"/>
        <v>10</v>
      </c>
      <c r="D9" s="224" t="str">
        <f t="shared" si="2"/>
        <v>Zwitserland</v>
      </c>
      <c r="E9" s="222">
        <f t="shared" si="3"/>
        <v>10</v>
      </c>
      <c r="F9" s="339" t="s">
        <v>455</v>
      </c>
      <c r="G9" s="195" t="str">
        <f>E91</f>
        <v>Argentinië</v>
      </c>
      <c r="H9" s="222">
        <f t="shared" si="4"/>
        <v>15</v>
      </c>
      <c r="I9" s="339" t="s">
        <v>461</v>
      </c>
      <c r="J9" s="195" t="str">
        <f>E101</f>
        <v>Spanje</v>
      </c>
      <c r="L9" s="222">
        <f>IF(ISNA(MATCH(J9,teams_fin,0)),0,30)</f>
        <v>0</v>
      </c>
      <c r="P9" s="444" t="str">
        <f>E98</f>
        <v>Frankrijk</v>
      </c>
      <c r="Q9" s="222">
        <f>IF(ISNA(MATCH(P9,teams_troost,0)),0,25)</f>
        <v>0</v>
      </c>
    </row>
    <row r="10" spans="1:21" s="195" customFormat="1" ht="15" customHeight="1">
      <c r="B10" s="224" t="str">
        <f t="shared" si="0"/>
        <v>België</v>
      </c>
      <c r="C10" s="222">
        <f t="shared" si="1"/>
        <v>10</v>
      </c>
      <c r="D10" s="224" t="str">
        <f t="shared" si="2"/>
        <v>Duitsland</v>
      </c>
      <c r="E10" s="222">
        <f t="shared" si="3"/>
        <v>10</v>
      </c>
      <c r="F10" s="339" t="s">
        <v>456</v>
      </c>
      <c r="G10" s="195" t="str">
        <f>G91</f>
        <v>België</v>
      </c>
      <c r="H10" s="222">
        <f t="shared" si="4"/>
        <v>15</v>
      </c>
      <c r="I10" s="339" t="s">
        <v>462</v>
      </c>
      <c r="J10" s="195" t="str">
        <f>G101</f>
        <v>Argentinië</v>
      </c>
      <c r="L10" s="222">
        <f>IF(ISNA(MATCH(J10,teams_fin,0)),0,30)</f>
        <v>30</v>
      </c>
      <c r="P10" s="444" t="str">
        <f>G98</f>
        <v>Brazilië</v>
      </c>
      <c r="Q10" s="222">
        <f>IF(ISNA(MATCH(P10,teams_troost,0)),0,25)</f>
        <v>25</v>
      </c>
    </row>
    <row r="11" spans="1:21" s="195" customFormat="1" ht="15" customHeight="1">
      <c r="D11" s="198" t="s">
        <v>89</v>
      </c>
      <c r="E11" s="225">
        <f>SUM(C3:E10)</f>
        <v>80</v>
      </c>
      <c r="G11" s="198" t="s">
        <v>82</v>
      </c>
      <c r="H11" s="225">
        <f>SUM(H3:H10)</f>
        <v>60</v>
      </c>
      <c r="J11" s="198" t="s">
        <v>90</v>
      </c>
      <c r="K11" s="199"/>
      <c r="L11" s="225">
        <f>SUM(L9:L10)</f>
        <v>30</v>
      </c>
      <c r="P11" s="199"/>
      <c r="Q11" s="225">
        <f>SUM(Q9:Q10)</f>
        <v>25</v>
      </c>
    </row>
    <row r="12" spans="1:21">
      <c r="B12" s="201" t="s">
        <v>19</v>
      </c>
      <c r="C12" s="201"/>
      <c r="D12" s="339" t="s">
        <v>463</v>
      </c>
      <c r="E12" s="202" t="s">
        <v>102</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2</v>
      </c>
      <c r="I14" s="366" t="s">
        <v>29</v>
      </c>
      <c r="J14" s="366">
        <v>1</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0</v>
      </c>
      <c r="I15" s="366" t="s">
        <v>29</v>
      </c>
      <c r="J15" s="366">
        <v>3</v>
      </c>
      <c r="K15" s="212">
        <f t="shared" si="5"/>
        <v>2</v>
      </c>
      <c r="L15" s="210" t="str">
        <f>VLOOKUP($B15,Invulblad!$A$11:$S$103,13,0)</f>
        <v>1</v>
      </c>
      <c r="M15" s="211">
        <f>IF(L15&lt;&gt;"",VLOOKUP($B15,Invulblad!$A$11:$S$103,7,0),"")</f>
        <v>1</v>
      </c>
      <c r="N15" s="209" t="s">
        <v>29</v>
      </c>
      <c r="O15" s="211">
        <f>IF(L15&lt;&gt;"",VLOOKUP($B15,Invulblad!$A$11:$S$103,9,0),"")</f>
        <v>0</v>
      </c>
      <c r="P15" s="212">
        <f t="shared" si="6"/>
        <v>0</v>
      </c>
    </row>
    <row r="16" spans="1:21">
      <c r="A16" s="188">
        <v>3</v>
      </c>
      <c r="B16" s="195">
        <v>17</v>
      </c>
      <c r="C16" s="332">
        <v>41807</v>
      </c>
      <c r="D16" s="333">
        <v>0.875</v>
      </c>
      <c r="E16" s="189" t="s">
        <v>557</v>
      </c>
      <c r="F16" s="189" t="s">
        <v>29</v>
      </c>
      <c r="G16" s="189" t="s">
        <v>96</v>
      </c>
      <c r="H16" s="366">
        <v>2</v>
      </c>
      <c r="I16" s="366" t="s">
        <v>29</v>
      </c>
      <c r="J16" s="366">
        <v>0</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2</v>
      </c>
      <c r="I17" s="366" t="s">
        <v>29</v>
      </c>
      <c r="J17" s="366">
        <v>1</v>
      </c>
      <c r="K17" s="212" t="str">
        <f t="shared" si="5"/>
        <v>1</v>
      </c>
      <c r="L17" s="210">
        <f>VLOOKUP($B17,Invulblad!$A$11:$S$103,13,0)</f>
        <v>2</v>
      </c>
      <c r="M17" s="211">
        <f>IF(L17&lt;&gt;"",VLOOKUP($B17,Invulblad!$A$11:$S$103,7,0),"")</f>
        <v>0</v>
      </c>
      <c r="N17" s="209" t="s">
        <v>29</v>
      </c>
      <c r="O17" s="211">
        <f>IF(L17&lt;&gt;"",VLOOKUP($B17,Invulblad!$A$11:$S$103,9,0),"")</f>
        <v>4</v>
      </c>
      <c r="P17" s="212">
        <f t="shared" si="6"/>
        <v>0</v>
      </c>
    </row>
    <row r="18" spans="1:16">
      <c r="A18" s="188">
        <v>5</v>
      </c>
      <c r="B18" s="195">
        <v>33</v>
      </c>
      <c r="C18" s="332">
        <v>41813</v>
      </c>
      <c r="D18" s="333">
        <v>0.91666666666666663</v>
      </c>
      <c r="E18" s="189" t="s">
        <v>121</v>
      </c>
      <c r="F18" s="189" t="s">
        <v>29</v>
      </c>
      <c r="G18" s="189" t="s">
        <v>559</v>
      </c>
      <c r="H18" s="366">
        <v>1</v>
      </c>
      <c r="I18" s="366" t="s">
        <v>29</v>
      </c>
      <c r="J18" s="366">
        <v>1</v>
      </c>
      <c r="K18" s="212">
        <f t="shared" si="5"/>
        <v>3</v>
      </c>
      <c r="L18" s="210">
        <f>VLOOKUP($B18,Invulblad!$A$11:$S$103,13,0)</f>
        <v>2</v>
      </c>
      <c r="M18" s="211">
        <f>IF(L18&lt;&gt;"",VLOOKUP($B18,Invulblad!$A$11:$S$103,7,0),"")</f>
        <v>1</v>
      </c>
      <c r="N18" s="209" t="s">
        <v>29</v>
      </c>
      <c r="O18" s="211">
        <f>IF(L18&lt;&gt;"",VLOOKUP($B18,Invulblad!$A$11:$S$103,9,0),"")</f>
        <v>4</v>
      </c>
      <c r="P18" s="212">
        <f t="shared" si="6"/>
        <v>0</v>
      </c>
    </row>
    <row r="19" spans="1:16">
      <c r="A19" s="188">
        <v>6</v>
      </c>
      <c r="B19" s="195">
        <v>34</v>
      </c>
      <c r="C19" s="332">
        <v>41813</v>
      </c>
      <c r="D19" s="333">
        <v>0.91666666666666663</v>
      </c>
      <c r="E19" s="189" t="s">
        <v>560</v>
      </c>
      <c r="F19" s="189" t="s">
        <v>29</v>
      </c>
      <c r="G19" s="189" t="s">
        <v>96</v>
      </c>
      <c r="H19" s="366">
        <v>2</v>
      </c>
      <c r="I19" s="366" t="s">
        <v>29</v>
      </c>
      <c r="J19" s="366">
        <v>1</v>
      </c>
      <c r="K19" s="212" t="str">
        <f t="shared" si="5"/>
        <v>1</v>
      </c>
      <c r="L19" s="210">
        <f>VLOOKUP($B19,Invulblad!$A$11:$S$103,13,0)</f>
        <v>2</v>
      </c>
      <c r="M19" s="211">
        <f>IF(L19&lt;&gt;"",VLOOKUP($B19,Invulblad!$A$11:$S$103,7,0),"")</f>
        <v>1</v>
      </c>
      <c r="N19" s="209" t="s">
        <v>29</v>
      </c>
      <c r="O19" s="211">
        <f>IF(L19&lt;&gt;"",VLOOKUP($B19,Invulblad!$A$11:$S$103,9,0),"")</f>
        <v>3</v>
      </c>
      <c r="P19" s="212">
        <f t="shared" si="6"/>
        <v>0</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1</v>
      </c>
      <c r="I22" s="366" t="s">
        <v>29</v>
      </c>
      <c r="J22" s="366">
        <v>1</v>
      </c>
      <c r="K22" s="212">
        <f t="shared" si="5"/>
        <v>3</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1</v>
      </c>
      <c r="I23" s="366" t="s">
        <v>29</v>
      </c>
      <c r="J23" s="366">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2</v>
      </c>
      <c r="I24" s="366" t="s">
        <v>29</v>
      </c>
      <c r="J24" s="366">
        <v>1</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1</v>
      </c>
      <c r="I25" s="366" t="s">
        <v>29</v>
      </c>
      <c r="J25" s="366">
        <v>2</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1</v>
      </c>
      <c r="I26" s="366" t="s">
        <v>29</v>
      </c>
      <c r="J26" s="366">
        <v>1</v>
      </c>
      <c r="K26" s="212">
        <f t="shared" si="5"/>
        <v>3</v>
      </c>
      <c r="L26" s="210">
        <f>VLOOKUP($B26,Invulblad!$A$11:$S$103,13,0)</f>
        <v>2</v>
      </c>
      <c r="M26" s="211">
        <f>IF(L26&lt;&gt;"",VLOOKUP($B26,Invulblad!$A$11:$S$103,7,0),"")</f>
        <v>0</v>
      </c>
      <c r="N26" s="209" t="s">
        <v>29</v>
      </c>
      <c r="O26" s="211">
        <f>IF(L26&lt;&gt;"",VLOOKUP($B26,Invulblad!$A$11:$S$103,9,0),"")</f>
        <v>3</v>
      </c>
      <c r="P26" s="212">
        <f t="shared" si="7"/>
        <v>0</v>
      </c>
    </row>
    <row r="27" spans="1:16">
      <c r="A27" s="188">
        <v>14</v>
      </c>
      <c r="B27" s="195">
        <v>36</v>
      </c>
      <c r="C27" s="332">
        <v>41813</v>
      </c>
      <c r="D27" s="333">
        <v>0.75</v>
      </c>
      <c r="E27" s="189" t="s">
        <v>117</v>
      </c>
      <c r="F27" s="189" t="s">
        <v>29</v>
      </c>
      <c r="G27" s="189" t="s">
        <v>128</v>
      </c>
      <c r="H27" s="366">
        <v>2</v>
      </c>
      <c r="I27" s="366" t="s">
        <v>29</v>
      </c>
      <c r="J27" s="366">
        <v>1</v>
      </c>
      <c r="K27" s="212" t="str">
        <f t="shared" si="5"/>
        <v>1</v>
      </c>
      <c r="L27" s="210" t="str">
        <f>VLOOKUP($B27,Invulblad!$A$11:$S$103,13,0)</f>
        <v>1</v>
      </c>
      <c r="M27" s="211">
        <f>IF(L27&lt;&gt;"",VLOOKUP($B27,Invulblad!$A$11:$S$103,7,0),"")</f>
        <v>2</v>
      </c>
      <c r="N27" s="209" t="s">
        <v>29</v>
      </c>
      <c r="O27" s="211">
        <f>IF(L27&lt;&gt;"",VLOOKUP($B27,Invulblad!$A$11:$S$103,9,0),"")</f>
        <v>0</v>
      </c>
      <c r="P27" s="212">
        <f t="shared" si="7"/>
        <v>5</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2</v>
      </c>
      <c r="I30" s="366" t="s">
        <v>29</v>
      </c>
      <c r="J30" s="366">
        <v>0</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2</v>
      </c>
      <c r="I31" s="366" t="s">
        <v>29</v>
      </c>
      <c r="J31" s="366">
        <v>2</v>
      </c>
      <c r="K31" s="212">
        <f t="shared" si="5"/>
        <v>3</v>
      </c>
      <c r="L31" s="210" t="str">
        <f>VLOOKUP($B31,Invulblad!$A$11:$S$103,13,0)</f>
        <v>1</v>
      </c>
      <c r="M31" s="211">
        <f>IF(L31&lt;&gt;"",VLOOKUP($B31,Invulblad!$A$11:$S$103,7,0),"")</f>
        <v>2</v>
      </c>
      <c r="N31" s="209" t="s">
        <v>29</v>
      </c>
      <c r="O31" s="211">
        <f>IF(L31&lt;&gt;"",VLOOKUP($B31,Invulblad!$A$11:$S$103,9,0),"")</f>
        <v>1</v>
      </c>
      <c r="P31" s="212">
        <f t="shared" si="8"/>
        <v>0</v>
      </c>
    </row>
    <row r="32" spans="1:16">
      <c r="A32" s="188">
        <v>19</v>
      </c>
      <c r="B32" s="195">
        <v>21</v>
      </c>
      <c r="C32" s="332">
        <v>41809</v>
      </c>
      <c r="D32" s="333">
        <v>0.75</v>
      </c>
      <c r="E32" s="189" t="s">
        <v>428</v>
      </c>
      <c r="F32" s="189" t="s">
        <v>29</v>
      </c>
      <c r="G32" s="189" t="s">
        <v>125</v>
      </c>
      <c r="H32" s="366">
        <v>0</v>
      </c>
      <c r="I32" s="366" t="s">
        <v>29</v>
      </c>
      <c r="J32" s="366">
        <v>1</v>
      </c>
      <c r="K32" s="212">
        <f t="shared" si="5"/>
        <v>2</v>
      </c>
      <c r="L32" s="210" t="str">
        <f>VLOOKUP($B32,Invulblad!$A$11:$S$103,13,0)</f>
        <v>1</v>
      </c>
      <c r="M32" s="211">
        <f>IF(L32&lt;&gt;"",VLOOKUP($B32,Invulblad!$A$11:$S$103,7,0),"")</f>
        <v>2</v>
      </c>
      <c r="N32" s="209" t="s">
        <v>29</v>
      </c>
      <c r="O32" s="211">
        <f>IF(L32&lt;&gt;"",VLOOKUP($B32,Invulblad!$A$11:$S$103,9,0),"")</f>
        <v>1</v>
      </c>
      <c r="P32" s="212">
        <f t="shared" si="8"/>
        <v>0</v>
      </c>
    </row>
    <row r="33" spans="1:16">
      <c r="A33" s="188">
        <v>20</v>
      </c>
      <c r="B33" s="195">
        <v>22</v>
      </c>
      <c r="C33" s="332">
        <v>41810</v>
      </c>
      <c r="D33" s="333">
        <v>0</v>
      </c>
      <c r="E33" s="189" t="s">
        <v>118</v>
      </c>
      <c r="F33" s="189" t="s">
        <v>29</v>
      </c>
      <c r="G33" s="189" t="s">
        <v>105</v>
      </c>
      <c r="H33" s="366">
        <v>3</v>
      </c>
      <c r="I33" s="366" t="s">
        <v>29</v>
      </c>
      <c r="J33" s="366">
        <v>0</v>
      </c>
      <c r="K33" s="212" t="str">
        <f t="shared" si="5"/>
        <v>1</v>
      </c>
      <c r="L33" s="210">
        <f>VLOOKUP($B33,Invulblad!$A$11:$S$103,13,0)</f>
        <v>3</v>
      </c>
      <c r="M33" s="211">
        <f>IF(L33&lt;&gt;"",VLOOKUP($B33,Invulblad!$A$11:$S$103,7,0),"")</f>
        <v>0</v>
      </c>
      <c r="N33" s="209" t="s">
        <v>29</v>
      </c>
      <c r="O33" s="211">
        <f>IF(L33&lt;&gt;"",VLOOKUP($B33,Invulblad!$A$11:$S$103,9,0),"")</f>
        <v>0</v>
      </c>
      <c r="P33" s="212">
        <f t="shared" si="8"/>
        <v>0</v>
      </c>
    </row>
    <row r="34" spans="1:16">
      <c r="A34" s="188">
        <v>21</v>
      </c>
      <c r="B34" s="195">
        <v>37</v>
      </c>
      <c r="C34" s="332">
        <v>41814</v>
      </c>
      <c r="D34" s="333">
        <v>0.91666666666666663</v>
      </c>
      <c r="E34" s="189" t="s">
        <v>118</v>
      </c>
      <c r="F34" s="189" t="s">
        <v>29</v>
      </c>
      <c r="G34" s="189" t="s">
        <v>429</v>
      </c>
      <c r="H34" s="366">
        <v>1</v>
      </c>
      <c r="I34" s="366" t="s">
        <v>29</v>
      </c>
      <c r="J34" s="366">
        <v>1</v>
      </c>
      <c r="K34" s="212">
        <f t="shared" si="5"/>
        <v>3</v>
      </c>
      <c r="L34" s="210">
        <f>VLOOKUP($B34,Invulblad!$A$11:$S$103,13,0)</f>
        <v>2</v>
      </c>
      <c r="M34" s="211">
        <f>IF(L34&lt;&gt;"",VLOOKUP($B34,Invulblad!$A$11:$S$103,7,0),"")</f>
        <v>1</v>
      </c>
      <c r="N34" s="209" t="s">
        <v>29</v>
      </c>
      <c r="O34" s="211">
        <f>IF(L34&lt;&gt;"",VLOOKUP($B34,Invulblad!$A$11:$S$103,9,0),"")</f>
        <v>4</v>
      </c>
      <c r="P34" s="212">
        <f t="shared" si="8"/>
        <v>0</v>
      </c>
    </row>
    <row r="35" spans="1:16">
      <c r="A35" s="188">
        <v>22</v>
      </c>
      <c r="B35" s="195">
        <v>38</v>
      </c>
      <c r="C35" s="332">
        <v>41814</v>
      </c>
      <c r="D35" s="333">
        <v>0.91666666666666663</v>
      </c>
      <c r="E35" s="189" t="s">
        <v>233</v>
      </c>
      <c r="F35" s="189" t="s">
        <v>29</v>
      </c>
      <c r="G35" s="189" t="s">
        <v>125</v>
      </c>
      <c r="H35" s="366">
        <v>0</v>
      </c>
      <c r="I35" s="366" t="s">
        <v>29</v>
      </c>
      <c r="J35" s="366">
        <v>1</v>
      </c>
      <c r="K35" s="212">
        <f t="shared" si="5"/>
        <v>2</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1</v>
      </c>
      <c r="I38" s="366" t="s">
        <v>29</v>
      </c>
      <c r="J38" s="366">
        <v>1</v>
      </c>
      <c r="K38" s="212">
        <f t="shared" si="5"/>
        <v>3</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1</v>
      </c>
      <c r="K39" s="212">
        <f t="shared" si="5"/>
        <v>3</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0</v>
      </c>
      <c r="I40" s="366" t="s">
        <v>29</v>
      </c>
      <c r="J40" s="366">
        <v>2</v>
      </c>
      <c r="K40" s="212">
        <f t="shared" si="5"/>
        <v>2</v>
      </c>
      <c r="L40" s="210" t="str">
        <f>VLOOKUP($B40,Invulblad!$A$11:$S$103,13,0)</f>
        <v>1</v>
      </c>
      <c r="M40" s="211">
        <f>IF(L40&lt;&gt;"",VLOOKUP($B40,Invulblad!$A$11:$S$103,7,0),"")</f>
        <v>2</v>
      </c>
      <c r="N40" s="209" t="s">
        <v>29</v>
      </c>
      <c r="O40" s="211">
        <f>IF(L40&lt;&gt;"",VLOOKUP($B40,Invulblad!$A$11:$S$103,9,0),"")</f>
        <v>1</v>
      </c>
      <c r="P40" s="212">
        <f t="shared" si="9"/>
        <v>0</v>
      </c>
    </row>
    <row r="41" spans="1:16">
      <c r="A41" s="188">
        <v>28</v>
      </c>
      <c r="B41" s="195">
        <v>24</v>
      </c>
      <c r="C41" s="332">
        <v>41810</v>
      </c>
      <c r="D41" s="333">
        <v>0.75</v>
      </c>
      <c r="E41" s="189" t="s">
        <v>564</v>
      </c>
      <c r="F41" s="189" t="s">
        <v>29</v>
      </c>
      <c r="G41" s="189" t="s">
        <v>430</v>
      </c>
      <c r="H41" s="366">
        <v>1</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0</v>
      </c>
      <c r="I42" s="366" t="s">
        <v>29</v>
      </c>
      <c r="J42" s="366">
        <v>0</v>
      </c>
      <c r="K42" s="212">
        <f t="shared" si="5"/>
        <v>3</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1</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2</v>
      </c>
      <c r="I46" s="366" t="s">
        <v>29</v>
      </c>
      <c r="J46" s="366">
        <v>1</v>
      </c>
      <c r="K46" s="212" t="str">
        <f t="shared" si="5"/>
        <v>1</v>
      </c>
      <c r="L46" s="210" t="str">
        <f>VLOOKUP($B46,Invulblad!$A$11:$S$103,13,0)</f>
        <v>1</v>
      </c>
      <c r="M46" s="211">
        <f>IF(L46&lt;&gt;"",VLOOKUP($B46,Invulblad!$A$11:$S$103,7,0),"")</f>
        <v>2</v>
      </c>
      <c r="N46" s="209" t="s">
        <v>29</v>
      </c>
      <c r="O46" s="211">
        <f>IF(L46&lt;&gt;"",VLOOKUP($B46,Invulblad!$A$11:$S$103,9,0),"")</f>
        <v>1</v>
      </c>
      <c r="P46" s="212">
        <f t="shared" ref="P46:P51" si="10">IF(L46&lt;&gt;"",IF(AND(M46=H46,O46=J46),10,IF(K46=L46,5,0)),"")</f>
        <v>10</v>
      </c>
    </row>
    <row r="47" spans="1:16">
      <c r="A47" s="188">
        <v>34</v>
      </c>
      <c r="B47" s="195">
        <v>10</v>
      </c>
      <c r="C47" s="332">
        <v>41805</v>
      </c>
      <c r="D47" s="333">
        <v>0.875</v>
      </c>
      <c r="E47" s="189" t="s">
        <v>100</v>
      </c>
      <c r="F47" s="189" t="s">
        <v>29</v>
      </c>
      <c r="G47" s="189" t="s">
        <v>132</v>
      </c>
      <c r="H47" s="366">
        <v>3</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10</v>
      </c>
    </row>
    <row r="48" spans="1:16">
      <c r="A48" s="188">
        <v>35</v>
      </c>
      <c r="B48" s="195">
        <v>25</v>
      </c>
      <c r="C48" s="332">
        <v>41810</v>
      </c>
      <c r="D48" s="333">
        <v>0.875</v>
      </c>
      <c r="E48" s="189" t="s">
        <v>134</v>
      </c>
      <c r="F48" s="189" t="s">
        <v>29</v>
      </c>
      <c r="G48" s="189" t="s">
        <v>98</v>
      </c>
      <c r="H48" s="366">
        <v>1</v>
      </c>
      <c r="I48" s="366" t="s">
        <v>29</v>
      </c>
      <c r="J48" s="366">
        <v>1</v>
      </c>
      <c r="K48" s="212">
        <f t="shared" si="5"/>
        <v>3</v>
      </c>
      <c r="L48" s="210">
        <f>VLOOKUP($B48,Invulblad!$A$11:$S$103,13,0)</f>
        <v>2</v>
      </c>
      <c r="M48" s="211">
        <f>IF(L48&lt;&gt;"",VLOOKUP($B48,Invulblad!$A$11:$S$103,7,0),"")</f>
        <v>2</v>
      </c>
      <c r="N48" s="209" t="s">
        <v>29</v>
      </c>
      <c r="O48" s="211">
        <f>IF(L48&lt;&gt;"",VLOOKUP($B48,Invulblad!$A$11:$S$103,9,0),"")</f>
        <v>5</v>
      </c>
      <c r="P48" s="212">
        <f t="shared" si="10"/>
        <v>0</v>
      </c>
    </row>
    <row r="49" spans="1:16">
      <c r="A49" s="188">
        <v>36</v>
      </c>
      <c r="B49" s="195">
        <v>26</v>
      </c>
      <c r="C49" s="332">
        <v>41811</v>
      </c>
      <c r="D49" s="333">
        <v>0</v>
      </c>
      <c r="E49" s="189" t="s">
        <v>127</v>
      </c>
      <c r="F49" s="189" t="s">
        <v>29</v>
      </c>
      <c r="G49" s="189" t="s">
        <v>434</v>
      </c>
      <c r="H49" s="366">
        <v>0</v>
      </c>
      <c r="I49" s="366" t="s">
        <v>29</v>
      </c>
      <c r="J49" s="366">
        <v>2</v>
      </c>
      <c r="K49" s="212">
        <f t="shared" si="5"/>
        <v>2</v>
      </c>
      <c r="L49" s="210">
        <f>VLOOKUP($B49,Invulblad!$A$11:$S$103,13,0)</f>
        <v>2</v>
      </c>
      <c r="M49" s="211">
        <f>IF(L49&lt;&gt;"",VLOOKUP($B49,Invulblad!$A$11:$S$103,7,0),"")</f>
        <v>1</v>
      </c>
      <c r="N49" s="209" t="s">
        <v>29</v>
      </c>
      <c r="O49" s="211">
        <f>IF(L49&lt;&gt;"",VLOOKUP($B49,Invulblad!$A$11:$S$103,9,0),"")</f>
        <v>2</v>
      </c>
      <c r="P49" s="212">
        <f t="shared" si="10"/>
        <v>5</v>
      </c>
    </row>
    <row r="50" spans="1:16">
      <c r="A50" s="188">
        <v>37</v>
      </c>
      <c r="B50" s="195">
        <v>41</v>
      </c>
      <c r="C50" s="332">
        <v>41815</v>
      </c>
      <c r="D50" s="333">
        <v>0.91666666666666663</v>
      </c>
      <c r="E50" s="189" t="s">
        <v>127</v>
      </c>
      <c r="F50" s="189" t="s">
        <v>29</v>
      </c>
      <c r="G50" s="189" t="s">
        <v>130</v>
      </c>
      <c r="H50" s="366">
        <v>1</v>
      </c>
      <c r="I50" s="366" t="s">
        <v>29</v>
      </c>
      <c r="J50" s="366">
        <v>1</v>
      </c>
      <c r="K50" s="212">
        <f t="shared" ref="K50:K85" si="11">IF(AND(H50="",J50=""),"",IF(OR(H50="",J50=""),"FOUT",IF(H50&gt;J50,"1",IF(H50=J50,3,2))))</f>
        <v>3</v>
      </c>
      <c r="L50" s="210">
        <f>VLOOKUP($B50,Invulblad!$A$11:$S$103,13,0)</f>
        <v>2</v>
      </c>
      <c r="M50" s="211">
        <f>IF(L50&lt;&gt;"",VLOOKUP($B50,Invulblad!$A$11:$S$103,7,0),"")</f>
        <v>0</v>
      </c>
      <c r="N50" s="209" t="s">
        <v>29</v>
      </c>
      <c r="O50" s="211">
        <f>IF(L50&lt;&gt;"",VLOOKUP($B50,Invulblad!$A$11:$S$103,9,0),"")</f>
        <v>3</v>
      </c>
      <c r="P50" s="212">
        <f t="shared" si="10"/>
        <v>0</v>
      </c>
    </row>
    <row r="51" spans="1:16">
      <c r="A51" s="188">
        <v>38</v>
      </c>
      <c r="B51" s="195">
        <v>42</v>
      </c>
      <c r="C51" s="332">
        <v>41815</v>
      </c>
      <c r="D51" s="333">
        <v>0.91666666666666663</v>
      </c>
      <c r="E51" s="189" t="s">
        <v>435</v>
      </c>
      <c r="F51" s="189" t="s">
        <v>29</v>
      </c>
      <c r="G51" s="189" t="s">
        <v>98</v>
      </c>
      <c r="H51" s="366">
        <v>0</v>
      </c>
      <c r="I51" s="366" t="s">
        <v>29</v>
      </c>
      <c r="J51" s="366">
        <v>1</v>
      </c>
      <c r="K51" s="212">
        <f t="shared" si="11"/>
        <v>2</v>
      </c>
      <c r="L51" s="210">
        <f>VLOOKUP($B51,Invulblad!$A$11:$S$103,13,0)</f>
        <v>3</v>
      </c>
      <c r="M51" s="211">
        <f>IF(L51&lt;&gt;"",VLOOKUP($B51,Invulblad!$A$11:$S$103,7,0),"")</f>
        <v>0</v>
      </c>
      <c r="N51" s="209" t="s">
        <v>29</v>
      </c>
      <c r="O51" s="211">
        <f>IF(L51&lt;&gt;"",VLOOKUP($B51,Invulblad!$A$11:$S$103,9,0),"")</f>
        <v>0</v>
      </c>
      <c r="P51" s="212">
        <f t="shared" si="10"/>
        <v>0</v>
      </c>
    </row>
    <row r="52" spans="1:16">
      <c r="A52" s="188">
        <v>39</v>
      </c>
      <c r="B52" s="201" t="s">
        <v>35</v>
      </c>
      <c r="H52" s="367"/>
      <c r="I52" s="367"/>
      <c r="J52" s="367"/>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4</v>
      </c>
      <c r="I54" s="366" t="s">
        <v>29</v>
      </c>
      <c r="J54" s="366">
        <v>1</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2">
        <v>41806</v>
      </c>
      <c r="D55" s="333">
        <v>0.875</v>
      </c>
      <c r="E55" s="189" t="s">
        <v>438</v>
      </c>
      <c r="F55" s="189" t="s">
        <v>29</v>
      </c>
      <c r="G55" s="189" t="s">
        <v>103</v>
      </c>
      <c r="H55" s="366">
        <v>0</v>
      </c>
      <c r="I55" s="366" t="s">
        <v>29</v>
      </c>
      <c r="J55" s="366">
        <v>2</v>
      </c>
      <c r="K55" s="212">
        <f t="shared" si="11"/>
        <v>2</v>
      </c>
      <c r="L55" s="210">
        <f>VLOOKUP($B55,Invulblad!$A$11:$S$103,13,0)</f>
        <v>3</v>
      </c>
      <c r="M55" s="211">
        <f>IF(L55&lt;&gt;"",VLOOKUP($B55,Invulblad!$A$11:$S$103,7,0),"")</f>
        <v>0</v>
      </c>
      <c r="N55" s="209" t="s">
        <v>29</v>
      </c>
      <c r="O55" s="211">
        <f>IF(L55&lt;&gt;"",VLOOKUP($B55,Invulblad!$A$11:$S$103,9,0),"")</f>
        <v>0</v>
      </c>
      <c r="P55" s="212">
        <f t="shared" si="12"/>
        <v>0</v>
      </c>
    </row>
    <row r="56" spans="1:16">
      <c r="A56" s="188">
        <v>43</v>
      </c>
      <c r="B56" s="195">
        <v>27</v>
      </c>
      <c r="C56" s="332">
        <v>41811</v>
      </c>
      <c r="D56" s="333">
        <v>0.75</v>
      </c>
      <c r="E56" s="189" t="s">
        <v>565</v>
      </c>
      <c r="F56" s="189" t="s">
        <v>29</v>
      </c>
      <c r="G56" s="189" t="s">
        <v>439</v>
      </c>
      <c r="H56" s="366">
        <v>5</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1</v>
      </c>
      <c r="I57" s="366" t="s">
        <v>29</v>
      </c>
      <c r="J57" s="366">
        <v>0</v>
      </c>
      <c r="K57" s="212" t="str">
        <f t="shared" si="11"/>
        <v>1</v>
      </c>
      <c r="L57" s="210" t="str">
        <f>VLOOKUP($B57,Invulblad!$A$11:$S$103,13,0)</f>
        <v>1</v>
      </c>
      <c r="M57" s="211">
        <f>IF(L57&lt;&gt;"",VLOOKUP($B57,Invulblad!$A$11:$S$103,7,0),"")</f>
        <v>1</v>
      </c>
      <c r="N57" s="209" t="s">
        <v>29</v>
      </c>
      <c r="O57" s="211">
        <f>IF(L57&lt;&gt;"",VLOOKUP($B57,Invulblad!$A$11:$S$103,9,0),"")</f>
        <v>0</v>
      </c>
      <c r="P57" s="212">
        <f t="shared" si="12"/>
        <v>10</v>
      </c>
    </row>
    <row r="58" spans="1:16">
      <c r="A58" s="188">
        <v>45</v>
      </c>
      <c r="B58" s="195">
        <v>43</v>
      </c>
      <c r="C58" s="332">
        <v>41815</v>
      </c>
      <c r="D58" s="333">
        <v>0.75</v>
      </c>
      <c r="E58" s="189" t="s">
        <v>234</v>
      </c>
      <c r="F58" s="189" t="s">
        <v>29</v>
      </c>
      <c r="G58" s="189" t="s">
        <v>567</v>
      </c>
      <c r="H58" s="366">
        <v>2</v>
      </c>
      <c r="I58" s="366" t="s">
        <v>29</v>
      </c>
      <c r="J58" s="366">
        <v>2</v>
      </c>
      <c r="K58" s="212">
        <f t="shared" si="11"/>
        <v>3</v>
      </c>
      <c r="L58" s="210">
        <f>VLOOKUP($B58,Invulblad!$A$11:$S$103,13,0)</f>
        <v>2</v>
      </c>
      <c r="M58" s="211">
        <f>IF(L58&lt;&gt;"",VLOOKUP($B58,Invulblad!$A$11:$S$103,7,0),"")</f>
        <v>2</v>
      </c>
      <c r="N58" s="209" t="s">
        <v>29</v>
      </c>
      <c r="O58" s="211">
        <f>IF(L58&lt;&gt;"",VLOOKUP($B58,Invulblad!$A$11:$S$103,9,0),"")</f>
        <v>3</v>
      </c>
      <c r="P58" s="212">
        <f t="shared" si="12"/>
        <v>0</v>
      </c>
    </row>
    <row r="59" spans="1:16">
      <c r="A59" s="188">
        <v>46</v>
      </c>
      <c r="B59" s="195">
        <v>44</v>
      </c>
      <c r="C59" s="332">
        <v>41815</v>
      </c>
      <c r="D59" s="333">
        <v>0.75</v>
      </c>
      <c r="E59" s="189" t="s">
        <v>568</v>
      </c>
      <c r="F59" s="189" t="s">
        <v>29</v>
      </c>
      <c r="G59" s="189" t="s">
        <v>439</v>
      </c>
      <c r="H59" s="366">
        <v>0</v>
      </c>
      <c r="I59" s="366" t="s">
        <v>29</v>
      </c>
      <c r="J59" s="366">
        <v>0</v>
      </c>
      <c r="K59" s="212">
        <f t="shared" si="11"/>
        <v>3</v>
      </c>
      <c r="L59" s="210" t="str">
        <f>VLOOKUP($B59,Invulblad!$A$11:$S$103,13,0)</f>
        <v>1</v>
      </c>
      <c r="M59" s="211">
        <f>IF(L59&lt;&gt;"",VLOOKUP($B59,Invulblad!$A$11:$S$103,7,0),"")</f>
        <v>3</v>
      </c>
      <c r="N59" s="209" t="s">
        <v>29</v>
      </c>
      <c r="O59" s="211">
        <f>IF(L59&lt;&gt;"",VLOOKUP($B59,Invulblad!$A$11:$S$103,9,0),"")</f>
        <v>1</v>
      </c>
      <c r="P59" s="212">
        <f t="shared" si="12"/>
        <v>0</v>
      </c>
    </row>
    <row r="60" spans="1:16">
      <c r="A60" s="188">
        <v>47</v>
      </c>
      <c r="B60" s="201" t="s">
        <v>36</v>
      </c>
      <c r="H60" s="367"/>
      <c r="I60" s="367"/>
      <c r="J60" s="367"/>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1</v>
      </c>
      <c r="I62" s="366" t="s">
        <v>29</v>
      </c>
      <c r="J62" s="366">
        <v>1</v>
      </c>
      <c r="K62" s="212">
        <f t="shared" si="11"/>
        <v>3</v>
      </c>
      <c r="L62" s="210" t="str">
        <f>VLOOKUP($B62,Invulblad!$A$11:$S$103,13,0)</f>
        <v>1</v>
      </c>
      <c r="M62" s="211">
        <f>IF(L62&lt;&gt;"",VLOOKUP($B62,Invulblad!$A$11:$S$103,7,0),"")</f>
        <v>4</v>
      </c>
      <c r="N62" s="209" t="s">
        <v>29</v>
      </c>
      <c r="O62" s="211">
        <f>IF(L62&lt;&gt;"",VLOOKUP($B62,Invulblad!$A$11:$S$103,9,0),"")</f>
        <v>0</v>
      </c>
      <c r="P62" s="212">
        <f t="shared" ref="P62:P67" si="13">IF(L62&lt;&gt;"",IF(AND(M62=H62,O62=J62),10,IF(K62=L62,5,0)),"")</f>
        <v>0</v>
      </c>
    </row>
    <row r="63" spans="1:16">
      <c r="A63" s="188">
        <v>50</v>
      </c>
      <c r="B63" s="195">
        <v>14</v>
      </c>
      <c r="C63" s="332">
        <v>41807</v>
      </c>
      <c r="D63" s="333">
        <v>0</v>
      </c>
      <c r="E63" s="189" t="s">
        <v>115</v>
      </c>
      <c r="F63" s="189" t="s">
        <v>29</v>
      </c>
      <c r="G63" s="189" t="s">
        <v>577</v>
      </c>
      <c r="H63" s="366">
        <v>2</v>
      </c>
      <c r="I63" s="366" t="s">
        <v>29</v>
      </c>
      <c r="J63" s="366">
        <v>0</v>
      </c>
      <c r="K63" s="212" t="str">
        <f t="shared" si="11"/>
        <v>1</v>
      </c>
      <c r="L63" s="210">
        <f>VLOOKUP($B63,Invulblad!$A$11:$S$103,13,0)</f>
        <v>2</v>
      </c>
      <c r="M63" s="211">
        <f>IF(L63&lt;&gt;"",VLOOKUP($B63,Invulblad!$A$11:$S$103,7,0),"")</f>
        <v>1</v>
      </c>
      <c r="N63" s="209" t="s">
        <v>29</v>
      </c>
      <c r="O63" s="211">
        <f>IF(L63&lt;&gt;"",VLOOKUP($B63,Invulblad!$A$11:$S$103,9,0),"")</f>
        <v>2</v>
      </c>
      <c r="P63" s="212">
        <f t="shared" si="13"/>
        <v>0</v>
      </c>
    </row>
    <row r="64" spans="1:16">
      <c r="A64" s="188">
        <v>51</v>
      </c>
      <c r="B64" s="195">
        <v>29</v>
      </c>
      <c r="C64" s="332">
        <v>41811</v>
      </c>
      <c r="D64" s="333">
        <v>0.875</v>
      </c>
      <c r="E64" s="189" t="s">
        <v>113</v>
      </c>
      <c r="F64" s="189" t="s">
        <v>29</v>
      </c>
      <c r="G64" s="189" t="s">
        <v>114</v>
      </c>
      <c r="H64" s="366">
        <v>2</v>
      </c>
      <c r="I64" s="366" t="s">
        <v>29</v>
      </c>
      <c r="J64" s="366">
        <v>2</v>
      </c>
      <c r="K64" s="212">
        <f t="shared" si="11"/>
        <v>3</v>
      </c>
      <c r="L64" s="210">
        <f>VLOOKUP($B64,Invulblad!$A$11:$S$103,13,0)</f>
        <v>3</v>
      </c>
      <c r="M64" s="211">
        <f>IF(L64&lt;&gt;"",VLOOKUP($B64,Invulblad!$A$11:$S$103,7,0),"")</f>
        <v>2</v>
      </c>
      <c r="N64" s="209" t="s">
        <v>29</v>
      </c>
      <c r="O64" s="211">
        <f>IF(L64&lt;&gt;"",VLOOKUP($B64,Invulblad!$A$11:$S$103,9,0),"")</f>
        <v>2</v>
      </c>
      <c r="P64" s="212">
        <f t="shared" si="13"/>
        <v>10</v>
      </c>
    </row>
    <row r="65" spans="1:16">
      <c r="A65" s="188">
        <v>52</v>
      </c>
      <c r="B65" s="195">
        <v>30</v>
      </c>
      <c r="C65" s="332">
        <v>41813</v>
      </c>
      <c r="D65" s="333">
        <v>0</v>
      </c>
      <c r="E65" s="189" t="s">
        <v>578</v>
      </c>
      <c r="F65" s="189" t="s">
        <v>29</v>
      </c>
      <c r="G65" s="189" t="s">
        <v>124</v>
      </c>
      <c r="H65" s="366">
        <v>0</v>
      </c>
      <c r="I65" s="366" t="s">
        <v>29</v>
      </c>
      <c r="J65" s="366">
        <v>1</v>
      </c>
      <c r="K65" s="212">
        <f t="shared" si="11"/>
        <v>2</v>
      </c>
      <c r="L65" s="210">
        <f>VLOOKUP($B65,Invulblad!$A$11:$S$103,13,0)</f>
        <v>3</v>
      </c>
      <c r="M65" s="211">
        <f>IF(L65&lt;&gt;"",VLOOKUP($B65,Invulblad!$A$11:$S$103,7,0),"")</f>
        <v>2</v>
      </c>
      <c r="N65" s="209" t="s">
        <v>29</v>
      </c>
      <c r="O65" s="211">
        <f>IF(L65&lt;&gt;"",VLOOKUP($B65,Invulblad!$A$11:$S$103,9,0),"")</f>
        <v>2</v>
      </c>
      <c r="P65" s="212">
        <f t="shared" si="13"/>
        <v>0</v>
      </c>
    </row>
    <row r="66" spans="1:16">
      <c r="A66" s="188">
        <v>53</v>
      </c>
      <c r="B66" s="195">
        <v>45</v>
      </c>
      <c r="C66" s="332">
        <v>41816</v>
      </c>
      <c r="D66" s="333">
        <v>0.75</v>
      </c>
      <c r="E66" s="189" t="s">
        <v>578</v>
      </c>
      <c r="F66" s="189" t="s">
        <v>29</v>
      </c>
      <c r="G66" s="189" t="s">
        <v>116</v>
      </c>
      <c r="H66" s="366">
        <v>1</v>
      </c>
      <c r="I66" s="366" t="s">
        <v>29</v>
      </c>
      <c r="J66" s="366">
        <v>2</v>
      </c>
      <c r="K66" s="212">
        <f t="shared" si="11"/>
        <v>2</v>
      </c>
      <c r="L66" s="210">
        <f>VLOOKUP($B66,Invulblad!$A$11:$S$103,13,0)</f>
        <v>2</v>
      </c>
      <c r="M66" s="211">
        <f>IF(L66&lt;&gt;"",VLOOKUP($B66,Invulblad!$A$11:$S$103,7,0),"")</f>
        <v>0</v>
      </c>
      <c r="N66" s="209" t="s">
        <v>29</v>
      </c>
      <c r="O66" s="211">
        <f>IF(L66&lt;&gt;"",VLOOKUP($B66,Invulblad!$A$11:$S$103,9,0),"")</f>
        <v>1</v>
      </c>
      <c r="P66" s="212">
        <f t="shared" si="13"/>
        <v>5</v>
      </c>
    </row>
    <row r="67" spans="1:16">
      <c r="A67" s="188">
        <v>54</v>
      </c>
      <c r="B67" s="195">
        <v>46</v>
      </c>
      <c r="C67" s="332">
        <v>41816</v>
      </c>
      <c r="D67" s="333">
        <v>0.75</v>
      </c>
      <c r="E67" s="189" t="s">
        <v>126</v>
      </c>
      <c r="F67" s="189" t="s">
        <v>29</v>
      </c>
      <c r="G67" s="189" t="s">
        <v>114</v>
      </c>
      <c r="H67" s="366">
        <v>1</v>
      </c>
      <c r="I67" s="366" t="s">
        <v>29</v>
      </c>
      <c r="J67" s="366">
        <v>1</v>
      </c>
      <c r="K67" s="212">
        <f t="shared" si="11"/>
        <v>3</v>
      </c>
      <c r="L67" s="210" t="str">
        <f>VLOOKUP($B67,Invulblad!$A$11:$S$103,13,0)</f>
        <v>1</v>
      </c>
      <c r="M67" s="211">
        <f>IF(L67&lt;&gt;"",VLOOKUP($B67,Invulblad!$A$11:$S$103,7,0),"")</f>
        <v>2</v>
      </c>
      <c r="N67" s="209" t="s">
        <v>29</v>
      </c>
      <c r="O67" s="211">
        <f>IF(L67&lt;&gt;"",VLOOKUP($B67,Invulblad!$A$11:$S$103,9,0),"")</f>
        <v>1</v>
      </c>
      <c r="P67" s="212">
        <f t="shared" si="13"/>
        <v>0</v>
      </c>
    </row>
    <row r="68" spans="1:16">
      <c r="A68" s="188">
        <v>55</v>
      </c>
      <c r="B68" s="201" t="s">
        <v>37</v>
      </c>
      <c r="H68" s="367"/>
      <c r="I68" s="367"/>
      <c r="J68" s="367"/>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3</v>
      </c>
      <c r="I70" s="366" t="s">
        <v>29</v>
      </c>
      <c r="J70" s="366">
        <v>0</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c r="A71" s="188">
        <v>58</v>
      </c>
      <c r="B71" s="195">
        <v>16</v>
      </c>
      <c r="C71" s="332">
        <v>41808</v>
      </c>
      <c r="D71" s="333">
        <v>0</v>
      </c>
      <c r="E71" s="189" t="s">
        <v>445</v>
      </c>
      <c r="F71" s="189" t="s">
        <v>29</v>
      </c>
      <c r="G71" s="189" t="s">
        <v>107</v>
      </c>
      <c r="H71" s="366">
        <v>2</v>
      </c>
      <c r="I71" s="366" t="s">
        <v>29</v>
      </c>
      <c r="J71" s="366">
        <v>1</v>
      </c>
      <c r="K71" s="212" t="str">
        <f t="shared" si="11"/>
        <v>1</v>
      </c>
      <c r="L71" s="210">
        <f>VLOOKUP($B71,Invulblad!$A$11:$S$103,13,0)</f>
        <v>3</v>
      </c>
      <c r="M71" s="211">
        <f>IF(L71&lt;&gt;"",VLOOKUP($B71,Invulblad!$A$11:$S$103,7,0),"")</f>
        <v>1</v>
      </c>
      <c r="N71" s="209" t="s">
        <v>29</v>
      </c>
      <c r="O71" s="211">
        <f>IF(L71&lt;&gt;"",VLOOKUP($B71,Invulblad!$A$11:$S$103,9,0),"")</f>
        <v>1</v>
      </c>
      <c r="P71" s="212">
        <f t="shared" si="14"/>
        <v>0</v>
      </c>
    </row>
    <row r="72" spans="1:16">
      <c r="A72" s="188">
        <v>59</v>
      </c>
      <c r="B72" s="195">
        <v>31</v>
      </c>
      <c r="C72" s="332">
        <v>41812</v>
      </c>
      <c r="D72" s="333">
        <v>0.75</v>
      </c>
      <c r="E72" s="189" t="s">
        <v>569</v>
      </c>
      <c r="F72" s="189" t="s">
        <v>29</v>
      </c>
      <c r="G72" s="189" t="s">
        <v>446</v>
      </c>
      <c r="H72" s="366">
        <v>3</v>
      </c>
      <c r="I72" s="366" t="s">
        <v>29</v>
      </c>
      <c r="J72" s="366">
        <v>2</v>
      </c>
      <c r="K72" s="212" t="str">
        <f t="shared" si="11"/>
        <v>1</v>
      </c>
      <c r="L72" s="210" t="str">
        <f>VLOOKUP($B72,Invulblad!$A$11:$S$103,13,0)</f>
        <v>1</v>
      </c>
      <c r="M72" s="211">
        <f>IF(L72&lt;&gt;"",VLOOKUP($B72,Invulblad!$A$11:$S$103,7,0),"")</f>
        <v>1</v>
      </c>
      <c r="N72" s="209" t="s">
        <v>29</v>
      </c>
      <c r="O72" s="211">
        <f>IF(L72&lt;&gt;"",VLOOKUP($B72,Invulblad!$A$11:$S$103,9,0),"")</f>
        <v>0</v>
      </c>
      <c r="P72" s="212">
        <f t="shared" si="14"/>
        <v>5</v>
      </c>
    </row>
    <row r="73" spans="1:16">
      <c r="A73" s="188">
        <v>60</v>
      </c>
      <c r="B73" s="195">
        <v>32</v>
      </c>
      <c r="C73" s="332">
        <v>41812</v>
      </c>
      <c r="D73" s="333">
        <v>0.875</v>
      </c>
      <c r="E73" s="189" t="s">
        <v>232</v>
      </c>
      <c r="F73" s="189" t="s">
        <v>29</v>
      </c>
      <c r="G73" s="189" t="s">
        <v>111</v>
      </c>
      <c r="H73" s="366">
        <v>3</v>
      </c>
      <c r="I73" s="366" t="s">
        <v>29</v>
      </c>
      <c r="J73" s="366">
        <v>0</v>
      </c>
      <c r="K73" s="212" t="str">
        <f t="shared" si="11"/>
        <v>1</v>
      </c>
      <c r="L73" s="210">
        <f>VLOOKUP($B73,Invulblad!$A$11:$S$103,13,0)</f>
        <v>2</v>
      </c>
      <c r="M73" s="211">
        <f>IF(L73&lt;&gt;"",VLOOKUP($B73,Invulblad!$A$11:$S$103,7,0),"")</f>
        <v>2</v>
      </c>
      <c r="N73" s="209" t="s">
        <v>29</v>
      </c>
      <c r="O73" s="211">
        <f>IF(L73&lt;&gt;"",VLOOKUP($B73,Invulblad!$A$11:$S$103,9,0),"")</f>
        <v>4</v>
      </c>
      <c r="P73" s="212">
        <f t="shared" si="14"/>
        <v>0</v>
      </c>
    </row>
    <row r="74" spans="1:16">
      <c r="A74" s="188">
        <v>61</v>
      </c>
      <c r="B74" s="195">
        <v>47</v>
      </c>
      <c r="C74" s="332">
        <v>41816</v>
      </c>
      <c r="D74" s="333">
        <v>0.91666666666666663</v>
      </c>
      <c r="E74" s="189" t="s">
        <v>232</v>
      </c>
      <c r="F74" s="189" t="s">
        <v>29</v>
      </c>
      <c r="G74" s="189" t="s">
        <v>570</v>
      </c>
      <c r="H74" s="366">
        <v>1</v>
      </c>
      <c r="I74" s="366" t="s">
        <v>29</v>
      </c>
      <c r="J74" s="366">
        <v>1</v>
      </c>
      <c r="K74" s="212">
        <f t="shared" si="11"/>
        <v>3</v>
      </c>
      <c r="L74" s="210">
        <f>VLOOKUP($B74,Invulblad!$A$11:$S$103,13,0)</f>
        <v>2</v>
      </c>
      <c r="M74" s="211">
        <f>IF(L74&lt;&gt;"",VLOOKUP($B74,Invulblad!$A$11:$S$103,7,0),"")</f>
        <v>0</v>
      </c>
      <c r="N74" s="209" t="s">
        <v>29</v>
      </c>
      <c r="O74" s="211">
        <f>IF(L74&lt;&gt;"",VLOOKUP($B74,Invulblad!$A$11:$S$103,9,0),"")</f>
        <v>1</v>
      </c>
      <c r="P74" s="212">
        <f t="shared" si="14"/>
        <v>0</v>
      </c>
    </row>
    <row r="75" spans="1:16">
      <c r="A75" s="188">
        <v>62</v>
      </c>
      <c r="B75" s="195">
        <v>48</v>
      </c>
      <c r="C75" s="332">
        <v>41816</v>
      </c>
      <c r="D75" s="333">
        <v>0.91666666666666663</v>
      </c>
      <c r="E75" s="189" t="s">
        <v>236</v>
      </c>
      <c r="F75" s="189" t="s">
        <v>29</v>
      </c>
      <c r="G75" s="189" t="s">
        <v>446</v>
      </c>
      <c r="H75" s="366">
        <v>1</v>
      </c>
      <c r="I75" s="366" t="s">
        <v>29</v>
      </c>
      <c r="J75" s="366">
        <v>1</v>
      </c>
      <c r="K75" s="212">
        <f t="shared" si="11"/>
        <v>3</v>
      </c>
      <c r="L75" s="210">
        <f>VLOOKUP($B75,Invulblad!$A$11:$S$103,13,0)</f>
        <v>3</v>
      </c>
      <c r="M75" s="211">
        <f>IF(L75&lt;&gt;"",VLOOKUP($B75,Invulblad!$A$11:$S$103,7,0),"")</f>
        <v>1</v>
      </c>
      <c r="N75" s="209" t="s">
        <v>29</v>
      </c>
      <c r="O75" s="211">
        <f>IF(L75&lt;&gt;"",VLOOKUP($B75,Invulblad!$A$11:$S$103,9,0),"")</f>
        <v>1</v>
      </c>
      <c r="P75" s="212">
        <f t="shared" si="14"/>
        <v>10</v>
      </c>
    </row>
    <row r="76" spans="1:16">
      <c r="A76" s="188">
        <v>63</v>
      </c>
      <c r="B76" s="201" t="s">
        <v>86</v>
      </c>
      <c r="H76" s="367"/>
      <c r="I76" s="367"/>
      <c r="J76" s="367"/>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185</v>
      </c>
      <c r="F78" s="189" t="s">
        <v>29</v>
      </c>
      <c r="G78" s="189" t="s">
        <v>138</v>
      </c>
      <c r="H78" s="366">
        <v>1</v>
      </c>
      <c r="I78" s="366" t="s">
        <v>29</v>
      </c>
      <c r="J78" s="366">
        <v>2</v>
      </c>
      <c r="K78" s="212">
        <f t="shared" si="11"/>
        <v>2</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200</v>
      </c>
      <c r="F79" s="189" t="s">
        <v>29</v>
      </c>
      <c r="G79" s="189" t="s">
        <v>193</v>
      </c>
      <c r="H79" s="366">
        <v>0</v>
      </c>
      <c r="I79" s="366" t="s">
        <v>29</v>
      </c>
      <c r="J79" s="366">
        <v>1</v>
      </c>
      <c r="K79" s="212">
        <f t="shared" si="11"/>
        <v>2</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135</v>
      </c>
      <c r="F80" s="189" t="s">
        <v>29</v>
      </c>
      <c r="G80" s="189" t="s">
        <v>199</v>
      </c>
      <c r="H80" s="366">
        <v>1</v>
      </c>
      <c r="I80" s="366" t="s">
        <v>29</v>
      </c>
      <c r="J80" s="366">
        <v>2</v>
      </c>
      <c r="K80" s="212">
        <f t="shared" si="11"/>
        <v>2</v>
      </c>
      <c r="L80" s="210" t="str">
        <f>VLOOKUP($B80,Invulblad!$A$11:$S$103,13,0)</f>
        <v>1</v>
      </c>
      <c r="M80" s="211">
        <f>IF(L80&lt;&gt;"",VLOOKUP($B80,Invulblad!$A$11:$S$103,7,0),"")</f>
        <v>2</v>
      </c>
      <c r="N80" s="209" t="s">
        <v>29</v>
      </c>
      <c r="O80" s="211">
        <f>IF(L80&lt;&gt;"",VLOOKUP($B80,Invulblad!$A$11:$S$103,9,0),"")</f>
        <v>1</v>
      </c>
      <c r="P80" s="212">
        <f t="shared" si="15"/>
        <v>0</v>
      </c>
    </row>
    <row r="81" spans="1:16">
      <c r="A81" s="188">
        <v>68</v>
      </c>
      <c r="B81" s="195">
        <v>52</v>
      </c>
      <c r="C81" s="332">
        <v>41819</v>
      </c>
      <c r="D81" s="333">
        <v>0.91666666666666663</v>
      </c>
      <c r="E81" s="189" t="s">
        <v>109</v>
      </c>
      <c r="F81" s="189" t="s">
        <v>29</v>
      </c>
      <c r="G81" s="189" t="s">
        <v>187</v>
      </c>
      <c r="H81" s="366">
        <v>2</v>
      </c>
      <c r="I81" s="366" t="s">
        <v>29</v>
      </c>
      <c r="J81" s="366">
        <v>1</v>
      </c>
      <c r="K81" s="212" t="str">
        <f t="shared" si="11"/>
        <v>1</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143</v>
      </c>
      <c r="F82" s="189" t="s">
        <v>29</v>
      </c>
      <c r="G82" s="189" t="s">
        <v>108</v>
      </c>
      <c r="H82" s="366">
        <v>0</v>
      </c>
      <c r="I82" s="366" t="s">
        <v>29</v>
      </c>
      <c r="J82" s="366">
        <v>0</v>
      </c>
      <c r="K82" s="212">
        <f t="shared" si="11"/>
        <v>3</v>
      </c>
      <c r="L82" s="210" t="str">
        <f>VLOOKUP($B82,Invulblad!$A$11:$S$103,13,0)</f>
        <v>1</v>
      </c>
      <c r="M82" s="211">
        <f>IF(L82&lt;&gt;"",VLOOKUP($B82,Invulblad!$A$11:$S$103,7,0),"")</f>
        <v>2</v>
      </c>
      <c r="N82" s="209" t="s">
        <v>29</v>
      </c>
      <c r="O82" s="211">
        <f>IF(L82&lt;&gt;"",VLOOKUP($B82,Invulblad!$A$11:$S$103,9,0),"")</f>
        <v>0</v>
      </c>
      <c r="P82" s="212">
        <f t="shared" si="15"/>
        <v>0</v>
      </c>
    </row>
    <row r="83" spans="1:16">
      <c r="A83" s="188">
        <v>70</v>
      </c>
      <c r="B83" s="195">
        <v>54</v>
      </c>
      <c r="C83" s="332">
        <v>41820</v>
      </c>
      <c r="D83" s="333">
        <v>0.91666666666666663</v>
      </c>
      <c r="E83" s="189" t="s">
        <v>181</v>
      </c>
      <c r="F83" s="189" t="s">
        <v>29</v>
      </c>
      <c r="G83" s="189" t="s">
        <v>104</v>
      </c>
      <c r="H83" s="366">
        <v>2</v>
      </c>
      <c r="I83" s="366" t="s">
        <v>29</v>
      </c>
      <c r="J83" s="366">
        <v>2</v>
      </c>
      <c r="K83" s="212">
        <f t="shared" si="11"/>
        <v>3</v>
      </c>
      <c r="L83" s="210" t="str">
        <f>VLOOKUP($B83,Invulblad!$A$11:$S$103,13,0)</f>
        <v>1</v>
      </c>
      <c r="M83" s="211">
        <f>IF(L83&lt;&gt;"",VLOOKUP($B83,Invulblad!$A$11:$S$103,7,0),"")</f>
        <v>2</v>
      </c>
      <c r="N83" s="209" t="s">
        <v>29</v>
      </c>
      <c r="O83" s="211">
        <f>IF(L83&lt;&gt;"",VLOOKUP($B83,Invulblad!$A$11:$S$103,9,0),"")</f>
        <v>1</v>
      </c>
      <c r="P83" s="212">
        <f t="shared" si="15"/>
        <v>0</v>
      </c>
    </row>
    <row r="84" spans="1:16">
      <c r="A84" s="188">
        <v>71</v>
      </c>
      <c r="B84" s="195">
        <v>55</v>
      </c>
      <c r="C84" s="332">
        <v>41821</v>
      </c>
      <c r="D84" s="333">
        <v>0.75</v>
      </c>
      <c r="E84" s="189" t="s">
        <v>102</v>
      </c>
      <c r="F84" s="189" t="s">
        <v>29</v>
      </c>
      <c r="G84" s="189" t="s">
        <v>209</v>
      </c>
      <c r="H84" s="366">
        <v>4</v>
      </c>
      <c r="I84" s="366" t="s">
        <v>29</v>
      </c>
      <c r="J84" s="366">
        <v>1</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395</v>
      </c>
      <c r="F85" s="189" t="s">
        <v>29</v>
      </c>
      <c r="G85" s="189" t="s">
        <v>177</v>
      </c>
      <c r="H85" s="366">
        <v>1</v>
      </c>
      <c r="I85" s="366" t="s">
        <v>29</v>
      </c>
      <c r="J85" s="366">
        <v>1</v>
      </c>
      <c r="K85" s="212">
        <f t="shared" si="11"/>
        <v>3</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138</v>
      </c>
      <c r="F88" s="189" t="s">
        <v>29</v>
      </c>
      <c r="G88" s="189" t="s">
        <v>193</v>
      </c>
      <c r="H88" s="366">
        <v>1</v>
      </c>
      <c r="I88" s="366" t="s">
        <v>29</v>
      </c>
      <c r="J88" s="366">
        <v>0</v>
      </c>
      <c r="K88" s="212" t="str">
        <f t="shared" si="16"/>
        <v>1</v>
      </c>
      <c r="L88" s="210" t="str">
        <f>VLOOKUP($B88,Invulblad!$A$11:$S$103,13,0)</f>
        <v>1</v>
      </c>
      <c r="M88" s="211">
        <f>IF(L88&lt;&gt;"",VLOOKUP($B88,Invulblad!$A$11:$S$103,7,0),"")</f>
        <v>2</v>
      </c>
      <c r="N88" s="209" t="s">
        <v>29</v>
      </c>
      <c r="O88" s="211">
        <f>IF(L88&lt;&gt;"",VLOOKUP($B88,Invulblad!$A$11:$S$103,9,0),"")</f>
        <v>1</v>
      </c>
      <c r="P88" s="212">
        <f>IF(L88&lt;&gt;"",IF(AND(M88=H88,O88=J88),10,IF(K88=L88,5,0)),"")</f>
        <v>5</v>
      </c>
    </row>
    <row r="89" spans="1:16">
      <c r="A89" s="188">
        <v>76</v>
      </c>
      <c r="B89" s="195">
        <v>58</v>
      </c>
      <c r="C89" s="332">
        <v>41824</v>
      </c>
      <c r="D89" s="333">
        <v>0.75</v>
      </c>
      <c r="E89" s="189" t="s">
        <v>143</v>
      </c>
      <c r="F89" s="189" t="s">
        <v>29</v>
      </c>
      <c r="G89" s="189" t="s">
        <v>181</v>
      </c>
      <c r="H89" s="366">
        <v>2</v>
      </c>
      <c r="I89" s="366" t="s">
        <v>29</v>
      </c>
      <c r="J89" s="366">
        <v>1</v>
      </c>
      <c r="K89" s="212" t="str">
        <f t="shared" si="16"/>
        <v>1</v>
      </c>
      <c r="L89" s="210">
        <f>VLOOKUP($B89,Invulblad!$A$11:$S$103,13,0)</f>
        <v>2</v>
      </c>
      <c r="M89" s="211">
        <f>IF(L89&lt;&gt;"",VLOOKUP($B89,Invulblad!$A$11:$S$103,7,0),"")</f>
        <v>0</v>
      </c>
      <c r="N89" s="209" t="s">
        <v>29</v>
      </c>
      <c r="O89" s="211">
        <f>IF(L89&lt;&gt;"",VLOOKUP($B89,Invulblad!$A$11:$S$103,9,0),"")</f>
        <v>1</v>
      </c>
      <c r="P89" s="212">
        <f>IF(L89&lt;&gt;"",IF(AND(M89=H89,O89=J89),10,IF(K89=L89,5,0)),"")</f>
        <v>0</v>
      </c>
    </row>
    <row r="90" spans="1:16">
      <c r="A90" s="188">
        <v>77</v>
      </c>
      <c r="B90" s="195">
        <v>59</v>
      </c>
      <c r="C90" s="332">
        <v>41825</v>
      </c>
      <c r="D90" s="333">
        <v>0.91666666666666663</v>
      </c>
      <c r="E90" s="189" t="s">
        <v>199</v>
      </c>
      <c r="F90" s="189" t="s">
        <v>29</v>
      </c>
      <c r="G90" s="189" t="s">
        <v>109</v>
      </c>
      <c r="H90" s="366">
        <v>3</v>
      </c>
      <c r="I90" s="366" t="s">
        <v>29</v>
      </c>
      <c r="J90" s="366">
        <v>1</v>
      </c>
      <c r="K90" s="212" t="str">
        <f t="shared" si="16"/>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395</v>
      </c>
      <c r="H91" s="366">
        <v>2</v>
      </c>
      <c r="I91" s="366" t="s">
        <v>29</v>
      </c>
      <c r="J91" s="366">
        <v>1</v>
      </c>
      <c r="K91" s="212" t="str">
        <f t="shared" si="16"/>
        <v>1</v>
      </c>
      <c r="L91" s="210"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H92" s="367"/>
      <c r="I92" s="367"/>
      <c r="J92" s="367"/>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138</v>
      </c>
      <c r="F94" s="189" t="s">
        <v>29</v>
      </c>
      <c r="G94" s="189" t="s">
        <v>143</v>
      </c>
      <c r="H94" s="366">
        <v>1</v>
      </c>
      <c r="I94" s="366" t="s">
        <v>29</v>
      </c>
      <c r="J94" s="366">
        <v>0</v>
      </c>
      <c r="K94" s="212" t="str">
        <f t="shared" si="16"/>
        <v>1</v>
      </c>
      <c r="L94" s="210">
        <f>VLOOKUP($B94,Invulblad!$A$11:$S$103,13,0)</f>
        <v>2</v>
      </c>
      <c r="M94" s="211">
        <f>IF(L94&lt;&gt;"",VLOOKUP($B94,Invulblad!$A$11:$S$103,7,0),"")</f>
        <v>1</v>
      </c>
      <c r="N94" s="209" t="s">
        <v>29</v>
      </c>
      <c r="O94" s="211">
        <f>IF(L94&lt;&gt;"",VLOOKUP($B94,Invulblad!$A$11:$S$103,9,0),"")</f>
        <v>7</v>
      </c>
      <c r="P94" s="212">
        <f>IF(L94&lt;&gt;"",IF(AND(M94=H94,O94=J94),10,IF(K94=L94,5,0)),"")</f>
        <v>0</v>
      </c>
    </row>
    <row r="95" spans="1:16">
      <c r="A95" s="188">
        <v>82</v>
      </c>
      <c r="B95" s="195">
        <v>62</v>
      </c>
      <c r="C95" s="332">
        <v>41829</v>
      </c>
      <c r="D95" s="333">
        <v>0.91666666666666663</v>
      </c>
      <c r="E95" s="189" t="s">
        <v>199</v>
      </c>
      <c r="F95" s="189" t="s">
        <v>29</v>
      </c>
      <c r="G95" s="189" t="s">
        <v>102</v>
      </c>
      <c r="H95" s="366">
        <v>2</v>
      </c>
      <c r="I95" s="366" t="s">
        <v>29</v>
      </c>
      <c r="J95" s="366">
        <v>3</v>
      </c>
      <c r="K95" s="212">
        <f t="shared" si="16"/>
        <v>2</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367"/>
      <c r="I96" s="367"/>
      <c r="J96" s="367"/>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143</v>
      </c>
      <c r="F98" s="189" t="s">
        <v>29</v>
      </c>
      <c r="G98" s="189" t="s">
        <v>199</v>
      </c>
      <c r="H98" s="366">
        <v>0</v>
      </c>
      <c r="I98" s="366" t="s">
        <v>29</v>
      </c>
      <c r="J98" s="366">
        <v>2</v>
      </c>
      <c r="K98" s="212">
        <f t="shared" si="16"/>
        <v>2</v>
      </c>
      <c r="L98" s="210">
        <f>VLOOKUP($B98,Invulblad!$A$11:$S$103,13,0)</f>
        <v>2</v>
      </c>
      <c r="M98" s="211">
        <f>IF(L98&lt;&gt;"",VLOOKUP($B98,Invulblad!$A$11:$S$103,7,0),"")</f>
        <v>0</v>
      </c>
      <c r="N98" s="209" t="s">
        <v>29</v>
      </c>
      <c r="O98" s="211">
        <f>IF(L98&lt;&gt;"",VLOOKUP($B98,Invulblad!$A$11:$S$103,9,0),"")</f>
        <v>3</v>
      </c>
      <c r="P98" s="212">
        <f>IF(L98&lt;&gt;"",IF(AND(M98=H98,O98=J98),10,IF(K98=L98,5,0)),"")</f>
        <v>5</v>
      </c>
    </row>
    <row r="99" spans="1:16">
      <c r="A99" s="188">
        <v>86</v>
      </c>
      <c r="B99" s="201" t="s">
        <v>48</v>
      </c>
      <c r="H99" s="367"/>
      <c r="I99" s="367"/>
      <c r="J99" s="367"/>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138</v>
      </c>
      <c r="F101" s="189" t="s">
        <v>29</v>
      </c>
      <c r="G101" s="189" t="s">
        <v>102</v>
      </c>
      <c r="H101" s="366">
        <v>0</v>
      </c>
      <c r="I101" s="366" t="s">
        <v>29</v>
      </c>
      <c r="J101" s="366">
        <v>2</v>
      </c>
      <c r="K101" s="212">
        <f t="shared" si="16"/>
        <v>2</v>
      </c>
      <c r="L101" s="210" t="str">
        <f>VLOOKUP($B101,Invulblad!$A$11:$S$103,13,0)</f>
        <v>1</v>
      </c>
      <c r="M101" s="211">
        <f>IF(L101&lt;&gt;"",VLOOKUP($B101,Invulblad!$A$11:$S$103,7,0),"")</f>
        <v>1</v>
      </c>
      <c r="N101" s="209" t="s">
        <v>29</v>
      </c>
      <c r="O101" s="211">
        <f>IF(L101&lt;&gt;"",VLOOKUP($B101,Invulblad!$A$11:$S$103,9,0),"")</f>
        <v>0</v>
      </c>
      <c r="P101" s="212">
        <f>IF(L101&lt;&gt;"",IF(AND(M101=H101,O101=J101),10,IF(K101=L101,5,0)),"")</f>
        <v>0</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185</v>
      </c>
      <c r="M108" s="211"/>
      <c r="N108" s="209"/>
      <c r="O108" s="211"/>
    </row>
    <row r="109" spans="1:16">
      <c r="A109" s="188" t="s">
        <v>66</v>
      </c>
      <c r="B109" s="189" t="s">
        <v>142</v>
      </c>
      <c r="C109" s="189" t="s">
        <v>141</v>
      </c>
      <c r="D109" s="201" t="s">
        <v>199</v>
      </c>
    </row>
    <row r="112" spans="1:16">
      <c r="B112" s="201" t="s">
        <v>144</v>
      </c>
    </row>
    <row r="114" spans="2:15">
      <c r="B114" s="215" t="s">
        <v>145</v>
      </c>
      <c r="C114" s="215" t="s">
        <v>146</v>
      </c>
      <c r="D114" s="215" t="s">
        <v>147</v>
      </c>
      <c r="E114" s="215" t="s">
        <v>148</v>
      </c>
    </row>
    <row r="115" spans="2:15">
      <c r="B115" s="216" t="s">
        <v>199</v>
      </c>
      <c r="C115" s="216" t="s">
        <v>172</v>
      </c>
      <c r="D115" s="216" t="s">
        <v>151</v>
      </c>
      <c r="E115" s="216" t="s">
        <v>155</v>
      </c>
    </row>
    <row r="116" spans="2:15">
      <c r="B116" s="217" t="s">
        <v>389</v>
      </c>
      <c r="C116" s="217" t="s">
        <v>151</v>
      </c>
      <c r="D116" s="217" t="s">
        <v>154</v>
      </c>
      <c r="E116" s="217" t="s">
        <v>149</v>
      </c>
    </row>
    <row r="117" spans="2:15">
      <c r="B117" s="216" t="s">
        <v>152</v>
      </c>
      <c r="C117" s="216" t="s">
        <v>150</v>
      </c>
      <c r="D117" s="216" t="s">
        <v>241</v>
      </c>
      <c r="E117" s="216" t="s">
        <v>156</v>
      </c>
    </row>
    <row r="118" spans="2:15">
      <c r="B118" s="217" t="s">
        <v>185</v>
      </c>
      <c r="C118" s="217" t="s">
        <v>172</v>
      </c>
      <c r="D118" s="217" t="s">
        <v>149</v>
      </c>
      <c r="E118" s="217" t="s">
        <v>164</v>
      </c>
    </row>
    <row r="121" spans="2:15">
      <c r="B121" s="201" t="s">
        <v>157</v>
      </c>
    </row>
    <row r="122" spans="2:15">
      <c r="B122" s="195"/>
    </row>
    <row r="123" spans="2:15">
      <c r="B123" s="195" t="s">
        <v>245</v>
      </c>
    </row>
    <row r="124" spans="2:15">
      <c r="B124" s="195"/>
    </row>
    <row r="127" spans="2:15">
      <c r="B127" s="218"/>
      <c r="C127" s="218"/>
      <c r="D127" s="218"/>
      <c r="E127" s="218"/>
      <c r="F127" s="218"/>
      <c r="G127" s="218"/>
      <c r="H127" s="364"/>
      <c r="I127" s="364"/>
      <c r="J127" s="364"/>
      <c r="K127" s="218"/>
      <c r="L127" s="219"/>
      <c r="M127" s="218"/>
      <c r="N127" s="218"/>
      <c r="O127" s="218"/>
    </row>
    <row r="130" spans="1:5">
      <c r="B130" s="201" t="s">
        <v>160</v>
      </c>
    </row>
    <row r="132" spans="1:5">
      <c r="A132" s="227" t="s">
        <v>67</v>
      </c>
      <c r="B132" s="189" t="s">
        <v>140</v>
      </c>
      <c r="C132" s="189" t="s">
        <v>141</v>
      </c>
      <c r="D132" s="201" t="s">
        <v>135</v>
      </c>
    </row>
    <row r="133" spans="1:5">
      <c r="A133" s="188" t="s">
        <v>68</v>
      </c>
      <c r="B133" s="189" t="s">
        <v>142</v>
      </c>
      <c r="C133" s="189" t="s">
        <v>141</v>
      </c>
      <c r="D133" s="201" t="s">
        <v>138</v>
      </c>
    </row>
    <row r="136" spans="1:5">
      <c r="B136" s="201" t="s">
        <v>161</v>
      </c>
    </row>
    <row r="138" spans="1:5">
      <c r="B138" s="215" t="s">
        <v>145</v>
      </c>
      <c r="C138" s="215" t="s">
        <v>146</v>
      </c>
      <c r="D138" s="215" t="s">
        <v>147</v>
      </c>
      <c r="E138" s="215" t="s">
        <v>148</v>
      </c>
    </row>
    <row r="139" spans="1:5">
      <c r="B139" s="216" t="s">
        <v>138</v>
      </c>
      <c r="C139" s="216" t="s">
        <v>155</v>
      </c>
      <c r="D139" s="216" t="s">
        <v>156</v>
      </c>
      <c r="E139" s="216" t="s">
        <v>149</v>
      </c>
    </row>
    <row r="140" spans="1:5">
      <c r="B140" s="217" t="s">
        <v>135</v>
      </c>
      <c r="C140" s="217" t="s">
        <v>172</v>
      </c>
      <c r="D140" s="217" t="s">
        <v>153</v>
      </c>
      <c r="E140" s="217" t="s">
        <v>155</v>
      </c>
    </row>
    <row r="141" spans="1:5">
      <c r="B141" s="216" t="s">
        <v>207</v>
      </c>
      <c r="C141" s="216" t="s">
        <v>151</v>
      </c>
      <c r="D141" s="216" t="s">
        <v>154</v>
      </c>
      <c r="E141" s="216" t="s">
        <v>151</v>
      </c>
    </row>
    <row r="142" spans="1:5">
      <c r="B142" s="217" t="s">
        <v>179</v>
      </c>
      <c r="C142" s="217" t="s">
        <v>156</v>
      </c>
      <c r="D142" s="217" t="s">
        <v>165</v>
      </c>
      <c r="E142" s="217" t="s">
        <v>153</v>
      </c>
    </row>
    <row r="145" spans="1:15">
      <c r="B145" s="201" t="s">
        <v>166</v>
      </c>
    </row>
    <row r="146" spans="1:15">
      <c r="B146" s="195"/>
    </row>
    <row r="147" spans="1:15">
      <c r="B147" s="195" t="s">
        <v>167</v>
      </c>
    </row>
    <row r="148" spans="1:15">
      <c r="B148" s="195" t="s">
        <v>168</v>
      </c>
    </row>
    <row r="151" spans="1:15">
      <c r="B151" s="218"/>
      <c r="C151" s="218"/>
      <c r="D151" s="218"/>
      <c r="E151" s="218"/>
      <c r="F151" s="218"/>
      <c r="G151" s="218"/>
      <c r="H151" s="364"/>
      <c r="I151" s="364"/>
      <c r="J151" s="364"/>
      <c r="K151" s="218"/>
      <c r="L151" s="219"/>
      <c r="M151" s="218"/>
      <c r="N151" s="218"/>
      <c r="O151" s="218"/>
    </row>
    <row r="154" spans="1:15">
      <c r="B154" s="201" t="s">
        <v>169</v>
      </c>
    </row>
    <row r="156" spans="1:15">
      <c r="A156" s="188" t="s">
        <v>69</v>
      </c>
      <c r="B156" s="189" t="s">
        <v>140</v>
      </c>
      <c r="C156" s="189" t="s">
        <v>141</v>
      </c>
      <c r="D156" s="201" t="s">
        <v>200</v>
      </c>
    </row>
    <row r="157" spans="1:15">
      <c r="A157" s="188" t="s">
        <v>70</v>
      </c>
      <c r="B157" s="189" t="s">
        <v>142</v>
      </c>
      <c r="C157" s="189" t="s">
        <v>141</v>
      </c>
      <c r="D157" s="201" t="s">
        <v>187</v>
      </c>
    </row>
    <row r="160" spans="1:15">
      <c r="B160" s="201" t="s">
        <v>170</v>
      </c>
    </row>
    <row r="162" spans="2:15">
      <c r="B162" s="215" t="s">
        <v>145</v>
      </c>
      <c r="C162" s="215" t="s">
        <v>146</v>
      </c>
      <c r="D162" s="215" t="s">
        <v>147</v>
      </c>
      <c r="E162" s="215" t="s">
        <v>148</v>
      </c>
    </row>
    <row r="163" spans="2:15">
      <c r="B163" s="216" t="s">
        <v>390</v>
      </c>
      <c r="C163" s="216" t="s">
        <v>149</v>
      </c>
      <c r="D163" s="216" t="s">
        <v>156</v>
      </c>
      <c r="E163" s="216" t="s">
        <v>151</v>
      </c>
    </row>
    <row r="164" spans="2:15">
      <c r="B164" s="217" t="s">
        <v>106</v>
      </c>
      <c r="C164" s="217" t="s">
        <v>150</v>
      </c>
      <c r="D164" s="217" t="s">
        <v>241</v>
      </c>
      <c r="E164" s="217" t="s">
        <v>150</v>
      </c>
    </row>
    <row r="165" spans="2:15">
      <c r="B165" s="216" t="s">
        <v>200</v>
      </c>
      <c r="C165" s="216" t="s">
        <v>172</v>
      </c>
      <c r="D165" s="216" t="s">
        <v>153</v>
      </c>
      <c r="E165" s="216" t="s">
        <v>149</v>
      </c>
    </row>
    <row r="166" spans="2:15">
      <c r="B166" s="217" t="s">
        <v>187</v>
      </c>
      <c r="C166" s="217" t="s">
        <v>155</v>
      </c>
      <c r="D166" s="217" t="s">
        <v>151</v>
      </c>
      <c r="E166" s="217" t="s">
        <v>164</v>
      </c>
    </row>
    <row r="169" spans="2:15">
      <c r="B169" s="201" t="s">
        <v>173</v>
      </c>
    </row>
    <row r="170" spans="2:15">
      <c r="B170" s="195"/>
    </row>
    <row r="171" spans="2:15">
      <c r="B171" s="195" t="s">
        <v>174</v>
      </c>
    </row>
    <row r="172" spans="2:15">
      <c r="B172" s="195" t="s">
        <v>175</v>
      </c>
    </row>
    <row r="175" spans="2:15">
      <c r="B175" s="218"/>
      <c r="C175" s="218"/>
      <c r="D175" s="218"/>
      <c r="E175" s="218"/>
      <c r="F175" s="218"/>
      <c r="G175" s="218"/>
      <c r="H175" s="364"/>
      <c r="I175" s="364"/>
      <c r="J175" s="364"/>
      <c r="K175" s="218"/>
      <c r="L175" s="219"/>
      <c r="M175" s="218"/>
      <c r="N175" s="218"/>
      <c r="O175" s="218"/>
    </row>
    <row r="178" spans="1:5">
      <c r="B178" s="201" t="s">
        <v>176</v>
      </c>
    </row>
    <row r="180" spans="1:5">
      <c r="A180" s="188" t="s">
        <v>71</v>
      </c>
      <c r="B180" s="189" t="s">
        <v>140</v>
      </c>
      <c r="C180" s="189" t="s">
        <v>141</v>
      </c>
      <c r="D180" s="201" t="s">
        <v>109</v>
      </c>
    </row>
    <row r="181" spans="1:5">
      <c r="A181" s="188" t="s">
        <v>72</v>
      </c>
      <c r="B181" s="189" t="s">
        <v>142</v>
      </c>
      <c r="C181" s="189" t="s">
        <v>141</v>
      </c>
      <c r="D181" s="201" t="s">
        <v>193</v>
      </c>
    </row>
    <row r="184" spans="1:5">
      <c r="B184" s="201" t="s">
        <v>178</v>
      </c>
    </row>
    <row r="186" spans="1:5">
      <c r="B186" s="215" t="s">
        <v>145</v>
      </c>
      <c r="C186" s="215" t="s">
        <v>146</v>
      </c>
      <c r="D186" s="215" t="s">
        <v>147</v>
      </c>
      <c r="E186" s="215" t="s">
        <v>148</v>
      </c>
    </row>
    <row r="187" spans="1:5">
      <c r="B187" s="216" t="s">
        <v>97</v>
      </c>
      <c r="C187" s="216" t="s">
        <v>153</v>
      </c>
      <c r="D187" s="216" t="s">
        <v>165</v>
      </c>
      <c r="E187" s="216" t="s">
        <v>156</v>
      </c>
    </row>
    <row r="188" spans="1:5">
      <c r="B188" s="217" t="s">
        <v>391</v>
      </c>
      <c r="C188" s="217" t="s">
        <v>156</v>
      </c>
      <c r="D188" s="217" t="s">
        <v>165</v>
      </c>
      <c r="E188" s="217" t="s">
        <v>156</v>
      </c>
    </row>
    <row r="189" spans="1:5">
      <c r="B189" s="216" t="s">
        <v>109</v>
      </c>
      <c r="C189" s="216" t="s">
        <v>172</v>
      </c>
      <c r="D189" s="216" t="s">
        <v>151</v>
      </c>
      <c r="E189" s="216" t="s">
        <v>149</v>
      </c>
    </row>
    <row r="190" spans="1:5">
      <c r="B190" s="217" t="s">
        <v>193</v>
      </c>
      <c r="C190" s="217" t="s">
        <v>155</v>
      </c>
      <c r="D190" s="217" t="s">
        <v>156</v>
      </c>
      <c r="E190" s="217" t="s">
        <v>153</v>
      </c>
    </row>
    <row r="193" spans="1:15">
      <c r="B193" s="201" t="s">
        <v>182</v>
      </c>
    </row>
    <row r="194" spans="1:15">
      <c r="B194" s="195"/>
    </row>
    <row r="195" spans="1:15">
      <c r="B195" s="195" t="s">
        <v>239</v>
      </c>
    </row>
    <row r="196" spans="1:15">
      <c r="B196" s="195" t="s">
        <v>240</v>
      </c>
    </row>
    <row r="198" spans="1:15">
      <c r="K198" s="218"/>
      <c r="L198" s="219"/>
      <c r="M198" s="218"/>
      <c r="N198" s="218"/>
      <c r="O198" s="218"/>
    </row>
    <row r="199" spans="1:15">
      <c r="B199" s="218"/>
      <c r="C199" s="218"/>
      <c r="D199" s="218"/>
      <c r="E199" s="218"/>
      <c r="F199" s="218"/>
      <c r="G199" s="218"/>
      <c r="H199" s="364"/>
      <c r="I199" s="364"/>
      <c r="J199" s="364"/>
    </row>
    <row r="202" spans="1:15">
      <c r="B202" s="201" t="s">
        <v>184</v>
      </c>
    </row>
    <row r="204" spans="1:15">
      <c r="A204" s="188" t="s">
        <v>73</v>
      </c>
      <c r="B204" s="189" t="s">
        <v>140</v>
      </c>
      <c r="C204" s="189" t="s">
        <v>141</v>
      </c>
      <c r="D204" s="201" t="s">
        <v>143</v>
      </c>
    </row>
    <row r="205" spans="1:15">
      <c r="A205" s="188" t="s">
        <v>74</v>
      </c>
      <c r="B205" s="189" t="s">
        <v>142</v>
      </c>
      <c r="C205" s="189" t="s">
        <v>141</v>
      </c>
      <c r="D205" s="201" t="s">
        <v>209</v>
      </c>
    </row>
    <row r="208" spans="1:15">
      <c r="B208" s="201" t="s">
        <v>186</v>
      </c>
    </row>
    <row r="210" spans="2:15">
      <c r="B210" s="215" t="s">
        <v>145</v>
      </c>
      <c r="C210" s="215" t="s">
        <v>146</v>
      </c>
      <c r="D210" s="215" t="s">
        <v>147</v>
      </c>
      <c r="E210" s="215" t="s">
        <v>148</v>
      </c>
    </row>
    <row r="211" spans="2:15">
      <c r="B211" s="216" t="s">
        <v>209</v>
      </c>
      <c r="C211" s="216" t="s">
        <v>155</v>
      </c>
      <c r="D211" s="216" t="s">
        <v>156</v>
      </c>
      <c r="E211" s="216" t="s">
        <v>149</v>
      </c>
    </row>
    <row r="212" spans="2:15">
      <c r="B212" s="217" t="s">
        <v>392</v>
      </c>
      <c r="C212" s="217" t="s">
        <v>151</v>
      </c>
      <c r="D212" s="217" t="s">
        <v>150</v>
      </c>
      <c r="E212" s="217" t="s">
        <v>151</v>
      </c>
    </row>
    <row r="213" spans="2:15">
      <c r="B213" s="216" t="s">
        <v>143</v>
      </c>
      <c r="C213" s="216" t="s">
        <v>172</v>
      </c>
      <c r="D213" s="216" t="s">
        <v>149</v>
      </c>
      <c r="E213" s="216" t="s">
        <v>155</v>
      </c>
    </row>
    <row r="214" spans="2:15">
      <c r="B214" s="217" t="s">
        <v>210</v>
      </c>
      <c r="C214" s="217" t="s">
        <v>156</v>
      </c>
      <c r="D214" s="217" t="s">
        <v>162</v>
      </c>
      <c r="E214" s="217" t="s">
        <v>156</v>
      </c>
    </row>
    <row r="217" spans="2:15">
      <c r="B217" s="201" t="s">
        <v>189</v>
      </c>
    </row>
    <row r="218" spans="2:15">
      <c r="B218" s="195"/>
    </row>
    <row r="219" spans="2:15">
      <c r="B219" s="195" t="s">
        <v>190</v>
      </c>
    </row>
    <row r="220" spans="2:15">
      <c r="B220" s="195" t="s">
        <v>191</v>
      </c>
    </row>
    <row r="222" spans="2:15">
      <c r="K222" s="218"/>
      <c r="L222" s="219"/>
      <c r="M222" s="218"/>
      <c r="N222" s="218"/>
      <c r="O222" s="218"/>
    </row>
    <row r="223" spans="2:15">
      <c r="B223" s="218"/>
      <c r="C223" s="218"/>
      <c r="D223" s="218"/>
      <c r="E223" s="218"/>
      <c r="F223" s="218"/>
      <c r="G223" s="218"/>
      <c r="H223" s="364"/>
      <c r="I223" s="364"/>
      <c r="J223" s="364"/>
    </row>
    <row r="226" spans="1:5">
      <c r="B226" s="201" t="s">
        <v>192</v>
      </c>
    </row>
    <row r="228" spans="1:5">
      <c r="A228" s="188" t="s">
        <v>75</v>
      </c>
      <c r="B228" s="189" t="s">
        <v>140</v>
      </c>
      <c r="C228" s="189" t="s">
        <v>141</v>
      </c>
      <c r="D228" s="201" t="s">
        <v>102</v>
      </c>
    </row>
    <row r="229" spans="1:5">
      <c r="A229" s="188" t="s">
        <v>76</v>
      </c>
      <c r="B229" s="189" t="s">
        <v>142</v>
      </c>
      <c r="C229" s="189" t="s">
        <v>141</v>
      </c>
      <c r="D229" s="201" t="s">
        <v>108</v>
      </c>
    </row>
    <row r="232" spans="1:5">
      <c r="B232" s="201" t="s">
        <v>194</v>
      </c>
    </row>
    <row r="234" spans="1:5">
      <c r="B234" s="215" t="s">
        <v>145</v>
      </c>
      <c r="C234" s="215" t="s">
        <v>146</v>
      </c>
      <c r="D234" s="215" t="s">
        <v>147</v>
      </c>
      <c r="E234" s="215" t="s">
        <v>148</v>
      </c>
    </row>
    <row r="235" spans="1:5">
      <c r="B235" s="216" t="s">
        <v>102</v>
      </c>
      <c r="C235" s="216" t="s">
        <v>172</v>
      </c>
      <c r="D235" s="216" t="s">
        <v>243</v>
      </c>
      <c r="E235" s="216" t="s">
        <v>254</v>
      </c>
    </row>
    <row r="236" spans="1:5">
      <c r="B236" s="217" t="s">
        <v>572</v>
      </c>
      <c r="C236" s="217" t="s">
        <v>156</v>
      </c>
      <c r="D236" s="217" t="s">
        <v>180</v>
      </c>
      <c r="E236" s="217" t="s">
        <v>156</v>
      </c>
    </row>
    <row r="237" spans="1:5">
      <c r="B237" s="216" t="s">
        <v>394</v>
      </c>
      <c r="C237" s="216" t="s">
        <v>156</v>
      </c>
      <c r="D237" s="216" t="s">
        <v>188</v>
      </c>
      <c r="E237" s="216" t="s">
        <v>150</v>
      </c>
    </row>
    <row r="238" spans="1:5">
      <c r="B238" s="217" t="s">
        <v>108</v>
      </c>
      <c r="C238" s="217" t="s">
        <v>172</v>
      </c>
      <c r="D238" s="217" t="s">
        <v>151</v>
      </c>
      <c r="E238" s="217" t="s">
        <v>155</v>
      </c>
    </row>
    <row r="241" spans="1:15">
      <c r="B241" s="201" t="s">
        <v>195</v>
      </c>
    </row>
    <row r="242" spans="1:15">
      <c r="B242" s="195"/>
    </row>
    <row r="243" spans="1:15">
      <c r="B243" s="195" t="s">
        <v>242</v>
      </c>
    </row>
    <row r="244" spans="1:15">
      <c r="B244" s="195"/>
    </row>
    <row r="246" spans="1:15">
      <c r="K246" s="218"/>
      <c r="L246" s="219"/>
      <c r="M246" s="218"/>
      <c r="N246" s="218"/>
      <c r="O246" s="218"/>
    </row>
    <row r="247" spans="1:15">
      <c r="B247" s="218"/>
      <c r="C247" s="218"/>
      <c r="D247" s="218"/>
      <c r="E247" s="218"/>
      <c r="F247" s="218"/>
      <c r="G247" s="218"/>
      <c r="H247" s="364"/>
      <c r="I247" s="364"/>
      <c r="J247" s="364"/>
    </row>
    <row r="250" spans="1:15">
      <c r="B250" s="201" t="s">
        <v>198</v>
      </c>
    </row>
    <row r="252" spans="1:15">
      <c r="A252" s="188" t="s">
        <v>77</v>
      </c>
      <c r="B252" s="189" t="s">
        <v>140</v>
      </c>
      <c r="C252" s="189" t="s">
        <v>141</v>
      </c>
      <c r="D252" s="201" t="s">
        <v>181</v>
      </c>
    </row>
    <row r="253" spans="1:15">
      <c r="A253" s="188" t="s">
        <v>78</v>
      </c>
      <c r="B253" s="189" t="s">
        <v>142</v>
      </c>
      <c r="C253" s="189" t="s">
        <v>141</v>
      </c>
      <c r="D253" s="201" t="s">
        <v>177</v>
      </c>
    </row>
    <row r="256" spans="1:15">
      <c r="B256" s="201" t="s">
        <v>201</v>
      </c>
    </row>
    <row r="258" spans="2:15">
      <c r="B258" s="215" t="s">
        <v>145</v>
      </c>
      <c r="C258" s="215" t="s">
        <v>146</v>
      </c>
      <c r="D258" s="215" t="s">
        <v>147</v>
      </c>
      <c r="E258" s="215" t="s">
        <v>148</v>
      </c>
    </row>
    <row r="259" spans="2:15">
      <c r="B259" s="216" t="s">
        <v>177</v>
      </c>
      <c r="C259" s="216" t="s">
        <v>155</v>
      </c>
      <c r="D259" s="216" t="s">
        <v>156</v>
      </c>
      <c r="E259" s="216" t="s">
        <v>155</v>
      </c>
    </row>
    <row r="260" spans="2:15">
      <c r="B260" s="217" t="s">
        <v>202</v>
      </c>
      <c r="C260" s="217" t="s">
        <v>155</v>
      </c>
      <c r="D260" s="217" t="s">
        <v>156</v>
      </c>
      <c r="E260" s="217" t="s">
        <v>151</v>
      </c>
    </row>
    <row r="261" spans="2:15">
      <c r="B261" s="216" t="s">
        <v>181</v>
      </c>
      <c r="C261" s="216" t="s">
        <v>155</v>
      </c>
      <c r="D261" s="216" t="s">
        <v>153</v>
      </c>
      <c r="E261" s="216" t="s">
        <v>155</v>
      </c>
    </row>
    <row r="262" spans="2:15">
      <c r="B262" s="217" t="s">
        <v>32</v>
      </c>
      <c r="C262" s="217" t="s">
        <v>150</v>
      </c>
      <c r="D262" s="217" t="s">
        <v>180</v>
      </c>
      <c r="E262" s="217" t="s">
        <v>156</v>
      </c>
    </row>
    <row r="265" spans="2:15">
      <c r="B265" s="201" t="s">
        <v>203</v>
      </c>
    </row>
    <row r="266" spans="2:15">
      <c r="B266" s="195"/>
    </row>
    <row r="267" spans="2:15">
      <c r="B267" s="195" t="s">
        <v>533</v>
      </c>
    </row>
    <row r="268" spans="2:15">
      <c r="B268" s="195" t="s">
        <v>534</v>
      </c>
    </row>
    <row r="270" spans="2:15">
      <c r="B270" s="218"/>
      <c r="C270" s="218"/>
      <c r="D270" s="218"/>
      <c r="E270" s="218"/>
      <c r="F270" s="218"/>
      <c r="G270" s="218"/>
      <c r="K270" s="218"/>
      <c r="L270" s="219"/>
      <c r="M270" s="218"/>
      <c r="N270" s="218"/>
      <c r="O270" s="218"/>
    </row>
    <row r="271" spans="2:15">
      <c r="H271" s="364"/>
      <c r="I271" s="364"/>
      <c r="J271" s="364"/>
    </row>
    <row r="274" spans="1:5">
      <c r="B274" s="201" t="s">
        <v>206</v>
      </c>
    </row>
    <row r="276" spans="1:5">
      <c r="A276" s="188" t="s">
        <v>79</v>
      </c>
      <c r="B276" s="189" t="s">
        <v>140</v>
      </c>
      <c r="C276" s="189" t="s">
        <v>141</v>
      </c>
      <c r="D276" s="201" t="s">
        <v>395</v>
      </c>
    </row>
    <row r="277" spans="1:5">
      <c r="A277" s="188" t="s">
        <v>80</v>
      </c>
      <c r="B277" s="189" t="s">
        <v>142</v>
      </c>
      <c r="C277" s="189" t="s">
        <v>141</v>
      </c>
      <c r="D277" s="201" t="s">
        <v>104</v>
      </c>
    </row>
    <row r="280" spans="1:5">
      <c r="B280" s="201" t="s">
        <v>208</v>
      </c>
    </row>
    <row r="282" spans="1:5">
      <c r="B282" s="215" t="s">
        <v>145</v>
      </c>
      <c r="C282" s="215" t="s">
        <v>146</v>
      </c>
      <c r="D282" s="215" t="s">
        <v>147</v>
      </c>
      <c r="E282" s="215" t="s">
        <v>148</v>
      </c>
    </row>
    <row r="283" spans="1:5">
      <c r="B283" s="216" t="s">
        <v>395</v>
      </c>
      <c r="C283" s="216" t="s">
        <v>172</v>
      </c>
      <c r="D283" s="216" t="s">
        <v>149</v>
      </c>
      <c r="E283" s="216" t="s">
        <v>172</v>
      </c>
    </row>
    <row r="284" spans="1:5">
      <c r="B284" s="217" t="s">
        <v>110</v>
      </c>
      <c r="C284" s="217" t="s">
        <v>156</v>
      </c>
      <c r="D284" s="217" t="s">
        <v>241</v>
      </c>
      <c r="E284" s="217" t="s">
        <v>156</v>
      </c>
    </row>
    <row r="285" spans="1:5">
      <c r="B285" s="216" t="s">
        <v>396</v>
      </c>
      <c r="C285" s="216" t="s">
        <v>149</v>
      </c>
      <c r="D285" s="216" t="s">
        <v>150</v>
      </c>
      <c r="E285" s="216" t="s">
        <v>155</v>
      </c>
    </row>
    <row r="286" spans="1:5">
      <c r="B286" s="217" t="s">
        <v>104</v>
      </c>
      <c r="C286" s="217" t="s">
        <v>149</v>
      </c>
      <c r="D286" s="217" t="s">
        <v>153</v>
      </c>
      <c r="E286" s="217" t="s">
        <v>155</v>
      </c>
    </row>
    <row r="289" spans="2:15">
      <c r="B289" s="201" t="s">
        <v>211</v>
      </c>
    </row>
    <row r="290" spans="2:15">
      <c r="B290" s="195"/>
    </row>
    <row r="291" spans="2:15">
      <c r="B291" s="195" t="s">
        <v>212</v>
      </c>
    </row>
    <row r="292" spans="2:15">
      <c r="B292" s="195" t="s">
        <v>258</v>
      </c>
    </row>
    <row r="295" spans="2:15">
      <c r="B295" s="218"/>
      <c r="C295" s="218"/>
      <c r="D295" s="218"/>
      <c r="E295" s="218"/>
      <c r="F295" s="218"/>
      <c r="G295" s="218"/>
      <c r="H295" s="364"/>
      <c r="I295" s="364"/>
      <c r="J295" s="364"/>
      <c r="K295" s="218"/>
      <c r="L295" s="219"/>
      <c r="M295" s="218"/>
      <c r="N295" s="218"/>
      <c r="O295" s="218"/>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34.xml><?xml version="1.0" encoding="utf-8"?>
<worksheet xmlns="http://schemas.openxmlformats.org/spreadsheetml/2006/main" xmlns:r="http://schemas.openxmlformats.org/officeDocument/2006/relationships">
  <sheetPr codeName="Blad7">
    <tabColor rgb="FFFFC000"/>
  </sheetPr>
  <dimension ref="A1:U325"/>
  <sheetViews>
    <sheetView zoomScale="80" zoomScaleNormal="80" workbookViewId="0">
      <selection activeCell="F12" sqref="F12"/>
    </sheetView>
  </sheetViews>
  <sheetFormatPr defaultRowHeight="15"/>
  <cols>
    <col min="1" max="1" width="6.7109375" style="188" customWidth="1"/>
    <col min="2" max="4" width="9.140625" style="189"/>
    <col min="5" max="5" width="15.140625" style="189" customWidth="1"/>
    <col min="6" max="6" width="5" style="189" customWidth="1"/>
    <col min="7" max="7" width="14" style="189" customWidth="1"/>
    <col min="8" max="10" width="4.42578125" style="363" customWidth="1"/>
    <col min="11" max="11" width="7.28515625" style="189" customWidth="1"/>
    <col min="12" max="12" width="3.28515625" style="190" customWidth="1"/>
    <col min="13" max="13" width="4.28515625" style="189" customWidth="1"/>
    <col min="14" max="14" width="2.85546875" style="189" customWidth="1"/>
    <col min="15" max="15" width="4.28515625" style="189" customWidth="1"/>
    <col min="16" max="16384" width="9.140625" style="189"/>
  </cols>
  <sheetData>
    <row r="1" spans="1:21" s="193" customFormat="1" ht="21">
      <c r="A1" s="191"/>
      <c r="B1" s="192" t="s">
        <v>270</v>
      </c>
      <c r="L1" s="194"/>
      <c r="P1" s="193">
        <f>SUM(P14:P101)+E11+H11+L7+L11+Q11</f>
        <v>520</v>
      </c>
    </row>
    <row r="2" spans="1:21" s="195" customFormat="1" ht="15" customHeight="1">
      <c r="B2" s="196" t="s">
        <v>86</v>
      </c>
      <c r="G2" s="196" t="s">
        <v>87</v>
      </c>
      <c r="J2" s="196" t="s">
        <v>88</v>
      </c>
      <c r="L2" s="197"/>
      <c r="U2" s="195" t="s">
        <v>464</v>
      </c>
    </row>
    <row r="3" spans="1:21" s="195" customFormat="1" ht="15" customHeight="1">
      <c r="B3" s="224" t="str">
        <f t="shared" ref="B3:B10" si="0">E78</f>
        <v>Brazilië</v>
      </c>
      <c r="C3" s="222">
        <f t="shared" ref="C3:C10" si="1">IF(ISNA(MATCH(B3,teams_achtste,0)),0,10)</f>
        <v>10</v>
      </c>
      <c r="D3" s="224" t="str">
        <f t="shared" ref="D3:D10" si="2">G78</f>
        <v>Nederland</v>
      </c>
      <c r="E3" s="222">
        <f t="shared" ref="E3:E10" si="3">IF(ISNA(MATCH(D3,teams_achtste,0)),0,10)</f>
        <v>10</v>
      </c>
      <c r="F3" s="339" t="s">
        <v>449</v>
      </c>
      <c r="G3" s="195" t="str">
        <f>E88</f>
        <v>Brazilië</v>
      </c>
      <c r="H3" s="222">
        <f t="shared" ref="H3:H10" si="4">IF(ISNA(MATCH(G3,teams_kwart,0)),0,15)</f>
        <v>15</v>
      </c>
      <c r="I3" s="339" t="s">
        <v>457</v>
      </c>
      <c r="J3" s="195" t="str">
        <f>E94</f>
        <v>Brazilië</v>
      </c>
      <c r="L3" s="222">
        <f>IF(ISNA(MATCH(J3,teams_halve,0)),0,20)</f>
        <v>20</v>
      </c>
      <c r="Q3" s="223"/>
    </row>
    <row r="4" spans="1:21" s="195" customFormat="1" ht="15" customHeight="1">
      <c r="B4" s="224" t="str">
        <f t="shared" si="0"/>
        <v>Colombia</v>
      </c>
      <c r="C4" s="222">
        <f t="shared" si="1"/>
        <v>10</v>
      </c>
      <c r="D4" s="224" t="str">
        <f t="shared" si="2"/>
        <v>Italië</v>
      </c>
      <c r="E4" s="222">
        <f t="shared" si="3"/>
        <v>0</v>
      </c>
      <c r="F4" s="339" t="s">
        <v>450</v>
      </c>
      <c r="G4" s="195" t="str">
        <f>G88</f>
        <v>Colombia</v>
      </c>
      <c r="H4" s="222">
        <f t="shared" si="4"/>
        <v>15</v>
      </c>
      <c r="I4" s="339" t="s">
        <v>458</v>
      </c>
      <c r="J4" s="195" t="str">
        <f>G94</f>
        <v>Duitsland</v>
      </c>
      <c r="L4" s="222">
        <f>IF(ISNA(MATCH(J4,teams_halve,0)),0,20)</f>
        <v>20</v>
      </c>
      <c r="Q4" s="224"/>
    </row>
    <row r="5" spans="1:21" s="195" customFormat="1" ht="15" customHeight="1">
      <c r="B5" s="224" t="str">
        <f t="shared" si="0"/>
        <v>Spanje</v>
      </c>
      <c r="C5" s="222">
        <f t="shared" si="1"/>
        <v>0</v>
      </c>
      <c r="D5" s="224" t="str">
        <f t="shared" si="2"/>
        <v>Mexico</v>
      </c>
      <c r="E5" s="222">
        <f t="shared" si="3"/>
        <v>10</v>
      </c>
      <c r="F5" s="339" t="s">
        <v>451</v>
      </c>
      <c r="G5" s="195" t="str">
        <f>E90</f>
        <v>Spanje</v>
      </c>
      <c r="H5" s="222">
        <f t="shared" si="4"/>
        <v>0</v>
      </c>
      <c r="I5" s="339" t="s">
        <v>459</v>
      </c>
      <c r="J5" s="195" t="str">
        <f>E95</f>
        <v>Spanje</v>
      </c>
      <c r="L5" s="222">
        <f>IF(ISNA(MATCH(J5,teams_halve,0)),0,20)</f>
        <v>0</v>
      </c>
    </row>
    <row r="6" spans="1:21" s="195" customFormat="1" ht="15" customHeight="1">
      <c r="B6" s="224" t="str">
        <f t="shared" si="0"/>
        <v>Uruguay</v>
      </c>
      <c r="C6" s="222">
        <f t="shared" si="1"/>
        <v>10</v>
      </c>
      <c r="D6" s="224" t="str">
        <f t="shared" si="2"/>
        <v>Ivoorkust</v>
      </c>
      <c r="E6" s="222">
        <f t="shared" si="3"/>
        <v>0</v>
      </c>
      <c r="F6" s="339" t="s">
        <v>452</v>
      </c>
      <c r="G6" s="195" t="str">
        <f>G90</f>
        <v>Ivoorkust</v>
      </c>
      <c r="H6" s="222">
        <f t="shared" si="4"/>
        <v>0</v>
      </c>
      <c r="I6" s="339" t="s">
        <v>460</v>
      </c>
      <c r="J6" s="195" t="str">
        <f>G95</f>
        <v>Argentinië</v>
      </c>
      <c r="L6" s="222">
        <f>IF(ISNA(MATCH(J6,teams_halve,0)),0,20)</f>
        <v>20</v>
      </c>
    </row>
    <row r="7" spans="1:21" s="195" customFormat="1" ht="15" customHeight="1">
      <c r="B7" s="224" t="str">
        <f t="shared" si="0"/>
        <v>Frankrijk</v>
      </c>
      <c r="C7" s="222">
        <f t="shared" si="1"/>
        <v>10</v>
      </c>
      <c r="D7" s="224" t="str">
        <f t="shared" si="2"/>
        <v>Bosnië en Herzegovina</v>
      </c>
      <c r="E7" s="222">
        <f t="shared" si="3"/>
        <v>0</v>
      </c>
      <c r="F7" s="339" t="s">
        <v>453</v>
      </c>
      <c r="G7" s="195" t="str">
        <f>E89</f>
        <v>Frankrijk</v>
      </c>
      <c r="H7" s="222">
        <f t="shared" si="4"/>
        <v>15</v>
      </c>
      <c r="I7" s="339"/>
      <c r="J7" s="198" t="s">
        <v>83</v>
      </c>
      <c r="K7" s="199"/>
      <c r="L7" s="225">
        <f>SUM(L3:L6)</f>
        <v>60</v>
      </c>
    </row>
    <row r="8" spans="1:21" s="195" customFormat="1" ht="15" customHeight="1">
      <c r="B8" s="224" t="str">
        <f t="shared" si="0"/>
        <v>Duitsland</v>
      </c>
      <c r="C8" s="222">
        <f t="shared" si="1"/>
        <v>10</v>
      </c>
      <c r="D8" s="224" t="str">
        <f t="shared" si="2"/>
        <v>Rusland</v>
      </c>
      <c r="E8" s="222">
        <f t="shared" si="3"/>
        <v>0</v>
      </c>
      <c r="F8" s="339" t="s">
        <v>454</v>
      </c>
      <c r="G8" s="195" t="str">
        <f>G89</f>
        <v>Duitsland</v>
      </c>
      <c r="H8" s="222">
        <f t="shared" si="4"/>
        <v>15</v>
      </c>
      <c r="I8" s="339"/>
      <c r="J8" s="196" t="s">
        <v>48</v>
      </c>
      <c r="L8" s="197"/>
      <c r="P8" s="196" t="s">
        <v>579</v>
      </c>
    </row>
    <row r="9" spans="1:21" s="195" customFormat="1" ht="15" customHeight="1">
      <c r="B9" s="224" t="str">
        <f t="shared" si="0"/>
        <v>Argentinië</v>
      </c>
      <c r="C9" s="222">
        <f t="shared" si="1"/>
        <v>10</v>
      </c>
      <c r="D9" s="224" t="str">
        <f t="shared" si="2"/>
        <v>Ecuador</v>
      </c>
      <c r="E9" s="222">
        <f t="shared" si="3"/>
        <v>0</v>
      </c>
      <c r="F9" s="339" t="s">
        <v>455</v>
      </c>
      <c r="G9" s="195" t="str">
        <f>E91</f>
        <v>Argentinië</v>
      </c>
      <c r="H9" s="222">
        <f t="shared" si="4"/>
        <v>15</v>
      </c>
      <c r="I9" s="339" t="s">
        <v>461</v>
      </c>
      <c r="J9" s="195" t="str">
        <f>E101</f>
        <v>Duitsland</v>
      </c>
      <c r="L9" s="222">
        <f>IF(ISNA(MATCH(J9,teams_fin,0)),0,30)</f>
        <v>30</v>
      </c>
      <c r="P9" s="444" t="str">
        <f>E98</f>
        <v>Brazilië</v>
      </c>
      <c r="Q9" s="222">
        <f>IF(ISNA(MATCH(P9,teams_troost,0)),0,25)</f>
        <v>25</v>
      </c>
    </row>
    <row r="10" spans="1:21" s="195" customFormat="1" ht="15" customHeight="1">
      <c r="B10" s="224" t="str">
        <f t="shared" si="0"/>
        <v>België</v>
      </c>
      <c r="C10" s="222">
        <f t="shared" si="1"/>
        <v>10</v>
      </c>
      <c r="D10" s="224" t="str">
        <f t="shared" si="2"/>
        <v>Portugal</v>
      </c>
      <c r="E10" s="222">
        <f t="shared" si="3"/>
        <v>0</v>
      </c>
      <c r="F10" s="339" t="s">
        <v>456</v>
      </c>
      <c r="G10" s="195" t="str">
        <f>G91</f>
        <v>België</v>
      </c>
      <c r="H10" s="222">
        <f t="shared" si="4"/>
        <v>15</v>
      </c>
      <c r="I10" s="339" t="s">
        <v>462</v>
      </c>
      <c r="J10" s="195" t="str">
        <f>G101</f>
        <v>Argentinië</v>
      </c>
      <c r="L10" s="222">
        <f>IF(ISNA(MATCH(J10,teams_fin,0)),0,30)</f>
        <v>30</v>
      </c>
      <c r="P10" s="444" t="str">
        <f>G98</f>
        <v>Spanje</v>
      </c>
      <c r="Q10" s="222">
        <f>IF(ISNA(MATCH(P10,teams_troost,0)),0,25)</f>
        <v>0</v>
      </c>
    </row>
    <row r="11" spans="1:21" s="195" customFormat="1" ht="15" customHeight="1">
      <c r="D11" s="198" t="s">
        <v>89</v>
      </c>
      <c r="E11" s="225">
        <f>SUM(C3:E10)</f>
        <v>90</v>
      </c>
      <c r="G11" s="198" t="s">
        <v>82</v>
      </c>
      <c r="H11" s="225">
        <f>SUM(H3:H10)</f>
        <v>90</v>
      </c>
      <c r="J11" s="198" t="s">
        <v>90</v>
      </c>
      <c r="K11" s="199"/>
      <c r="L11" s="225">
        <f>SUM(L9:L10)</f>
        <v>60</v>
      </c>
      <c r="P11" s="199"/>
      <c r="Q11" s="225">
        <f>SUM(Q9:Q10)</f>
        <v>25</v>
      </c>
    </row>
    <row r="12" spans="1:21">
      <c r="B12" s="201" t="s">
        <v>19</v>
      </c>
      <c r="C12" s="201"/>
      <c r="D12" s="339" t="s">
        <v>463</v>
      </c>
      <c r="E12" s="202" t="s">
        <v>102</v>
      </c>
      <c r="F12" s="226">
        <f>IF(ISNA(MATCH(E12,Invulblad!F104,0)),0,50)</f>
        <v>0</v>
      </c>
      <c r="G12" s="201"/>
      <c r="H12" s="201"/>
      <c r="I12" s="201"/>
      <c r="J12" s="201"/>
      <c r="K12" s="201"/>
      <c r="L12" s="203"/>
      <c r="M12" s="201"/>
      <c r="N12" s="201"/>
      <c r="O12" s="201"/>
    </row>
    <row r="13" spans="1:21">
      <c r="A13" s="188" t="s">
        <v>91</v>
      </c>
      <c r="B13" s="204" t="s">
        <v>272</v>
      </c>
      <c r="C13" s="332" t="s">
        <v>420</v>
      </c>
      <c r="D13" s="333" t="s">
        <v>421</v>
      </c>
      <c r="E13" s="189" t="s">
        <v>145</v>
      </c>
      <c r="F13" s="189" t="s">
        <v>29</v>
      </c>
      <c r="G13" s="189" t="s">
        <v>145</v>
      </c>
      <c r="H13" s="365" t="s">
        <v>93</v>
      </c>
      <c r="I13" s="365"/>
      <c r="J13" s="365"/>
      <c r="K13" s="206" t="s">
        <v>20</v>
      </c>
      <c r="L13" s="207"/>
      <c r="M13" s="206" t="s">
        <v>94</v>
      </c>
      <c r="N13" s="206"/>
      <c r="O13" s="206"/>
      <c r="P13" s="201" t="s">
        <v>95</v>
      </c>
    </row>
    <row r="14" spans="1:21">
      <c r="A14" s="188">
        <v>1</v>
      </c>
      <c r="B14" s="195">
        <v>1</v>
      </c>
      <c r="C14" s="332">
        <v>41802</v>
      </c>
      <c r="D14" s="333">
        <v>0.91666666666666663</v>
      </c>
      <c r="E14" s="189" t="s">
        <v>557</v>
      </c>
      <c r="F14" s="189" t="s">
        <v>29</v>
      </c>
      <c r="G14" s="189" t="s">
        <v>558</v>
      </c>
      <c r="H14" s="366">
        <v>2</v>
      </c>
      <c r="I14" s="366" t="s">
        <v>29</v>
      </c>
      <c r="J14" s="366">
        <v>0</v>
      </c>
      <c r="K14" s="212" t="str">
        <f t="shared" ref="K14:K49" si="5">IF(AND(H14="",J14=""),"",IF(OR(H14="",J14=""),"FOUT",IF(H14&gt;J14,"1",IF(H14=J14,3,2))))</f>
        <v>1</v>
      </c>
      <c r="L14" s="210" t="str">
        <f>VLOOKUP($B14,Invulblad!$A$11:$S$103,13,0)</f>
        <v>1</v>
      </c>
      <c r="M14" s="211">
        <f>IF(L14&lt;&gt;"",VLOOKUP($B14,Invulblad!$A$11:$S$103,7,0),"")</f>
        <v>3</v>
      </c>
      <c r="N14" s="209" t="s">
        <v>29</v>
      </c>
      <c r="O14" s="211">
        <f>IF(L14&lt;&gt;"",VLOOKUP($B14,Invulblad!$A$11:$S$103,9,0),"")</f>
        <v>1</v>
      </c>
      <c r="P14" s="212">
        <f t="shared" ref="P14:P19" si="6">IF(L14&lt;&gt;"",IF(AND(M14=H14,O14=J14),10,IF(K14=L14,5,0)),"")</f>
        <v>5</v>
      </c>
    </row>
    <row r="15" spans="1:21">
      <c r="A15" s="188">
        <v>2</v>
      </c>
      <c r="B15" s="195">
        <v>2</v>
      </c>
      <c r="C15" s="332">
        <v>41803</v>
      </c>
      <c r="D15" s="333">
        <v>0.75</v>
      </c>
      <c r="E15" s="189" t="s">
        <v>101</v>
      </c>
      <c r="F15" s="189" t="s">
        <v>29</v>
      </c>
      <c r="G15" s="189" t="s">
        <v>119</v>
      </c>
      <c r="H15" s="366">
        <v>1</v>
      </c>
      <c r="I15" s="366" t="s">
        <v>29</v>
      </c>
      <c r="J15" s="366">
        <v>1</v>
      </c>
      <c r="K15" s="212">
        <f t="shared" si="5"/>
        <v>3</v>
      </c>
      <c r="L15" s="210" t="str">
        <f>VLOOKUP($B15,Invulblad!$A$11:$S$103,13,0)</f>
        <v>1</v>
      </c>
      <c r="M15" s="211">
        <f>IF(L15&lt;&gt;"",VLOOKUP($B15,Invulblad!$A$11:$S$103,7,0),"")</f>
        <v>1</v>
      </c>
      <c r="N15" s="209" t="s">
        <v>29</v>
      </c>
      <c r="O15" s="211">
        <f>IF(L15&lt;&gt;"",VLOOKUP($B15,Invulblad!$A$11:$S$103,9,0),"")</f>
        <v>0</v>
      </c>
      <c r="P15" s="212">
        <f t="shared" si="6"/>
        <v>0</v>
      </c>
    </row>
    <row r="16" spans="1:21">
      <c r="A16" s="188">
        <v>3</v>
      </c>
      <c r="B16" s="195">
        <v>17</v>
      </c>
      <c r="C16" s="332">
        <v>41807</v>
      </c>
      <c r="D16" s="333">
        <v>0.875</v>
      </c>
      <c r="E16" s="189" t="s">
        <v>557</v>
      </c>
      <c r="F16" s="189" t="s">
        <v>29</v>
      </c>
      <c r="G16" s="189" t="s">
        <v>96</v>
      </c>
      <c r="H16" s="366">
        <v>1</v>
      </c>
      <c r="I16" s="366" t="s">
        <v>29</v>
      </c>
      <c r="J16" s="366">
        <v>0</v>
      </c>
      <c r="K16" s="212" t="str">
        <f t="shared" si="5"/>
        <v>1</v>
      </c>
      <c r="L16" s="210">
        <f>VLOOKUP($B16,Invulblad!$A$11:$S$103,13,0)</f>
        <v>3</v>
      </c>
      <c r="M16" s="211">
        <f>IF(L16&lt;&gt;"",VLOOKUP($B16,Invulblad!$A$11:$S$103,7,0),"")</f>
        <v>0</v>
      </c>
      <c r="N16" s="209" t="s">
        <v>29</v>
      </c>
      <c r="O16" s="211">
        <f>IF(L16&lt;&gt;"",VLOOKUP($B16,Invulblad!$A$11:$S$103,9,0),"")</f>
        <v>0</v>
      </c>
      <c r="P16" s="212">
        <f t="shared" si="6"/>
        <v>0</v>
      </c>
    </row>
    <row r="17" spans="1:16">
      <c r="A17" s="188">
        <v>4</v>
      </c>
      <c r="B17" s="195">
        <v>18</v>
      </c>
      <c r="C17" s="332">
        <v>41809</v>
      </c>
      <c r="D17" s="333">
        <v>0</v>
      </c>
      <c r="E17" s="189" t="s">
        <v>121</v>
      </c>
      <c r="F17" s="189" t="s">
        <v>29</v>
      </c>
      <c r="G17" s="189" t="s">
        <v>558</v>
      </c>
      <c r="H17" s="366">
        <v>0</v>
      </c>
      <c r="I17" s="366" t="s">
        <v>29</v>
      </c>
      <c r="J17" s="366">
        <v>1</v>
      </c>
      <c r="K17" s="212">
        <f t="shared" si="5"/>
        <v>2</v>
      </c>
      <c r="L17" s="210">
        <f>VLOOKUP($B17,Invulblad!$A$11:$S$103,13,0)</f>
        <v>2</v>
      </c>
      <c r="M17" s="211">
        <f>IF(L17&lt;&gt;"",VLOOKUP($B17,Invulblad!$A$11:$S$103,7,0),"")</f>
        <v>0</v>
      </c>
      <c r="N17" s="209" t="s">
        <v>29</v>
      </c>
      <c r="O17" s="211">
        <f>IF(L17&lt;&gt;"",VLOOKUP($B17,Invulblad!$A$11:$S$103,9,0),"")</f>
        <v>4</v>
      </c>
      <c r="P17" s="212">
        <f t="shared" si="6"/>
        <v>5</v>
      </c>
    </row>
    <row r="18" spans="1:16">
      <c r="A18" s="188">
        <v>5</v>
      </c>
      <c r="B18" s="195">
        <v>33</v>
      </c>
      <c r="C18" s="332">
        <v>41813</v>
      </c>
      <c r="D18" s="333">
        <v>0.91666666666666663</v>
      </c>
      <c r="E18" s="189" t="s">
        <v>121</v>
      </c>
      <c r="F18" s="189" t="s">
        <v>29</v>
      </c>
      <c r="G18" s="189" t="s">
        <v>559</v>
      </c>
      <c r="H18" s="366">
        <v>0</v>
      </c>
      <c r="I18" s="366" t="s">
        <v>29</v>
      </c>
      <c r="J18" s="366">
        <v>2</v>
      </c>
      <c r="K18" s="212">
        <f t="shared" si="5"/>
        <v>2</v>
      </c>
      <c r="L18" s="210">
        <f>VLOOKUP($B18,Invulblad!$A$11:$S$103,13,0)</f>
        <v>2</v>
      </c>
      <c r="M18" s="211">
        <f>IF(L18&lt;&gt;"",VLOOKUP($B18,Invulblad!$A$11:$S$103,7,0),"")</f>
        <v>1</v>
      </c>
      <c r="N18" s="209" t="s">
        <v>29</v>
      </c>
      <c r="O18" s="211">
        <f>IF(L18&lt;&gt;"",VLOOKUP($B18,Invulblad!$A$11:$S$103,9,0),"")</f>
        <v>4</v>
      </c>
      <c r="P18" s="212">
        <f t="shared" si="6"/>
        <v>5</v>
      </c>
    </row>
    <row r="19" spans="1:16">
      <c r="A19" s="188">
        <v>6</v>
      </c>
      <c r="B19" s="195">
        <v>34</v>
      </c>
      <c r="C19" s="332">
        <v>41813</v>
      </c>
      <c r="D19" s="333">
        <v>0.91666666666666663</v>
      </c>
      <c r="E19" s="189" t="s">
        <v>560</v>
      </c>
      <c r="F19" s="189" t="s">
        <v>29</v>
      </c>
      <c r="G19" s="189" t="s">
        <v>96</v>
      </c>
      <c r="H19" s="366">
        <v>1</v>
      </c>
      <c r="I19" s="366" t="s">
        <v>29</v>
      </c>
      <c r="J19" s="366">
        <v>2</v>
      </c>
      <c r="K19" s="212">
        <f t="shared" si="5"/>
        <v>2</v>
      </c>
      <c r="L19" s="210">
        <f>VLOOKUP($B19,Invulblad!$A$11:$S$103,13,0)</f>
        <v>2</v>
      </c>
      <c r="M19" s="211">
        <f>IF(L19&lt;&gt;"",VLOOKUP($B19,Invulblad!$A$11:$S$103,7,0),"")</f>
        <v>1</v>
      </c>
      <c r="N19" s="209" t="s">
        <v>29</v>
      </c>
      <c r="O19" s="211">
        <f>IF(L19&lt;&gt;"",VLOOKUP($B19,Invulblad!$A$11:$S$103,9,0),"")</f>
        <v>3</v>
      </c>
      <c r="P19" s="212">
        <f t="shared" si="6"/>
        <v>5</v>
      </c>
    </row>
    <row r="20" spans="1:16">
      <c r="A20" s="188">
        <v>7</v>
      </c>
      <c r="B20" s="201" t="s">
        <v>30</v>
      </c>
      <c r="H20" s="367"/>
      <c r="I20" s="367"/>
      <c r="J20" s="367"/>
      <c r="K20" s="213" t="str">
        <f t="shared" si="5"/>
        <v/>
      </c>
      <c r="L20" s="210"/>
      <c r="M20" s="211" t="str">
        <f>IF(L20&lt;&gt;"",VLOOKUP($B20,Invulblad!$A$11:$S$103,7,0),"")</f>
        <v/>
      </c>
      <c r="N20" s="201"/>
      <c r="O20" s="211" t="str">
        <f>IF(L20&lt;&gt;"",VLOOKUP($B20,Invulblad!$A$11:$S$103,9,0),"")</f>
        <v/>
      </c>
    </row>
    <row r="21" spans="1:16">
      <c r="B21" s="201" t="s">
        <v>272</v>
      </c>
      <c r="C21" s="189" t="s">
        <v>420</v>
      </c>
      <c r="D21" s="189" t="s">
        <v>421</v>
      </c>
      <c r="E21" s="189" t="s">
        <v>145</v>
      </c>
      <c r="F21" s="189" t="s">
        <v>29</v>
      </c>
      <c r="G21" s="189" t="s">
        <v>145</v>
      </c>
      <c r="H21" s="365" t="s">
        <v>93</v>
      </c>
      <c r="I21" s="365"/>
      <c r="J21" s="365"/>
      <c r="K21" s="213"/>
      <c r="L21" s="210"/>
      <c r="M21" s="211"/>
      <c r="N21" s="201"/>
      <c r="O21" s="211"/>
    </row>
    <row r="22" spans="1:16">
      <c r="A22" s="188">
        <v>9</v>
      </c>
      <c r="B22" s="195">
        <v>3</v>
      </c>
      <c r="C22" s="332">
        <v>41803</v>
      </c>
      <c r="D22" s="333">
        <v>0.875</v>
      </c>
      <c r="E22" s="189" t="s">
        <v>129</v>
      </c>
      <c r="F22" s="189" t="s">
        <v>29</v>
      </c>
      <c r="G22" s="189" t="s">
        <v>122</v>
      </c>
      <c r="H22" s="366">
        <v>1</v>
      </c>
      <c r="I22" s="366" t="s">
        <v>29</v>
      </c>
      <c r="J22" s="366">
        <v>1</v>
      </c>
      <c r="K22" s="212">
        <f t="shared" si="5"/>
        <v>3</v>
      </c>
      <c r="L22" s="210">
        <f>VLOOKUP($B22,Invulblad!$A$11:$S$103,13,0)</f>
        <v>2</v>
      </c>
      <c r="M22" s="211">
        <f>IF(L22&lt;&gt;"",VLOOKUP($B22,Invulblad!$A$11:$S$103,7,0),"")</f>
        <v>1</v>
      </c>
      <c r="N22" s="209" t="s">
        <v>29</v>
      </c>
      <c r="O22" s="211">
        <f>IF(L22&lt;&gt;"",VLOOKUP($B22,Invulblad!$A$11:$S$103,9,0),"")</f>
        <v>5</v>
      </c>
      <c r="P22" s="212">
        <f t="shared" ref="P22:P27" si="7">IF(L22&lt;&gt;"",IF(AND(M22=H22,O22=J22),10,IF(K22=L22,5,0)),"")</f>
        <v>0</v>
      </c>
    </row>
    <row r="23" spans="1:16">
      <c r="A23" s="188">
        <v>10</v>
      </c>
      <c r="B23" s="195">
        <v>4</v>
      </c>
      <c r="C23" s="332">
        <v>41804</v>
      </c>
      <c r="D23" s="333">
        <v>0</v>
      </c>
      <c r="E23" s="189" t="s">
        <v>131</v>
      </c>
      <c r="F23" s="189" t="s">
        <v>29</v>
      </c>
      <c r="G23" s="189" t="s">
        <v>561</v>
      </c>
      <c r="H23" s="366">
        <v>1</v>
      </c>
      <c r="I23" s="366" t="s">
        <v>29</v>
      </c>
      <c r="J23" s="366">
        <v>0</v>
      </c>
      <c r="K23" s="212" t="str">
        <f t="shared" si="5"/>
        <v>1</v>
      </c>
      <c r="L23" s="210" t="str">
        <f>VLOOKUP($B23,Invulblad!$A$11:$S$103,13,0)</f>
        <v>1</v>
      </c>
      <c r="M23" s="211">
        <f>IF(L23&lt;&gt;"",VLOOKUP($B23,Invulblad!$A$11:$S$103,7,0),"")</f>
        <v>3</v>
      </c>
      <c r="N23" s="209" t="s">
        <v>29</v>
      </c>
      <c r="O23" s="211">
        <f>IF(L23&lt;&gt;"",VLOOKUP($B23,Invulblad!$A$11:$S$103,9,0),"")</f>
        <v>1</v>
      </c>
      <c r="P23" s="212">
        <f t="shared" si="7"/>
        <v>5</v>
      </c>
    </row>
    <row r="24" spans="1:16">
      <c r="A24" s="188">
        <v>11</v>
      </c>
      <c r="B24" s="195">
        <v>19</v>
      </c>
      <c r="C24" s="332">
        <v>41808</v>
      </c>
      <c r="D24" s="333">
        <v>0.875</v>
      </c>
      <c r="E24" s="189" t="s">
        <v>129</v>
      </c>
      <c r="F24" s="189" t="s">
        <v>29</v>
      </c>
      <c r="G24" s="189" t="s">
        <v>128</v>
      </c>
      <c r="H24" s="366">
        <v>2</v>
      </c>
      <c r="I24" s="366" t="s">
        <v>29</v>
      </c>
      <c r="J24" s="366">
        <v>0</v>
      </c>
      <c r="K24" s="212" t="str">
        <f t="shared" si="5"/>
        <v>1</v>
      </c>
      <c r="L24" s="210">
        <f>VLOOKUP($B24,Invulblad!$A$11:$S$103,13,0)</f>
        <v>2</v>
      </c>
      <c r="M24" s="211">
        <f>IF(L24&lt;&gt;"",VLOOKUP($B24,Invulblad!$A$11:$S$103,7,0),"")</f>
        <v>0</v>
      </c>
      <c r="N24" s="209" t="s">
        <v>29</v>
      </c>
      <c r="O24" s="211">
        <f>IF(L24&lt;&gt;"",VLOOKUP($B24,Invulblad!$A$11:$S$103,9,0),"")</f>
        <v>2</v>
      </c>
      <c r="P24" s="212">
        <f t="shared" si="7"/>
        <v>0</v>
      </c>
    </row>
    <row r="25" spans="1:16">
      <c r="A25" s="188">
        <v>12</v>
      </c>
      <c r="B25" s="195">
        <v>20</v>
      </c>
      <c r="C25" s="332">
        <v>41808</v>
      </c>
      <c r="D25" s="333">
        <v>0.75</v>
      </c>
      <c r="E25" s="189" t="s">
        <v>562</v>
      </c>
      <c r="F25" s="189" t="s">
        <v>29</v>
      </c>
      <c r="G25" s="189" t="s">
        <v>122</v>
      </c>
      <c r="H25" s="366">
        <v>1</v>
      </c>
      <c r="I25" s="366" t="s">
        <v>29</v>
      </c>
      <c r="J25" s="366">
        <v>2</v>
      </c>
      <c r="K25" s="212">
        <f t="shared" si="5"/>
        <v>2</v>
      </c>
      <c r="L25" s="210">
        <f>VLOOKUP($B25,Invulblad!$A$11:$S$103,13,0)</f>
        <v>2</v>
      </c>
      <c r="M25" s="211">
        <f>IF(L25&lt;&gt;"",VLOOKUP($B25,Invulblad!$A$11:$S$103,7,0),"")</f>
        <v>2</v>
      </c>
      <c r="N25" s="209" t="s">
        <v>29</v>
      </c>
      <c r="O25" s="211">
        <f>IF(L25&lt;&gt;"",VLOOKUP($B25,Invulblad!$A$11:$S$103,9,0),"")</f>
        <v>3</v>
      </c>
      <c r="P25" s="212">
        <f t="shared" si="7"/>
        <v>5</v>
      </c>
    </row>
    <row r="26" spans="1:16">
      <c r="A26" s="188">
        <v>13</v>
      </c>
      <c r="B26" s="195">
        <v>35</v>
      </c>
      <c r="C26" s="332">
        <v>41813</v>
      </c>
      <c r="D26" s="333">
        <v>0.75</v>
      </c>
      <c r="E26" s="189" t="s">
        <v>562</v>
      </c>
      <c r="F26" s="189" t="s">
        <v>29</v>
      </c>
      <c r="G26" s="189" t="s">
        <v>133</v>
      </c>
      <c r="H26" s="366">
        <v>0</v>
      </c>
      <c r="I26" s="366" t="s">
        <v>29</v>
      </c>
      <c r="J26" s="366">
        <v>2</v>
      </c>
      <c r="K26" s="212">
        <f t="shared" si="5"/>
        <v>2</v>
      </c>
      <c r="L26" s="210">
        <f>VLOOKUP($B26,Invulblad!$A$11:$S$103,13,0)</f>
        <v>2</v>
      </c>
      <c r="M26" s="211">
        <f>IF(L26&lt;&gt;"",VLOOKUP($B26,Invulblad!$A$11:$S$103,7,0),"")</f>
        <v>0</v>
      </c>
      <c r="N26" s="209" t="s">
        <v>29</v>
      </c>
      <c r="O26" s="211">
        <f>IF(L26&lt;&gt;"",VLOOKUP($B26,Invulblad!$A$11:$S$103,9,0),"")</f>
        <v>3</v>
      </c>
      <c r="P26" s="212">
        <f t="shared" si="7"/>
        <v>5</v>
      </c>
    </row>
    <row r="27" spans="1:16">
      <c r="A27" s="188">
        <v>14</v>
      </c>
      <c r="B27" s="195">
        <v>36</v>
      </c>
      <c r="C27" s="332">
        <v>41813</v>
      </c>
      <c r="D27" s="333">
        <v>0.75</v>
      </c>
      <c r="E27" s="189" t="s">
        <v>117</v>
      </c>
      <c r="F27" s="189" t="s">
        <v>29</v>
      </c>
      <c r="G27" s="189" t="s">
        <v>128</v>
      </c>
      <c r="H27" s="366">
        <v>2</v>
      </c>
      <c r="I27" s="366" t="s">
        <v>29</v>
      </c>
      <c r="J27" s="366">
        <v>0</v>
      </c>
      <c r="K27" s="212" t="str">
        <f t="shared" si="5"/>
        <v>1</v>
      </c>
      <c r="L27" s="210" t="str">
        <f>VLOOKUP($B27,Invulblad!$A$11:$S$103,13,0)</f>
        <v>1</v>
      </c>
      <c r="M27" s="211">
        <f>IF(L27&lt;&gt;"",VLOOKUP($B27,Invulblad!$A$11:$S$103,7,0),"")</f>
        <v>2</v>
      </c>
      <c r="N27" s="209" t="s">
        <v>29</v>
      </c>
      <c r="O27" s="211">
        <f>IF(L27&lt;&gt;"",VLOOKUP($B27,Invulblad!$A$11:$S$103,9,0),"")</f>
        <v>0</v>
      </c>
      <c r="P27" s="212">
        <f t="shared" si="7"/>
        <v>10</v>
      </c>
    </row>
    <row r="28" spans="1:16">
      <c r="A28" s="188">
        <v>15</v>
      </c>
      <c r="B28" s="201" t="s">
        <v>31</v>
      </c>
      <c r="H28" s="367"/>
      <c r="I28" s="367"/>
      <c r="J28" s="367"/>
      <c r="K28" s="213" t="str">
        <f t="shared" si="5"/>
        <v/>
      </c>
      <c r="L28" s="210"/>
      <c r="M28" s="211" t="str">
        <f>IF(L28&lt;&gt;"",VLOOKUP($B28,Invulblad!$A$11:$S$103,7,0),"")</f>
        <v/>
      </c>
      <c r="N28" s="209"/>
      <c r="O28" s="211" t="str">
        <f>IF(L28&lt;&gt;"",VLOOKUP($B28,Invulblad!$A$11:$S$103,9,0),"")</f>
        <v/>
      </c>
    </row>
    <row r="29" spans="1:16">
      <c r="B29" s="201" t="s">
        <v>272</v>
      </c>
      <c r="C29" s="189" t="s">
        <v>420</v>
      </c>
      <c r="D29" s="189" t="s">
        <v>421</v>
      </c>
      <c r="E29" s="189" t="s">
        <v>145</v>
      </c>
      <c r="F29" s="189" t="s">
        <v>29</v>
      </c>
      <c r="G29" s="189" t="s">
        <v>145</v>
      </c>
      <c r="H29" s="365" t="s">
        <v>93</v>
      </c>
      <c r="I29" s="365"/>
      <c r="J29" s="365"/>
      <c r="K29" s="213"/>
      <c r="L29" s="210"/>
      <c r="M29" s="211"/>
      <c r="N29" s="209"/>
      <c r="O29" s="211"/>
    </row>
    <row r="30" spans="1:16">
      <c r="A30" s="188">
        <v>17</v>
      </c>
      <c r="B30" s="195">
        <v>5</v>
      </c>
      <c r="C30" s="332">
        <v>41804</v>
      </c>
      <c r="D30" s="333">
        <v>0.75</v>
      </c>
      <c r="E30" s="189" t="s">
        <v>428</v>
      </c>
      <c r="F30" s="189" t="s">
        <v>29</v>
      </c>
      <c r="G30" s="189" t="s">
        <v>105</v>
      </c>
      <c r="H30" s="366">
        <v>2</v>
      </c>
      <c r="I30" s="366" t="s">
        <v>29</v>
      </c>
      <c r="J30" s="366">
        <v>0</v>
      </c>
      <c r="K30" s="212" t="str">
        <f t="shared" si="5"/>
        <v>1</v>
      </c>
      <c r="L30" s="210" t="str">
        <f>VLOOKUP($B30,Invulblad!$A$11:$S$103,13,0)</f>
        <v>1</v>
      </c>
      <c r="M30" s="211">
        <f>IF(L30&lt;&gt;"",VLOOKUP($B30,Invulblad!$A$11:$S$103,7,0),"")</f>
        <v>3</v>
      </c>
      <c r="N30" s="209" t="s">
        <v>29</v>
      </c>
      <c r="O30" s="211">
        <f>IF(L30&lt;&gt;"",VLOOKUP($B30,Invulblad!$A$11:$S$103,9,0),"")</f>
        <v>0</v>
      </c>
      <c r="P30" s="212">
        <f t="shared" ref="P30:P35" si="8">IF(L30&lt;&gt;"",IF(AND(M30=H30,O30=J30),10,IF(K30=L30,5,0)),"")</f>
        <v>5</v>
      </c>
    </row>
    <row r="31" spans="1:16">
      <c r="A31" s="188">
        <v>18</v>
      </c>
      <c r="B31" s="195">
        <v>6</v>
      </c>
      <c r="C31" s="332">
        <v>41805</v>
      </c>
      <c r="D31" s="333">
        <v>0.125</v>
      </c>
      <c r="E31" s="189" t="s">
        <v>123</v>
      </c>
      <c r="F31" s="189" t="s">
        <v>29</v>
      </c>
      <c r="G31" s="189" t="s">
        <v>120</v>
      </c>
      <c r="H31" s="366">
        <v>0</v>
      </c>
      <c r="I31" s="366" t="s">
        <v>29</v>
      </c>
      <c r="J31" s="366">
        <v>0</v>
      </c>
      <c r="K31" s="212">
        <f t="shared" si="5"/>
        <v>3</v>
      </c>
      <c r="L31" s="210" t="str">
        <f>VLOOKUP($B31,Invulblad!$A$11:$S$103,13,0)</f>
        <v>1</v>
      </c>
      <c r="M31" s="211">
        <f>IF(L31&lt;&gt;"",VLOOKUP($B31,Invulblad!$A$11:$S$103,7,0),"")</f>
        <v>2</v>
      </c>
      <c r="N31" s="209" t="s">
        <v>29</v>
      </c>
      <c r="O31" s="211">
        <f>IF(L31&lt;&gt;"",VLOOKUP($B31,Invulblad!$A$11:$S$103,9,0),"")</f>
        <v>1</v>
      </c>
      <c r="P31" s="212">
        <f t="shared" si="8"/>
        <v>0</v>
      </c>
    </row>
    <row r="32" spans="1:16">
      <c r="A32" s="188">
        <v>19</v>
      </c>
      <c r="B32" s="195">
        <v>21</v>
      </c>
      <c r="C32" s="332">
        <v>41809</v>
      </c>
      <c r="D32" s="333">
        <v>0.75</v>
      </c>
      <c r="E32" s="189" t="s">
        <v>428</v>
      </c>
      <c r="F32" s="189" t="s">
        <v>29</v>
      </c>
      <c r="G32" s="189" t="s">
        <v>125</v>
      </c>
      <c r="H32" s="366">
        <v>1</v>
      </c>
      <c r="I32" s="366" t="s">
        <v>29</v>
      </c>
      <c r="J32" s="366">
        <v>0</v>
      </c>
      <c r="K32" s="212" t="str">
        <f t="shared" si="5"/>
        <v>1</v>
      </c>
      <c r="L32" s="210" t="str">
        <f>VLOOKUP($B32,Invulblad!$A$11:$S$103,13,0)</f>
        <v>1</v>
      </c>
      <c r="M32" s="211">
        <f>IF(L32&lt;&gt;"",VLOOKUP($B32,Invulblad!$A$11:$S$103,7,0),"")</f>
        <v>2</v>
      </c>
      <c r="N32" s="209" t="s">
        <v>29</v>
      </c>
      <c r="O32" s="211">
        <f>IF(L32&lt;&gt;"",VLOOKUP($B32,Invulblad!$A$11:$S$103,9,0),"")</f>
        <v>1</v>
      </c>
      <c r="P32" s="212">
        <f t="shared" si="8"/>
        <v>5</v>
      </c>
    </row>
    <row r="33" spans="1:16">
      <c r="A33" s="188">
        <v>20</v>
      </c>
      <c r="B33" s="195">
        <v>22</v>
      </c>
      <c r="C33" s="332">
        <v>41810</v>
      </c>
      <c r="D33" s="333">
        <v>0</v>
      </c>
      <c r="E33" s="189" t="s">
        <v>118</v>
      </c>
      <c r="F33" s="189" t="s">
        <v>29</v>
      </c>
      <c r="G33" s="189" t="s">
        <v>105</v>
      </c>
      <c r="H33" s="366">
        <v>0</v>
      </c>
      <c r="I33" s="366" t="s">
        <v>29</v>
      </c>
      <c r="J33" s="366">
        <v>0</v>
      </c>
      <c r="K33" s="212">
        <f t="shared" si="5"/>
        <v>3</v>
      </c>
      <c r="L33" s="210">
        <f>VLOOKUP($B33,Invulblad!$A$11:$S$103,13,0)</f>
        <v>3</v>
      </c>
      <c r="M33" s="211">
        <f>IF(L33&lt;&gt;"",VLOOKUP($B33,Invulblad!$A$11:$S$103,7,0),"")</f>
        <v>0</v>
      </c>
      <c r="N33" s="209" t="s">
        <v>29</v>
      </c>
      <c r="O33" s="211">
        <f>IF(L33&lt;&gt;"",VLOOKUP($B33,Invulblad!$A$11:$S$103,9,0),"")</f>
        <v>0</v>
      </c>
      <c r="P33" s="212">
        <f t="shared" si="8"/>
        <v>10</v>
      </c>
    </row>
    <row r="34" spans="1:16">
      <c r="A34" s="188">
        <v>21</v>
      </c>
      <c r="B34" s="195">
        <v>37</v>
      </c>
      <c r="C34" s="332">
        <v>41814</v>
      </c>
      <c r="D34" s="333">
        <v>0.91666666666666663</v>
      </c>
      <c r="E34" s="189" t="s">
        <v>118</v>
      </c>
      <c r="F34" s="189" t="s">
        <v>29</v>
      </c>
      <c r="G34" s="189" t="s">
        <v>429</v>
      </c>
      <c r="H34" s="366">
        <v>0</v>
      </c>
      <c r="I34" s="366" t="s">
        <v>29</v>
      </c>
      <c r="J34" s="366">
        <v>2</v>
      </c>
      <c r="K34" s="212">
        <f t="shared" si="5"/>
        <v>2</v>
      </c>
      <c r="L34" s="210">
        <f>VLOOKUP($B34,Invulblad!$A$11:$S$103,13,0)</f>
        <v>2</v>
      </c>
      <c r="M34" s="211">
        <f>IF(L34&lt;&gt;"",VLOOKUP($B34,Invulblad!$A$11:$S$103,7,0),"")</f>
        <v>1</v>
      </c>
      <c r="N34" s="209" t="s">
        <v>29</v>
      </c>
      <c r="O34" s="211">
        <f>IF(L34&lt;&gt;"",VLOOKUP($B34,Invulblad!$A$11:$S$103,9,0),"")</f>
        <v>4</v>
      </c>
      <c r="P34" s="212">
        <f t="shared" si="8"/>
        <v>5</v>
      </c>
    </row>
    <row r="35" spans="1:16">
      <c r="A35" s="188">
        <v>22</v>
      </c>
      <c r="B35" s="195">
        <v>38</v>
      </c>
      <c r="C35" s="332">
        <v>41814</v>
      </c>
      <c r="D35" s="333">
        <v>0.91666666666666663</v>
      </c>
      <c r="E35" s="189" t="s">
        <v>233</v>
      </c>
      <c r="F35" s="189" t="s">
        <v>29</v>
      </c>
      <c r="G35" s="189" t="s">
        <v>125</v>
      </c>
      <c r="H35" s="366">
        <v>0</v>
      </c>
      <c r="I35" s="366" t="s">
        <v>29</v>
      </c>
      <c r="J35" s="366">
        <v>2</v>
      </c>
      <c r="K35" s="212">
        <f t="shared" si="5"/>
        <v>2</v>
      </c>
      <c r="L35" s="210" t="str">
        <f>VLOOKUP($B35,Invulblad!$A$11:$S$103,13,0)</f>
        <v>1</v>
      </c>
      <c r="M35" s="211">
        <f>IF(L35&lt;&gt;"",VLOOKUP($B35,Invulblad!$A$11:$S$103,7,0),"")</f>
        <v>2</v>
      </c>
      <c r="N35" s="209" t="s">
        <v>29</v>
      </c>
      <c r="O35" s="211">
        <f>IF(L35&lt;&gt;"",VLOOKUP($B35,Invulblad!$A$11:$S$103,9,0),"")</f>
        <v>1</v>
      </c>
      <c r="P35" s="212">
        <f t="shared" si="8"/>
        <v>0</v>
      </c>
    </row>
    <row r="36" spans="1:16">
      <c r="A36" s="188">
        <v>23</v>
      </c>
      <c r="B36" s="201" t="s">
        <v>33</v>
      </c>
      <c r="H36" s="367"/>
      <c r="I36" s="367"/>
      <c r="J36" s="367"/>
      <c r="K36" s="213" t="str">
        <f t="shared" si="5"/>
        <v/>
      </c>
      <c r="L36" s="210"/>
      <c r="M36" s="211" t="str">
        <f>IF(L36&lt;&gt;"",VLOOKUP($B36,Invulblad!$A$11:$S$103,7,0),"")</f>
        <v/>
      </c>
      <c r="N36" s="209"/>
      <c r="O36" s="211" t="str">
        <f>IF(L36&lt;&gt;"",VLOOKUP($B36,Invulblad!$A$11:$S$103,9,0),"")</f>
        <v/>
      </c>
    </row>
    <row r="37" spans="1:16">
      <c r="B37" s="201" t="s">
        <v>272</v>
      </c>
      <c r="C37" s="189" t="s">
        <v>420</v>
      </c>
      <c r="D37" s="189" t="s">
        <v>421</v>
      </c>
      <c r="E37" s="189" t="s">
        <v>145</v>
      </c>
      <c r="F37" s="189" t="s">
        <v>29</v>
      </c>
      <c r="G37" s="189" t="s">
        <v>145</v>
      </c>
      <c r="H37" s="365" t="s">
        <v>93</v>
      </c>
      <c r="I37" s="365"/>
      <c r="J37" s="365"/>
      <c r="K37" s="213"/>
      <c r="L37" s="210"/>
      <c r="M37" s="211"/>
      <c r="N37" s="209"/>
      <c r="O37" s="211"/>
    </row>
    <row r="38" spans="1:16">
      <c r="A38" s="188">
        <v>25</v>
      </c>
      <c r="B38" s="195">
        <v>7</v>
      </c>
      <c r="C38" s="332">
        <v>41804</v>
      </c>
      <c r="D38" s="333">
        <v>0.875</v>
      </c>
      <c r="E38" s="189" t="s">
        <v>231</v>
      </c>
      <c r="F38" s="189" t="s">
        <v>29</v>
      </c>
      <c r="G38" s="189" t="s">
        <v>430</v>
      </c>
      <c r="H38" s="366">
        <v>2</v>
      </c>
      <c r="I38" s="366" t="s">
        <v>29</v>
      </c>
      <c r="J38" s="366">
        <v>0</v>
      </c>
      <c r="K38" s="212" t="str">
        <f t="shared" si="5"/>
        <v>1</v>
      </c>
      <c r="L38" s="210">
        <f>VLOOKUP($B38,Invulblad!$A$11:$S$103,13,0)</f>
        <v>2</v>
      </c>
      <c r="M38" s="211">
        <f>IF(L38&lt;&gt;"",VLOOKUP($B38,Invulblad!$A$11:$S$103,7,0),"")</f>
        <v>1</v>
      </c>
      <c r="N38" s="209" t="s">
        <v>29</v>
      </c>
      <c r="O38" s="211">
        <f>IF(L38&lt;&gt;"",VLOOKUP($B38,Invulblad!$A$11:$S$103,9,0),"")</f>
        <v>3</v>
      </c>
      <c r="P38" s="212">
        <f t="shared" ref="P38:P43" si="9">IF(L38&lt;&gt;"",IF(AND(M38=H38,O38=J38),10,IF(K38=L38,5,0)),"")</f>
        <v>0</v>
      </c>
    </row>
    <row r="39" spans="1:16">
      <c r="A39" s="188">
        <v>26</v>
      </c>
      <c r="B39" s="195">
        <v>8</v>
      </c>
      <c r="C39" s="332">
        <v>41805</v>
      </c>
      <c r="D39" s="333">
        <v>0</v>
      </c>
      <c r="E39" s="189" t="s">
        <v>235</v>
      </c>
      <c r="F39" s="189" t="s">
        <v>29</v>
      </c>
      <c r="G39" s="189" t="s">
        <v>563</v>
      </c>
      <c r="H39" s="366">
        <v>1</v>
      </c>
      <c r="I39" s="366" t="s">
        <v>29</v>
      </c>
      <c r="J39" s="366">
        <v>1</v>
      </c>
      <c r="K39" s="212">
        <f t="shared" si="5"/>
        <v>3</v>
      </c>
      <c r="L39" s="210">
        <f>VLOOKUP($B39,Invulblad!$A$11:$S$103,13,0)</f>
        <v>2</v>
      </c>
      <c r="M39" s="211">
        <f>IF(L39&lt;&gt;"",VLOOKUP($B39,Invulblad!$A$11:$S$103,7,0),"")</f>
        <v>1</v>
      </c>
      <c r="N39" s="209" t="s">
        <v>29</v>
      </c>
      <c r="O39" s="211">
        <f>IF(L39&lt;&gt;"",VLOOKUP($B39,Invulblad!$A$11:$S$103,9,0),"")</f>
        <v>2</v>
      </c>
      <c r="P39" s="212">
        <f t="shared" si="9"/>
        <v>0</v>
      </c>
    </row>
    <row r="40" spans="1:16">
      <c r="A40" s="188">
        <v>27</v>
      </c>
      <c r="B40" s="195">
        <v>23</v>
      </c>
      <c r="C40" s="332">
        <v>41809</v>
      </c>
      <c r="D40" s="333">
        <v>0.875</v>
      </c>
      <c r="E40" s="189" t="s">
        <v>231</v>
      </c>
      <c r="F40" s="189" t="s">
        <v>29</v>
      </c>
      <c r="G40" s="189" t="s">
        <v>112</v>
      </c>
      <c r="H40" s="366">
        <v>2</v>
      </c>
      <c r="I40" s="366" t="s">
        <v>29</v>
      </c>
      <c r="J40" s="366">
        <v>1</v>
      </c>
      <c r="K40" s="212" t="str">
        <f t="shared" si="5"/>
        <v>1</v>
      </c>
      <c r="L40" s="210" t="str">
        <f>VLOOKUP($B40,Invulblad!$A$11:$S$103,13,0)</f>
        <v>1</v>
      </c>
      <c r="M40" s="211">
        <f>IF(L40&lt;&gt;"",VLOOKUP($B40,Invulblad!$A$11:$S$103,7,0),"")</f>
        <v>2</v>
      </c>
      <c r="N40" s="209" t="s">
        <v>29</v>
      </c>
      <c r="O40" s="211">
        <f>IF(L40&lt;&gt;"",VLOOKUP($B40,Invulblad!$A$11:$S$103,9,0),"")</f>
        <v>1</v>
      </c>
      <c r="P40" s="212">
        <f t="shared" si="9"/>
        <v>10</v>
      </c>
    </row>
    <row r="41" spans="1:16">
      <c r="A41" s="188">
        <v>28</v>
      </c>
      <c r="B41" s="195">
        <v>24</v>
      </c>
      <c r="C41" s="332">
        <v>41810</v>
      </c>
      <c r="D41" s="333">
        <v>0.75</v>
      </c>
      <c r="E41" s="189" t="s">
        <v>564</v>
      </c>
      <c r="F41" s="189" t="s">
        <v>29</v>
      </c>
      <c r="G41" s="189" t="s">
        <v>430</v>
      </c>
      <c r="H41" s="366">
        <v>2</v>
      </c>
      <c r="I41" s="366" t="s">
        <v>29</v>
      </c>
      <c r="J41" s="366">
        <v>0</v>
      </c>
      <c r="K41" s="212" t="str">
        <f t="shared" si="5"/>
        <v>1</v>
      </c>
      <c r="L41" s="210">
        <f>VLOOKUP($B41,Invulblad!$A$11:$S$103,13,0)</f>
        <v>2</v>
      </c>
      <c r="M41" s="211">
        <f>IF(L41&lt;&gt;"",VLOOKUP($B41,Invulblad!$A$11:$S$103,7,0),"")</f>
        <v>0</v>
      </c>
      <c r="N41" s="209" t="s">
        <v>29</v>
      </c>
      <c r="O41" s="211">
        <f>IF(L41&lt;&gt;"",VLOOKUP($B41,Invulblad!$A$11:$S$103,9,0),"")</f>
        <v>1</v>
      </c>
      <c r="P41" s="212">
        <f t="shared" si="9"/>
        <v>0</v>
      </c>
    </row>
    <row r="42" spans="1:16">
      <c r="A42" s="188">
        <v>29</v>
      </c>
      <c r="B42" s="195">
        <v>39</v>
      </c>
      <c r="C42" s="332">
        <v>41814</v>
      </c>
      <c r="D42" s="333">
        <v>0.75</v>
      </c>
      <c r="E42" s="189" t="s">
        <v>564</v>
      </c>
      <c r="F42" s="189" t="s">
        <v>29</v>
      </c>
      <c r="G42" s="189" t="s">
        <v>99</v>
      </c>
      <c r="H42" s="366">
        <v>1</v>
      </c>
      <c r="I42" s="366" t="s">
        <v>29</v>
      </c>
      <c r="J42" s="366">
        <v>1</v>
      </c>
      <c r="K42" s="212">
        <f t="shared" si="5"/>
        <v>3</v>
      </c>
      <c r="L42" s="210">
        <f>VLOOKUP($B42,Invulblad!$A$11:$S$103,13,0)</f>
        <v>2</v>
      </c>
      <c r="M42" s="211">
        <f>IF(L42&lt;&gt;"",VLOOKUP($B42,Invulblad!$A$11:$S$103,7,0),"")</f>
        <v>0</v>
      </c>
      <c r="N42" s="209" t="s">
        <v>29</v>
      </c>
      <c r="O42" s="211">
        <f>IF(L42&lt;&gt;"",VLOOKUP($B42,Invulblad!$A$11:$S$103,9,0),"")</f>
        <v>1</v>
      </c>
      <c r="P42" s="212">
        <f t="shared" si="9"/>
        <v>0</v>
      </c>
    </row>
    <row r="43" spans="1:16">
      <c r="A43" s="188">
        <v>30</v>
      </c>
      <c r="B43" s="195">
        <v>40</v>
      </c>
      <c r="C43" s="332">
        <v>41814</v>
      </c>
      <c r="D43" s="333">
        <v>0.75</v>
      </c>
      <c r="E43" s="189" t="s">
        <v>433</v>
      </c>
      <c r="F43" s="189" t="s">
        <v>29</v>
      </c>
      <c r="G43" s="189" t="s">
        <v>112</v>
      </c>
      <c r="H43" s="366">
        <v>0</v>
      </c>
      <c r="I43" s="366" t="s">
        <v>29</v>
      </c>
      <c r="J43" s="366">
        <v>2</v>
      </c>
      <c r="K43" s="212">
        <f t="shared" si="5"/>
        <v>2</v>
      </c>
      <c r="L43" s="210">
        <f>VLOOKUP($B43,Invulblad!$A$11:$S$103,13,0)</f>
        <v>3</v>
      </c>
      <c r="M43" s="211">
        <f>IF(L43&lt;&gt;"",VLOOKUP($B43,Invulblad!$A$11:$S$103,7,0),"")</f>
        <v>0</v>
      </c>
      <c r="N43" s="209" t="s">
        <v>29</v>
      </c>
      <c r="O43" s="211">
        <f>IF(L43&lt;&gt;"",VLOOKUP($B43,Invulblad!$A$11:$S$103,9,0),"")</f>
        <v>0</v>
      </c>
      <c r="P43" s="212">
        <f t="shared" si="9"/>
        <v>0</v>
      </c>
    </row>
    <row r="44" spans="1:16">
      <c r="A44" s="188">
        <v>31</v>
      </c>
      <c r="B44" s="201" t="s">
        <v>34</v>
      </c>
      <c r="H44" s="367"/>
      <c r="I44" s="367"/>
      <c r="J44" s="367"/>
      <c r="K44" s="213" t="str">
        <f t="shared" si="5"/>
        <v/>
      </c>
      <c r="L44" s="210"/>
      <c r="M44" s="211" t="str">
        <f>IF(L44&lt;&gt;"",VLOOKUP($B44,Invulblad!$A$11:$S$103,7,0),"")</f>
        <v/>
      </c>
      <c r="N44" s="209"/>
      <c r="O44" s="211" t="str">
        <f>IF(L44&lt;&gt;"",VLOOKUP($B44,Invulblad!$A$11:$S$103,9,0),"")</f>
        <v/>
      </c>
    </row>
    <row r="45" spans="1:16">
      <c r="B45" s="201" t="s">
        <v>272</v>
      </c>
      <c r="C45" s="189" t="s">
        <v>420</v>
      </c>
      <c r="D45" s="189" t="s">
        <v>421</v>
      </c>
      <c r="E45" s="189" t="s">
        <v>145</v>
      </c>
      <c r="F45" s="189" t="s">
        <v>29</v>
      </c>
      <c r="G45" s="189" t="s">
        <v>145</v>
      </c>
      <c r="H45" s="365" t="s">
        <v>93</v>
      </c>
      <c r="I45" s="365"/>
      <c r="J45" s="365"/>
      <c r="K45" s="213"/>
      <c r="L45" s="210"/>
      <c r="M45" s="211"/>
      <c r="N45" s="209"/>
      <c r="O45" s="211"/>
    </row>
    <row r="46" spans="1:16">
      <c r="A46" s="188">
        <v>33</v>
      </c>
      <c r="B46" s="195">
        <v>9</v>
      </c>
      <c r="C46" s="332">
        <v>41805</v>
      </c>
      <c r="D46" s="333">
        <v>0.75</v>
      </c>
      <c r="E46" s="189" t="s">
        <v>134</v>
      </c>
      <c r="F46" s="189" t="s">
        <v>29</v>
      </c>
      <c r="G46" s="189" t="s">
        <v>434</v>
      </c>
      <c r="H46" s="366">
        <v>0</v>
      </c>
      <c r="I46" s="366" t="s">
        <v>29</v>
      </c>
      <c r="J46" s="366">
        <v>1</v>
      </c>
      <c r="K46" s="212">
        <f t="shared" si="5"/>
        <v>2</v>
      </c>
      <c r="L46" s="210" t="str">
        <f>VLOOKUP($B46,Invulblad!$A$11:$S$103,13,0)</f>
        <v>1</v>
      </c>
      <c r="M46" s="211">
        <f>IF(L46&lt;&gt;"",VLOOKUP($B46,Invulblad!$A$11:$S$103,7,0),"")</f>
        <v>2</v>
      </c>
      <c r="N46" s="209" t="s">
        <v>29</v>
      </c>
      <c r="O46" s="211">
        <f>IF(L46&lt;&gt;"",VLOOKUP($B46,Invulblad!$A$11:$S$103,9,0),"")</f>
        <v>1</v>
      </c>
      <c r="P46" s="212">
        <f t="shared" ref="P46:P51" si="10">IF(L46&lt;&gt;"",IF(AND(M46=H46,O46=J46),10,IF(K46=L46,5,0)),"")</f>
        <v>0</v>
      </c>
    </row>
    <row r="47" spans="1:16">
      <c r="A47" s="188">
        <v>34</v>
      </c>
      <c r="B47" s="195">
        <v>10</v>
      </c>
      <c r="C47" s="332">
        <v>41805</v>
      </c>
      <c r="D47" s="333">
        <v>0.875</v>
      </c>
      <c r="E47" s="189" t="s">
        <v>100</v>
      </c>
      <c r="F47" s="189" t="s">
        <v>29</v>
      </c>
      <c r="G47" s="189" t="s">
        <v>132</v>
      </c>
      <c r="H47" s="366">
        <v>1</v>
      </c>
      <c r="I47" s="366" t="s">
        <v>29</v>
      </c>
      <c r="J47" s="366">
        <v>0</v>
      </c>
      <c r="K47" s="212" t="str">
        <f t="shared" si="5"/>
        <v>1</v>
      </c>
      <c r="L47" s="210" t="str">
        <f>VLOOKUP($B47,Invulblad!$A$11:$S$103,13,0)</f>
        <v>1</v>
      </c>
      <c r="M47" s="211">
        <f>IF(L47&lt;&gt;"",VLOOKUP($B47,Invulblad!$A$11:$S$103,7,0),"")</f>
        <v>3</v>
      </c>
      <c r="N47" s="209" t="s">
        <v>29</v>
      </c>
      <c r="O47" s="211">
        <f>IF(L47&lt;&gt;"",VLOOKUP($B47,Invulblad!$A$11:$S$103,9,0),"")</f>
        <v>0</v>
      </c>
      <c r="P47" s="212">
        <f t="shared" si="10"/>
        <v>5</v>
      </c>
    </row>
    <row r="48" spans="1:16">
      <c r="A48" s="188">
        <v>35</v>
      </c>
      <c r="B48" s="195">
        <v>25</v>
      </c>
      <c r="C48" s="332">
        <v>41810</v>
      </c>
      <c r="D48" s="333">
        <v>0.875</v>
      </c>
      <c r="E48" s="189" t="s">
        <v>134</v>
      </c>
      <c r="F48" s="189" t="s">
        <v>29</v>
      </c>
      <c r="G48" s="189" t="s">
        <v>98</v>
      </c>
      <c r="H48" s="366">
        <v>0</v>
      </c>
      <c r="I48" s="366" t="s">
        <v>29</v>
      </c>
      <c r="J48" s="366">
        <v>2</v>
      </c>
      <c r="K48" s="212">
        <f t="shared" si="5"/>
        <v>2</v>
      </c>
      <c r="L48" s="210">
        <f>VLOOKUP($B48,Invulblad!$A$11:$S$103,13,0)</f>
        <v>2</v>
      </c>
      <c r="M48" s="211">
        <f>IF(L48&lt;&gt;"",VLOOKUP($B48,Invulblad!$A$11:$S$103,7,0),"")</f>
        <v>2</v>
      </c>
      <c r="N48" s="209" t="s">
        <v>29</v>
      </c>
      <c r="O48" s="211">
        <f>IF(L48&lt;&gt;"",VLOOKUP($B48,Invulblad!$A$11:$S$103,9,0),"")</f>
        <v>5</v>
      </c>
      <c r="P48" s="212">
        <f t="shared" si="10"/>
        <v>5</v>
      </c>
    </row>
    <row r="49" spans="1:16">
      <c r="A49" s="188">
        <v>36</v>
      </c>
      <c r="B49" s="195">
        <v>26</v>
      </c>
      <c r="C49" s="332">
        <v>41811</v>
      </c>
      <c r="D49" s="333">
        <v>0</v>
      </c>
      <c r="E49" s="189" t="s">
        <v>127</v>
      </c>
      <c r="F49" s="189" t="s">
        <v>29</v>
      </c>
      <c r="G49" s="189" t="s">
        <v>434</v>
      </c>
      <c r="H49" s="366">
        <v>1</v>
      </c>
      <c r="I49" s="366" t="s">
        <v>29</v>
      </c>
      <c r="J49" s="366">
        <v>2</v>
      </c>
      <c r="K49" s="212">
        <f t="shared" si="5"/>
        <v>2</v>
      </c>
      <c r="L49" s="210">
        <f>VLOOKUP($B49,Invulblad!$A$11:$S$103,13,0)</f>
        <v>2</v>
      </c>
      <c r="M49" s="211">
        <f>IF(L49&lt;&gt;"",VLOOKUP($B49,Invulblad!$A$11:$S$103,7,0),"")</f>
        <v>1</v>
      </c>
      <c r="N49" s="209" t="s">
        <v>29</v>
      </c>
      <c r="O49" s="211">
        <f>IF(L49&lt;&gt;"",VLOOKUP($B49,Invulblad!$A$11:$S$103,9,0),"")</f>
        <v>2</v>
      </c>
      <c r="P49" s="212">
        <f t="shared" si="10"/>
        <v>10</v>
      </c>
    </row>
    <row r="50" spans="1:16">
      <c r="A50" s="188">
        <v>37</v>
      </c>
      <c r="B50" s="195">
        <v>41</v>
      </c>
      <c r="C50" s="332">
        <v>41815</v>
      </c>
      <c r="D50" s="333">
        <v>0.91666666666666663</v>
      </c>
      <c r="E50" s="189" t="s">
        <v>127</v>
      </c>
      <c r="F50" s="189" t="s">
        <v>29</v>
      </c>
      <c r="G50" s="189" t="s">
        <v>130</v>
      </c>
      <c r="H50" s="366">
        <v>0</v>
      </c>
      <c r="I50" s="366" t="s">
        <v>29</v>
      </c>
      <c r="J50" s="366">
        <v>0</v>
      </c>
      <c r="K50" s="212">
        <f t="shared" ref="K50:K85" si="11">IF(AND(H50="",J50=""),"",IF(OR(H50="",J50=""),"FOUT",IF(H50&gt;J50,"1",IF(H50=J50,3,2))))</f>
        <v>3</v>
      </c>
      <c r="L50" s="210">
        <f>VLOOKUP($B50,Invulblad!$A$11:$S$103,13,0)</f>
        <v>2</v>
      </c>
      <c r="M50" s="211">
        <f>IF(L50&lt;&gt;"",VLOOKUP($B50,Invulblad!$A$11:$S$103,7,0),"")</f>
        <v>0</v>
      </c>
      <c r="N50" s="209" t="s">
        <v>29</v>
      </c>
      <c r="O50" s="211">
        <f>IF(L50&lt;&gt;"",VLOOKUP($B50,Invulblad!$A$11:$S$103,9,0),"")</f>
        <v>3</v>
      </c>
      <c r="P50" s="212">
        <f t="shared" si="10"/>
        <v>0</v>
      </c>
    </row>
    <row r="51" spans="1:16">
      <c r="A51" s="188">
        <v>38</v>
      </c>
      <c r="B51" s="195">
        <v>42</v>
      </c>
      <c r="C51" s="332">
        <v>41815</v>
      </c>
      <c r="D51" s="333">
        <v>0.91666666666666663</v>
      </c>
      <c r="E51" s="189" t="s">
        <v>435</v>
      </c>
      <c r="F51" s="189" t="s">
        <v>29</v>
      </c>
      <c r="G51" s="189" t="s">
        <v>98</v>
      </c>
      <c r="H51" s="366">
        <v>1</v>
      </c>
      <c r="I51" s="366" t="s">
        <v>29</v>
      </c>
      <c r="J51" s="366">
        <v>1</v>
      </c>
      <c r="K51" s="212">
        <f t="shared" si="11"/>
        <v>3</v>
      </c>
      <c r="L51" s="210">
        <f>VLOOKUP($B51,Invulblad!$A$11:$S$103,13,0)</f>
        <v>3</v>
      </c>
      <c r="M51" s="211">
        <f>IF(L51&lt;&gt;"",VLOOKUP($B51,Invulblad!$A$11:$S$103,7,0),"")</f>
        <v>0</v>
      </c>
      <c r="N51" s="209" t="s">
        <v>29</v>
      </c>
      <c r="O51" s="211">
        <f>IF(L51&lt;&gt;"",VLOOKUP($B51,Invulblad!$A$11:$S$103,9,0),"")</f>
        <v>0</v>
      </c>
      <c r="P51" s="212">
        <f t="shared" si="10"/>
        <v>5</v>
      </c>
    </row>
    <row r="52" spans="1:16">
      <c r="A52" s="188">
        <v>39</v>
      </c>
      <c r="B52" s="201" t="s">
        <v>35</v>
      </c>
      <c r="H52" s="367"/>
      <c r="I52" s="367"/>
      <c r="J52" s="367"/>
      <c r="K52" s="213" t="str">
        <f t="shared" si="11"/>
        <v/>
      </c>
      <c r="L52" s="210"/>
      <c r="M52" s="211" t="str">
        <f>IF(L52&lt;&gt;"",VLOOKUP($B52,Invulblad!$A$11:$S$103,7,0),"")</f>
        <v/>
      </c>
      <c r="N52" s="209"/>
      <c r="O52" s="211" t="str">
        <f>IF(L52&lt;&gt;"",VLOOKUP($B52,Invulblad!$A$11:$S$103,9,0),"")</f>
        <v/>
      </c>
    </row>
    <row r="53" spans="1:16">
      <c r="B53" s="201" t="s">
        <v>272</v>
      </c>
      <c r="C53" s="189" t="s">
        <v>420</v>
      </c>
      <c r="D53" s="189" t="s">
        <v>421</v>
      </c>
      <c r="E53" s="189" t="s">
        <v>145</v>
      </c>
      <c r="F53" s="189" t="s">
        <v>29</v>
      </c>
      <c r="G53" s="189" t="s">
        <v>145</v>
      </c>
      <c r="H53" s="365" t="s">
        <v>93</v>
      </c>
      <c r="I53" s="365"/>
      <c r="J53" s="365"/>
      <c r="K53" s="213"/>
      <c r="L53" s="210"/>
      <c r="M53" s="211"/>
      <c r="N53" s="209"/>
      <c r="O53" s="211"/>
    </row>
    <row r="54" spans="1:16">
      <c r="A54" s="188">
        <v>41</v>
      </c>
      <c r="B54" s="195">
        <v>11</v>
      </c>
      <c r="C54" s="332">
        <v>41806</v>
      </c>
      <c r="D54" s="333">
        <v>0</v>
      </c>
      <c r="E54" s="189" t="s">
        <v>565</v>
      </c>
      <c r="F54" s="189" t="s">
        <v>29</v>
      </c>
      <c r="G54" s="189" t="s">
        <v>566</v>
      </c>
      <c r="H54" s="366">
        <v>1</v>
      </c>
      <c r="I54" s="366" t="s">
        <v>29</v>
      </c>
      <c r="J54" s="366">
        <v>0</v>
      </c>
      <c r="K54" s="212" t="str">
        <f t="shared" si="11"/>
        <v>1</v>
      </c>
      <c r="L54" s="210" t="str">
        <f>VLOOKUP($B54,Invulblad!$A$11:$S$103,13,0)</f>
        <v>1</v>
      </c>
      <c r="M54" s="211">
        <f>IF(L54&lt;&gt;"",VLOOKUP($B54,Invulblad!$A$11:$S$103,7,0),"")</f>
        <v>2</v>
      </c>
      <c r="N54" s="209" t="s">
        <v>29</v>
      </c>
      <c r="O54" s="211">
        <f>IF(L54&lt;&gt;"",VLOOKUP($B54,Invulblad!$A$11:$S$103,9,0),"")</f>
        <v>1</v>
      </c>
      <c r="P54" s="212">
        <f t="shared" ref="P54:P59" si="12">IF(L54&lt;&gt;"",IF(AND(M54=H54,O54=J54),10,IF(K54=L54,5,0)),"")</f>
        <v>5</v>
      </c>
    </row>
    <row r="55" spans="1:16">
      <c r="A55" s="188">
        <v>42</v>
      </c>
      <c r="B55" s="195">
        <v>12</v>
      </c>
      <c r="C55" s="332">
        <v>41806</v>
      </c>
      <c r="D55" s="333">
        <v>0.875</v>
      </c>
      <c r="E55" s="189" t="s">
        <v>438</v>
      </c>
      <c r="F55" s="189" t="s">
        <v>29</v>
      </c>
      <c r="G55" s="189" t="s">
        <v>103</v>
      </c>
      <c r="H55" s="366">
        <v>0</v>
      </c>
      <c r="I55" s="366" t="s">
        <v>29</v>
      </c>
      <c r="J55" s="366">
        <v>0</v>
      </c>
      <c r="K55" s="212">
        <f t="shared" si="11"/>
        <v>3</v>
      </c>
      <c r="L55" s="210">
        <f>VLOOKUP($B55,Invulblad!$A$11:$S$103,13,0)</f>
        <v>3</v>
      </c>
      <c r="M55" s="211">
        <f>IF(L55&lt;&gt;"",VLOOKUP($B55,Invulblad!$A$11:$S$103,7,0),"")</f>
        <v>0</v>
      </c>
      <c r="N55" s="209" t="s">
        <v>29</v>
      </c>
      <c r="O55" s="211">
        <f>IF(L55&lt;&gt;"",VLOOKUP($B55,Invulblad!$A$11:$S$103,9,0),"")</f>
        <v>0</v>
      </c>
      <c r="P55" s="212">
        <f t="shared" si="12"/>
        <v>10</v>
      </c>
    </row>
    <row r="56" spans="1:16">
      <c r="A56" s="188">
        <v>43</v>
      </c>
      <c r="B56" s="195">
        <v>27</v>
      </c>
      <c r="C56" s="332">
        <v>41811</v>
      </c>
      <c r="D56" s="333">
        <v>0.75</v>
      </c>
      <c r="E56" s="189" t="s">
        <v>565</v>
      </c>
      <c r="F56" s="189" t="s">
        <v>29</v>
      </c>
      <c r="G56" s="189" t="s">
        <v>439</v>
      </c>
      <c r="H56" s="366">
        <v>3</v>
      </c>
      <c r="I56" s="366" t="s">
        <v>29</v>
      </c>
      <c r="J56" s="366">
        <v>0</v>
      </c>
      <c r="K56" s="212" t="str">
        <f t="shared" si="11"/>
        <v>1</v>
      </c>
      <c r="L56" s="210" t="str">
        <f>VLOOKUP($B56,Invulblad!$A$11:$S$103,13,0)</f>
        <v>1</v>
      </c>
      <c r="M56" s="211">
        <f>IF(L56&lt;&gt;"",VLOOKUP($B56,Invulblad!$A$11:$S$103,7,0),"")</f>
        <v>1</v>
      </c>
      <c r="N56" s="209" t="s">
        <v>29</v>
      </c>
      <c r="O56" s="211">
        <f>IF(L56&lt;&gt;"",VLOOKUP($B56,Invulblad!$A$11:$S$103,9,0),"")</f>
        <v>0</v>
      </c>
      <c r="P56" s="212">
        <f t="shared" si="12"/>
        <v>5</v>
      </c>
    </row>
    <row r="57" spans="1:16">
      <c r="A57" s="188">
        <v>44</v>
      </c>
      <c r="B57" s="195">
        <v>28</v>
      </c>
      <c r="C57" s="332">
        <v>41812</v>
      </c>
      <c r="D57" s="333">
        <v>0</v>
      </c>
      <c r="E57" s="189" t="s">
        <v>234</v>
      </c>
      <c r="F57" s="189" t="s">
        <v>29</v>
      </c>
      <c r="G57" s="189" t="s">
        <v>566</v>
      </c>
      <c r="H57" s="366">
        <v>0</v>
      </c>
      <c r="I57" s="366" t="s">
        <v>29</v>
      </c>
      <c r="J57" s="366">
        <v>2</v>
      </c>
      <c r="K57" s="212">
        <f t="shared" si="11"/>
        <v>2</v>
      </c>
      <c r="L57" s="210" t="str">
        <f>VLOOKUP($B57,Invulblad!$A$11:$S$103,13,0)</f>
        <v>1</v>
      </c>
      <c r="M57" s="211">
        <f>IF(L57&lt;&gt;"",VLOOKUP($B57,Invulblad!$A$11:$S$103,7,0),"")</f>
        <v>1</v>
      </c>
      <c r="N57" s="209" t="s">
        <v>29</v>
      </c>
      <c r="O57" s="211">
        <f>IF(L57&lt;&gt;"",VLOOKUP($B57,Invulblad!$A$11:$S$103,9,0),"")</f>
        <v>0</v>
      </c>
      <c r="P57" s="212">
        <f t="shared" si="12"/>
        <v>0</v>
      </c>
    </row>
    <row r="58" spans="1:16">
      <c r="A58" s="188">
        <v>45</v>
      </c>
      <c r="B58" s="195">
        <v>43</v>
      </c>
      <c r="C58" s="332">
        <v>41815</v>
      </c>
      <c r="D58" s="333">
        <v>0.75</v>
      </c>
      <c r="E58" s="189" t="s">
        <v>234</v>
      </c>
      <c r="F58" s="189" t="s">
        <v>29</v>
      </c>
      <c r="G58" s="189" t="s">
        <v>567</v>
      </c>
      <c r="H58" s="366">
        <v>0</v>
      </c>
      <c r="I58" s="366" t="s">
        <v>29</v>
      </c>
      <c r="J58" s="366">
        <v>2</v>
      </c>
      <c r="K58" s="212">
        <f t="shared" si="11"/>
        <v>2</v>
      </c>
      <c r="L58" s="210">
        <f>VLOOKUP($B58,Invulblad!$A$11:$S$103,13,0)</f>
        <v>2</v>
      </c>
      <c r="M58" s="211">
        <f>IF(L58&lt;&gt;"",VLOOKUP($B58,Invulblad!$A$11:$S$103,7,0),"")</f>
        <v>2</v>
      </c>
      <c r="N58" s="209" t="s">
        <v>29</v>
      </c>
      <c r="O58" s="211">
        <f>IF(L58&lt;&gt;"",VLOOKUP($B58,Invulblad!$A$11:$S$103,9,0),"")</f>
        <v>3</v>
      </c>
      <c r="P58" s="212">
        <f t="shared" si="12"/>
        <v>5</v>
      </c>
    </row>
    <row r="59" spans="1:16">
      <c r="A59" s="188">
        <v>46</v>
      </c>
      <c r="B59" s="195">
        <v>44</v>
      </c>
      <c r="C59" s="332">
        <v>41815</v>
      </c>
      <c r="D59" s="333">
        <v>0.75</v>
      </c>
      <c r="E59" s="189" t="s">
        <v>568</v>
      </c>
      <c r="F59" s="189" t="s">
        <v>29</v>
      </c>
      <c r="G59" s="189" t="s">
        <v>439</v>
      </c>
      <c r="H59" s="366">
        <v>2</v>
      </c>
      <c r="I59" s="366" t="s">
        <v>29</v>
      </c>
      <c r="J59" s="366">
        <v>0</v>
      </c>
      <c r="K59" s="212" t="str">
        <f t="shared" si="11"/>
        <v>1</v>
      </c>
      <c r="L59" s="210" t="str">
        <f>VLOOKUP($B59,Invulblad!$A$11:$S$103,13,0)</f>
        <v>1</v>
      </c>
      <c r="M59" s="211">
        <f>IF(L59&lt;&gt;"",VLOOKUP($B59,Invulblad!$A$11:$S$103,7,0),"")</f>
        <v>3</v>
      </c>
      <c r="N59" s="209" t="s">
        <v>29</v>
      </c>
      <c r="O59" s="211">
        <f>IF(L59&lt;&gt;"",VLOOKUP($B59,Invulblad!$A$11:$S$103,9,0),"")</f>
        <v>1</v>
      </c>
      <c r="P59" s="212">
        <f t="shared" si="12"/>
        <v>5</v>
      </c>
    </row>
    <row r="60" spans="1:16">
      <c r="A60" s="188">
        <v>47</v>
      </c>
      <c r="B60" s="201" t="s">
        <v>36</v>
      </c>
      <c r="H60" s="367"/>
      <c r="I60" s="367"/>
      <c r="J60" s="367"/>
      <c r="K60" s="213" t="str">
        <f t="shared" si="11"/>
        <v/>
      </c>
      <c r="L60" s="210"/>
      <c r="M60" s="211" t="str">
        <f>IF(L60&lt;&gt;"",VLOOKUP($B60,Invulblad!$A$11:$S$103,7,0),"")</f>
        <v/>
      </c>
      <c r="N60" s="209"/>
      <c r="O60" s="211" t="str">
        <f>IF(L60&lt;&gt;"",VLOOKUP($B60,Invulblad!$A$11:$S$103,9,0),"")</f>
        <v/>
      </c>
    </row>
    <row r="61" spans="1:16">
      <c r="B61" s="201" t="s">
        <v>272</v>
      </c>
      <c r="C61" s="189" t="s">
        <v>420</v>
      </c>
      <c r="D61" s="189" t="s">
        <v>421</v>
      </c>
      <c r="E61" s="189" t="s">
        <v>145</v>
      </c>
      <c r="F61" s="189" t="s">
        <v>29</v>
      </c>
      <c r="G61" s="189" t="s">
        <v>145</v>
      </c>
      <c r="H61" s="365" t="s">
        <v>93</v>
      </c>
      <c r="I61" s="365"/>
      <c r="J61" s="365"/>
      <c r="K61" s="213"/>
      <c r="L61" s="210"/>
      <c r="M61" s="211"/>
      <c r="N61" s="209"/>
      <c r="O61" s="211"/>
    </row>
    <row r="62" spans="1:16">
      <c r="A62" s="188">
        <v>49</v>
      </c>
      <c r="B62" s="195">
        <v>13</v>
      </c>
      <c r="C62" s="332">
        <v>41806</v>
      </c>
      <c r="D62" s="333">
        <v>0.75</v>
      </c>
      <c r="E62" s="189" t="s">
        <v>113</v>
      </c>
      <c r="F62" s="189" t="s">
        <v>29</v>
      </c>
      <c r="G62" s="189" t="s">
        <v>124</v>
      </c>
      <c r="H62" s="366">
        <v>2</v>
      </c>
      <c r="I62" s="366" t="s">
        <v>29</v>
      </c>
      <c r="J62" s="366">
        <v>1</v>
      </c>
      <c r="K62" s="212" t="str">
        <f t="shared" si="11"/>
        <v>1</v>
      </c>
      <c r="L62" s="210" t="str">
        <f>VLOOKUP($B62,Invulblad!$A$11:$S$103,13,0)</f>
        <v>1</v>
      </c>
      <c r="M62" s="211">
        <f>IF(L62&lt;&gt;"",VLOOKUP($B62,Invulblad!$A$11:$S$103,7,0),"")</f>
        <v>4</v>
      </c>
      <c r="N62" s="209" t="s">
        <v>29</v>
      </c>
      <c r="O62" s="211">
        <f>IF(L62&lt;&gt;"",VLOOKUP($B62,Invulblad!$A$11:$S$103,9,0),"")</f>
        <v>0</v>
      </c>
      <c r="P62" s="212">
        <f t="shared" ref="P62:P67" si="13">IF(L62&lt;&gt;"",IF(AND(M62=H62,O62=J62),10,IF(K62=L62,5,0)),"")</f>
        <v>5</v>
      </c>
    </row>
    <row r="63" spans="1:16">
      <c r="A63" s="188">
        <v>50</v>
      </c>
      <c r="B63" s="195">
        <v>14</v>
      </c>
      <c r="C63" s="332">
        <v>41807</v>
      </c>
      <c r="D63" s="333">
        <v>0</v>
      </c>
      <c r="E63" s="189" t="s">
        <v>115</v>
      </c>
      <c r="F63" s="189" t="s">
        <v>29</v>
      </c>
      <c r="G63" s="189" t="s">
        <v>577</v>
      </c>
      <c r="H63" s="366">
        <v>1</v>
      </c>
      <c r="I63" s="366" t="s">
        <v>29</v>
      </c>
      <c r="J63" s="366">
        <v>0</v>
      </c>
      <c r="K63" s="212" t="str">
        <f t="shared" si="11"/>
        <v>1</v>
      </c>
      <c r="L63" s="210">
        <f>VLOOKUP($B63,Invulblad!$A$11:$S$103,13,0)</f>
        <v>2</v>
      </c>
      <c r="M63" s="211">
        <f>IF(L63&lt;&gt;"",VLOOKUP($B63,Invulblad!$A$11:$S$103,7,0),"")</f>
        <v>1</v>
      </c>
      <c r="N63" s="209" t="s">
        <v>29</v>
      </c>
      <c r="O63" s="211">
        <f>IF(L63&lt;&gt;"",VLOOKUP($B63,Invulblad!$A$11:$S$103,9,0),"")</f>
        <v>2</v>
      </c>
      <c r="P63" s="212">
        <f t="shared" si="13"/>
        <v>0</v>
      </c>
    </row>
    <row r="64" spans="1:16">
      <c r="A64" s="188">
        <v>51</v>
      </c>
      <c r="B64" s="195">
        <v>29</v>
      </c>
      <c r="C64" s="332">
        <v>41811</v>
      </c>
      <c r="D64" s="333">
        <v>0.875</v>
      </c>
      <c r="E64" s="189" t="s">
        <v>113</v>
      </c>
      <c r="F64" s="189" t="s">
        <v>29</v>
      </c>
      <c r="G64" s="189" t="s">
        <v>114</v>
      </c>
      <c r="H64" s="366">
        <v>2</v>
      </c>
      <c r="I64" s="366" t="s">
        <v>29</v>
      </c>
      <c r="J64" s="366">
        <v>0</v>
      </c>
      <c r="K64" s="212" t="str">
        <f t="shared" si="11"/>
        <v>1</v>
      </c>
      <c r="L64" s="210">
        <f>VLOOKUP($B64,Invulblad!$A$11:$S$103,13,0)</f>
        <v>3</v>
      </c>
      <c r="M64" s="211">
        <f>IF(L64&lt;&gt;"",VLOOKUP($B64,Invulblad!$A$11:$S$103,7,0),"")</f>
        <v>2</v>
      </c>
      <c r="N64" s="209" t="s">
        <v>29</v>
      </c>
      <c r="O64" s="211">
        <f>IF(L64&lt;&gt;"",VLOOKUP($B64,Invulblad!$A$11:$S$103,9,0),"")</f>
        <v>2</v>
      </c>
      <c r="P64" s="212">
        <f t="shared" si="13"/>
        <v>0</v>
      </c>
    </row>
    <row r="65" spans="1:16">
      <c r="A65" s="188">
        <v>52</v>
      </c>
      <c r="B65" s="195">
        <v>30</v>
      </c>
      <c r="C65" s="332">
        <v>41813</v>
      </c>
      <c r="D65" s="333">
        <v>0</v>
      </c>
      <c r="E65" s="189" t="s">
        <v>578</v>
      </c>
      <c r="F65" s="189" t="s">
        <v>29</v>
      </c>
      <c r="G65" s="189" t="s">
        <v>124</v>
      </c>
      <c r="H65" s="366">
        <v>0</v>
      </c>
      <c r="I65" s="366" t="s">
        <v>29</v>
      </c>
      <c r="J65" s="366">
        <v>2</v>
      </c>
      <c r="K65" s="212">
        <f t="shared" si="11"/>
        <v>2</v>
      </c>
      <c r="L65" s="210">
        <f>VLOOKUP($B65,Invulblad!$A$11:$S$103,13,0)</f>
        <v>3</v>
      </c>
      <c r="M65" s="211">
        <f>IF(L65&lt;&gt;"",VLOOKUP($B65,Invulblad!$A$11:$S$103,7,0),"")</f>
        <v>2</v>
      </c>
      <c r="N65" s="209" t="s">
        <v>29</v>
      </c>
      <c r="O65" s="211">
        <f>IF(L65&lt;&gt;"",VLOOKUP($B65,Invulblad!$A$11:$S$103,9,0),"")</f>
        <v>2</v>
      </c>
      <c r="P65" s="212">
        <f t="shared" si="13"/>
        <v>0</v>
      </c>
    </row>
    <row r="66" spans="1:16">
      <c r="A66" s="188">
        <v>53</v>
      </c>
      <c r="B66" s="195">
        <v>45</v>
      </c>
      <c r="C66" s="332">
        <v>41816</v>
      </c>
      <c r="D66" s="333">
        <v>0.75</v>
      </c>
      <c r="E66" s="189" t="s">
        <v>578</v>
      </c>
      <c r="F66" s="189" t="s">
        <v>29</v>
      </c>
      <c r="G66" s="189" t="s">
        <v>116</v>
      </c>
      <c r="H66" s="366">
        <v>0</v>
      </c>
      <c r="I66" s="366" t="s">
        <v>29</v>
      </c>
      <c r="J66" s="366">
        <v>2</v>
      </c>
      <c r="K66" s="212">
        <f t="shared" si="11"/>
        <v>2</v>
      </c>
      <c r="L66" s="210">
        <f>VLOOKUP($B66,Invulblad!$A$11:$S$103,13,0)</f>
        <v>2</v>
      </c>
      <c r="M66" s="211">
        <f>IF(L66&lt;&gt;"",VLOOKUP($B66,Invulblad!$A$11:$S$103,7,0),"")</f>
        <v>0</v>
      </c>
      <c r="N66" s="209" t="s">
        <v>29</v>
      </c>
      <c r="O66" s="211">
        <f>IF(L66&lt;&gt;"",VLOOKUP($B66,Invulblad!$A$11:$S$103,9,0),"")</f>
        <v>1</v>
      </c>
      <c r="P66" s="212">
        <f t="shared" si="13"/>
        <v>5</v>
      </c>
    </row>
    <row r="67" spans="1:16">
      <c r="A67" s="188">
        <v>54</v>
      </c>
      <c r="B67" s="195">
        <v>46</v>
      </c>
      <c r="C67" s="332">
        <v>41816</v>
      </c>
      <c r="D67" s="333">
        <v>0.75</v>
      </c>
      <c r="E67" s="189" t="s">
        <v>126</v>
      </c>
      <c r="F67" s="189" t="s">
        <v>29</v>
      </c>
      <c r="G67" s="189" t="s">
        <v>114</v>
      </c>
      <c r="H67" s="366">
        <v>1</v>
      </c>
      <c r="I67" s="366" t="s">
        <v>29</v>
      </c>
      <c r="J67" s="366">
        <v>1</v>
      </c>
      <c r="K67" s="212">
        <f t="shared" si="11"/>
        <v>3</v>
      </c>
      <c r="L67" s="210" t="str">
        <f>VLOOKUP($B67,Invulblad!$A$11:$S$103,13,0)</f>
        <v>1</v>
      </c>
      <c r="M67" s="211">
        <f>IF(L67&lt;&gt;"",VLOOKUP($B67,Invulblad!$A$11:$S$103,7,0),"")</f>
        <v>2</v>
      </c>
      <c r="N67" s="209" t="s">
        <v>29</v>
      </c>
      <c r="O67" s="211">
        <f>IF(L67&lt;&gt;"",VLOOKUP($B67,Invulblad!$A$11:$S$103,9,0),"")</f>
        <v>1</v>
      </c>
      <c r="P67" s="212">
        <f t="shared" si="13"/>
        <v>0</v>
      </c>
    </row>
    <row r="68" spans="1:16">
      <c r="A68" s="188">
        <v>55</v>
      </c>
      <c r="B68" s="201" t="s">
        <v>37</v>
      </c>
      <c r="H68" s="367"/>
      <c r="I68" s="367"/>
      <c r="J68" s="367"/>
      <c r="K68" s="213" t="str">
        <f t="shared" si="11"/>
        <v/>
      </c>
      <c r="L68" s="210"/>
      <c r="M68" s="211" t="str">
        <f>IF(L68&lt;&gt;"",VLOOKUP($B68,Invulblad!$A$11:$S$103,7,0),"")</f>
        <v/>
      </c>
      <c r="N68" s="209"/>
      <c r="O68" s="211" t="str">
        <f>IF(L68&lt;&gt;"",VLOOKUP($B68,Invulblad!$A$11:$S$103,9,0),"")</f>
        <v/>
      </c>
    </row>
    <row r="69" spans="1:16">
      <c r="B69" s="201" t="s">
        <v>272</v>
      </c>
      <c r="C69" s="189" t="s">
        <v>420</v>
      </c>
      <c r="D69" s="189" t="s">
        <v>421</v>
      </c>
      <c r="E69" s="189" t="s">
        <v>145</v>
      </c>
      <c r="F69" s="189" t="s">
        <v>29</v>
      </c>
      <c r="G69" s="189" t="s">
        <v>145</v>
      </c>
      <c r="H69" s="365" t="s">
        <v>93</v>
      </c>
      <c r="I69" s="365"/>
      <c r="J69" s="365"/>
      <c r="K69" s="213"/>
      <c r="L69" s="210"/>
      <c r="M69" s="211"/>
      <c r="N69" s="209"/>
      <c r="O69" s="211"/>
    </row>
    <row r="70" spans="1:16">
      <c r="A70" s="188">
        <v>57</v>
      </c>
      <c r="B70" s="195">
        <v>15</v>
      </c>
      <c r="C70" s="332">
        <v>41807</v>
      </c>
      <c r="D70" s="333">
        <v>0.75</v>
      </c>
      <c r="E70" s="189" t="s">
        <v>569</v>
      </c>
      <c r="F70" s="189" t="s">
        <v>29</v>
      </c>
      <c r="G70" s="189" t="s">
        <v>111</v>
      </c>
      <c r="H70" s="366">
        <v>2</v>
      </c>
      <c r="I70" s="366" t="s">
        <v>29</v>
      </c>
      <c r="J70" s="366">
        <v>0</v>
      </c>
      <c r="K70" s="212" t="str">
        <f t="shared" si="11"/>
        <v>1</v>
      </c>
      <c r="L70" s="210" t="str">
        <f>VLOOKUP($B70,Invulblad!$A$11:$S$103,13,0)</f>
        <v>1</v>
      </c>
      <c r="M70" s="211">
        <f>IF(L70&lt;&gt;"",VLOOKUP($B70,Invulblad!$A$11:$S$103,7,0),"")</f>
        <v>2</v>
      </c>
      <c r="N70" s="209" t="s">
        <v>29</v>
      </c>
      <c r="O70" s="211">
        <f>IF(L70&lt;&gt;"",VLOOKUP($B70,Invulblad!$A$11:$S$103,9,0),"")</f>
        <v>1</v>
      </c>
      <c r="P70" s="212">
        <f t="shared" ref="P70:P75" si="14">IF(L70&lt;&gt;"",IF(AND(M70=H70,O70=J70),10,IF(K70=L70,5,0)),"")</f>
        <v>5</v>
      </c>
    </row>
    <row r="71" spans="1:16">
      <c r="A71" s="188">
        <v>58</v>
      </c>
      <c r="B71" s="195">
        <v>16</v>
      </c>
      <c r="C71" s="332">
        <v>41808</v>
      </c>
      <c r="D71" s="333">
        <v>0</v>
      </c>
      <c r="E71" s="189" t="s">
        <v>445</v>
      </c>
      <c r="F71" s="189" t="s">
        <v>29</v>
      </c>
      <c r="G71" s="189" t="s">
        <v>107</v>
      </c>
      <c r="H71" s="366">
        <v>2</v>
      </c>
      <c r="I71" s="366" t="s">
        <v>29</v>
      </c>
      <c r="J71" s="366">
        <v>0</v>
      </c>
      <c r="K71" s="212" t="str">
        <f t="shared" si="11"/>
        <v>1</v>
      </c>
      <c r="L71" s="210">
        <f>VLOOKUP($B71,Invulblad!$A$11:$S$103,13,0)</f>
        <v>3</v>
      </c>
      <c r="M71" s="211">
        <f>IF(L71&lt;&gt;"",VLOOKUP($B71,Invulblad!$A$11:$S$103,7,0),"")</f>
        <v>1</v>
      </c>
      <c r="N71" s="209" t="s">
        <v>29</v>
      </c>
      <c r="O71" s="211">
        <f>IF(L71&lt;&gt;"",VLOOKUP($B71,Invulblad!$A$11:$S$103,9,0),"")</f>
        <v>1</v>
      </c>
      <c r="P71" s="212">
        <f t="shared" si="14"/>
        <v>0</v>
      </c>
    </row>
    <row r="72" spans="1:16">
      <c r="A72" s="188">
        <v>59</v>
      </c>
      <c r="B72" s="195">
        <v>31</v>
      </c>
      <c r="C72" s="332">
        <v>41812</v>
      </c>
      <c r="D72" s="333">
        <v>0.75</v>
      </c>
      <c r="E72" s="189" t="s">
        <v>569</v>
      </c>
      <c r="F72" s="189" t="s">
        <v>29</v>
      </c>
      <c r="G72" s="189" t="s">
        <v>446</v>
      </c>
      <c r="H72" s="366">
        <v>1</v>
      </c>
      <c r="I72" s="366" t="s">
        <v>29</v>
      </c>
      <c r="J72" s="366">
        <v>1</v>
      </c>
      <c r="K72" s="212">
        <f t="shared" si="11"/>
        <v>3</v>
      </c>
      <c r="L72" s="210" t="str">
        <f>VLOOKUP($B72,Invulblad!$A$11:$S$103,13,0)</f>
        <v>1</v>
      </c>
      <c r="M72" s="211">
        <f>IF(L72&lt;&gt;"",VLOOKUP($B72,Invulblad!$A$11:$S$103,7,0),"")</f>
        <v>1</v>
      </c>
      <c r="N72" s="209" t="s">
        <v>29</v>
      </c>
      <c r="O72" s="211">
        <f>IF(L72&lt;&gt;"",VLOOKUP($B72,Invulblad!$A$11:$S$103,9,0),"")</f>
        <v>0</v>
      </c>
      <c r="P72" s="212">
        <f t="shared" si="14"/>
        <v>0</v>
      </c>
    </row>
    <row r="73" spans="1:16">
      <c r="A73" s="188">
        <v>60</v>
      </c>
      <c r="B73" s="195">
        <v>32</v>
      </c>
      <c r="C73" s="332">
        <v>41812</v>
      </c>
      <c r="D73" s="333">
        <v>0.875</v>
      </c>
      <c r="E73" s="189" t="s">
        <v>232</v>
      </c>
      <c r="F73" s="189" t="s">
        <v>29</v>
      </c>
      <c r="G73" s="189" t="s">
        <v>111</v>
      </c>
      <c r="H73" s="366">
        <v>2</v>
      </c>
      <c r="I73" s="366" t="s">
        <v>29</v>
      </c>
      <c r="J73" s="366">
        <v>0</v>
      </c>
      <c r="K73" s="212" t="str">
        <f t="shared" si="11"/>
        <v>1</v>
      </c>
      <c r="L73" s="210">
        <f>VLOOKUP($B73,Invulblad!$A$11:$S$103,13,0)</f>
        <v>2</v>
      </c>
      <c r="M73" s="211">
        <f>IF(L73&lt;&gt;"",VLOOKUP($B73,Invulblad!$A$11:$S$103,7,0),"")</f>
        <v>2</v>
      </c>
      <c r="N73" s="209" t="s">
        <v>29</v>
      </c>
      <c r="O73" s="211">
        <f>IF(L73&lt;&gt;"",VLOOKUP($B73,Invulblad!$A$11:$S$103,9,0),"")</f>
        <v>4</v>
      </c>
      <c r="P73" s="212">
        <f t="shared" si="14"/>
        <v>0</v>
      </c>
    </row>
    <row r="74" spans="1:16">
      <c r="A74" s="188">
        <v>61</v>
      </c>
      <c r="B74" s="195">
        <v>47</v>
      </c>
      <c r="C74" s="332">
        <v>41816</v>
      </c>
      <c r="D74" s="333">
        <v>0.91666666666666663</v>
      </c>
      <c r="E74" s="189" t="s">
        <v>232</v>
      </c>
      <c r="F74" s="189" t="s">
        <v>29</v>
      </c>
      <c r="G74" s="189" t="s">
        <v>570</v>
      </c>
      <c r="H74" s="366">
        <v>1</v>
      </c>
      <c r="I74" s="366" t="s">
        <v>29</v>
      </c>
      <c r="J74" s="366">
        <v>2</v>
      </c>
      <c r="K74" s="212">
        <f t="shared" si="11"/>
        <v>2</v>
      </c>
      <c r="L74" s="210">
        <f>VLOOKUP($B74,Invulblad!$A$11:$S$103,13,0)</f>
        <v>2</v>
      </c>
      <c r="M74" s="211">
        <f>IF(L74&lt;&gt;"",VLOOKUP($B74,Invulblad!$A$11:$S$103,7,0),"")</f>
        <v>0</v>
      </c>
      <c r="N74" s="209" t="s">
        <v>29</v>
      </c>
      <c r="O74" s="211">
        <f>IF(L74&lt;&gt;"",VLOOKUP($B74,Invulblad!$A$11:$S$103,9,0),"")</f>
        <v>1</v>
      </c>
      <c r="P74" s="212">
        <f t="shared" si="14"/>
        <v>5</v>
      </c>
    </row>
    <row r="75" spans="1:16">
      <c r="A75" s="188">
        <v>62</v>
      </c>
      <c r="B75" s="195">
        <v>48</v>
      </c>
      <c r="C75" s="332">
        <v>41816</v>
      </c>
      <c r="D75" s="333">
        <v>0.91666666666666663</v>
      </c>
      <c r="E75" s="189" t="s">
        <v>236</v>
      </c>
      <c r="F75" s="189" t="s">
        <v>29</v>
      </c>
      <c r="G75" s="189" t="s">
        <v>446</v>
      </c>
      <c r="H75" s="366">
        <v>0</v>
      </c>
      <c r="I75" s="366" t="s">
        <v>29</v>
      </c>
      <c r="J75" s="366">
        <v>1</v>
      </c>
      <c r="K75" s="212">
        <f t="shared" si="11"/>
        <v>2</v>
      </c>
      <c r="L75" s="210">
        <f>VLOOKUP($B75,Invulblad!$A$11:$S$103,13,0)</f>
        <v>3</v>
      </c>
      <c r="M75" s="211">
        <f>IF(L75&lt;&gt;"",VLOOKUP($B75,Invulblad!$A$11:$S$103,7,0),"")</f>
        <v>1</v>
      </c>
      <c r="N75" s="209" t="s">
        <v>29</v>
      </c>
      <c r="O75" s="211">
        <f>IF(L75&lt;&gt;"",VLOOKUP($B75,Invulblad!$A$11:$S$103,9,0),"")</f>
        <v>1</v>
      </c>
      <c r="P75" s="212">
        <f t="shared" si="14"/>
        <v>0</v>
      </c>
    </row>
    <row r="76" spans="1:16">
      <c r="A76" s="188">
        <v>63</v>
      </c>
      <c r="B76" s="201" t="s">
        <v>86</v>
      </c>
      <c r="H76" s="367"/>
      <c r="I76" s="367"/>
      <c r="J76" s="367"/>
      <c r="K76" s="213" t="str">
        <f t="shared" si="11"/>
        <v/>
      </c>
      <c r="L76" s="210"/>
      <c r="M76" s="211" t="str">
        <f>IF(L76&lt;&gt;"",VLOOKUP($B76,Invulblad!$A$11:$S$103,7,0),"")</f>
        <v/>
      </c>
      <c r="N76" s="209"/>
      <c r="O76" s="211" t="str">
        <f>IF(L76&lt;&gt;"",VLOOKUP($B76,Invulblad!$A$11:$S$103,9,0),"")</f>
        <v/>
      </c>
    </row>
    <row r="77" spans="1:16">
      <c r="B77" s="201" t="s">
        <v>272</v>
      </c>
      <c r="C77" s="189" t="s">
        <v>420</v>
      </c>
      <c r="D77" s="189" t="s">
        <v>421</v>
      </c>
      <c r="E77" s="189" t="s">
        <v>145</v>
      </c>
      <c r="F77" s="189" t="s">
        <v>29</v>
      </c>
      <c r="G77" s="189" t="s">
        <v>145</v>
      </c>
      <c r="H77" s="365" t="s">
        <v>93</v>
      </c>
      <c r="I77" s="365"/>
      <c r="J77" s="365"/>
      <c r="K77" s="213"/>
      <c r="L77" s="210"/>
      <c r="M77" s="211"/>
      <c r="N77" s="209"/>
      <c r="O77" s="211"/>
    </row>
    <row r="78" spans="1:16">
      <c r="A78" s="188">
        <v>65</v>
      </c>
      <c r="B78" s="195">
        <v>49</v>
      </c>
      <c r="C78" s="332">
        <v>41818</v>
      </c>
      <c r="D78" s="333">
        <v>0.75</v>
      </c>
      <c r="E78" s="189" t="s">
        <v>199</v>
      </c>
      <c r="F78" s="189" t="s">
        <v>29</v>
      </c>
      <c r="G78" s="189" t="s">
        <v>135</v>
      </c>
      <c r="H78" s="366">
        <v>2</v>
      </c>
      <c r="I78" s="366" t="s">
        <v>29</v>
      </c>
      <c r="J78" s="366">
        <v>1</v>
      </c>
      <c r="K78" s="212" t="str">
        <f t="shared" si="11"/>
        <v>1</v>
      </c>
      <c r="L78" s="210">
        <f>VLOOKUP($B78,Invulblad!$A$11:$S$103,13,0)</f>
        <v>3</v>
      </c>
      <c r="M78" s="211">
        <f>IF(L78&lt;&gt;"",VLOOKUP($B78,Invulblad!$A$11:$S$103,7,0),"")</f>
        <v>1</v>
      </c>
      <c r="N78" s="209" t="s">
        <v>29</v>
      </c>
      <c r="O78" s="211">
        <f>IF(L78&lt;&gt;"",VLOOKUP($B78,Invulblad!$A$11:$S$103,9,0),"")</f>
        <v>1</v>
      </c>
      <c r="P78" s="212">
        <f t="shared" ref="P78:P85" si="15">IF(L78&lt;&gt;"",IF(AND(M78=H78,O78=J78),10,IF(K78=L78,5,0)),"")</f>
        <v>0</v>
      </c>
    </row>
    <row r="79" spans="1:16">
      <c r="A79" s="188">
        <v>66</v>
      </c>
      <c r="B79" s="195">
        <v>50</v>
      </c>
      <c r="C79" s="332">
        <v>41818</v>
      </c>
      <c r="D79" s="333">
        <v>0.91666666666666663</v>
      </c>
      <c r="E79" s="189" t="s">
        <v>390</v>
      </c>
      <c r="F79" s="189" t="s">
        <v>29</v>
      </c>
      <c r="G79" s="189" t="s">
        <v>193</v>
      </c>
      <c r="H79" s="366">
        <v>1</v>
      </c>
      <c r="I79" s="366" t="s">
        <v>29</v>
      </c>
      <c r="J79" s="366">
        <v>1</v>
      </c>
      <c r="K79" s="212">
        <f t="shared" si="11"/>
        <v>3</v>
      </c>
      <c r="L79" s="210" t="str">
        <f>VLOOKUP($B79,Invulblad!$A$11:$S$103,13,0)</f>
        <v>1</v>
      </c>
      <c r="M79" s="211">
        <f>IF(L79&lt;&gt;"",VLOOKUP($B79,Invulblad!$A$11:$S$103,7,0),"")</f>
        <v>2</v>
      </c>
      <c r="N79" s="209" t="s">
        <v>29</v>
      </c>
      <c r="O79" s="211">
        <f>IF(L79&lt;&gt;"",VLOOKUP($B79,Invulblad!$A$11:$S$103,9,0),"")</f>
        <v>0</v>
      </c>
      <c r="P79" s="212">
        <f t="shared" si="15"/>
        <v>0</v>
      </c>
    </row>
    <row r="80" spans="1:16">
      <c r="A80" s="188">
        <v>67</v>
      </c>
      <c r="B80" s="195">
        <v>51</v>
      </c>
      <c r="C80" s="332">
        <v>41819</v>
      </c>
      <c r="D80" s="333">
        <v>0.75</v>
      </c>
      <c r="E80" s="189" t="s">
        <v>138</v>
      </c>
      <c r="F80" s="189" t="s">
        <v>29</v>
      </c>
      <c r="G80" s="189" t="s">
        <v>152</v>
      </c>
      <c r="H80" s="366">
        <v>2</v>
      </c>
      <c r="I80" s="366" t="s">
        <v>29</v>
      </c>
      <c r="J80" s="366">
        <v>0</v>
      </c>
      <c r="K80" s="212" t="str">
        <f t="shared" si="11"/>
        <v>1</v>
      </c>
      <c r="L80" s="210" t="str">
        <f>VLOOKUP($B80,Invulblad!$A$11:$S$103,13,0)</f>
        <v>1</v>
      </c>
      <c r="M80" s="211">
        <f>IF(L80&lt;&gt;"",VLOOKUP($B80,Invulblad!$A$11:$S$103,7,0),"")</f>
        <v>2</v>
      </c>
      <c r="N80" s="209" t="s">
        <v>29</v>
      </c>
      <c r="O80" s="211">
        <f>IF(L80&lt;&gt;"",VLOOKUP($B80,Invulblad!$A$11:$S$103,9,0),"")</f>
        <v>1</v>
      </c>
      <c r="P80" s="212">
        <f t="shared" si="15"/>
        <v>5</v>
      </c>
    </row>
    <row r="81" spans="1:16">
      <c r="A81" s="188">
        <v>68</v>
      </c>
      <c r="B81" s="195">
        <v>52</v>
      </c>
      <c r="C81" s="332">
        <v>41819</v>
      </c>
      <c r="D81" s="333">
        <v>0.91666666666666663</v>
      </c>
      <c r="E81" s="189" t="s">
        <v>97</v>
      </c>
      <c r="F81" s="189" t="s">
        <v>29</v>
      </c>
      <c r="G81" s="189" t="s">
        <v>200</v>
      </c>
      <c r="H81" s="366">
        <v>1</v>
      </c>
      <c r="I81" s="366" t="s">
        <v>29</v>
      </c>
      <c r="J81" s="366">
        <v>2</v>
      </c>
      <c r="K81" s="212">
        <f t="shared" si="11"/>
        <v>2</v>
      </c>
      <c r="L81" s="210">
        <f>VLOOKUP($B81,Invulblad!$A$11:$S$103,13,0)</f>
        <v>3</v>
      </c>
      <c r="M81" s="211">
        <f>IF(L81&lt;&gt;"",VLOOKUP($B81,Invulblad!$A$11:$S$103,7,0),"")</f>
        <v>1</v>
      </c>
      <c r="N81" s="209" t="s">
        <v>29</v>
      </c>
      <c r="O81" s="211">
        <f>IF(L81&lt;&gt;"",VLOOKUP($B81,Invulblad!$A$11:$S$103,9,0),"")</f>
        <v>1</v>
      </c>
      <c r="P81" s="212">
        <f t="shared" si="15"/>
        <v>0</v>
      </c>
    </row>
    <row r="82" spans="1:16">
      <c r="A82" s="188">
        <v>69</v>
      </c>
      <c r="B82" s="195">
        <v>53</v>
      </c>
      <c r="C82" s="332">
        <v>41820</v>
      </c>
      <c r="D82" s="333">
        <v>0.75</v>
      </c>
      <c r="E82" s="189" t="s">
        <v>143</v>
      </c>
      <c r="F82" s="189" t="s">
        <v>29</v>
      </c>
      <c r="G82" s="189" t="s">
        <v>572</v>
      </c>
      <c r="H82" s="366">
        <v>2</v>
      </c>
      <c r="I82" s="366" t="s">
        <v>29</v>
      </c>
      <c r="J82" s="366">
        <v>1</v>
      </c>
      <c r="K82" s="212" t="str">
        <f t="shared" si="11"/>
        <v>1</v>
      </c>
      <c r="L82" s="210" t="str">
        <f>VLOOKUP($B82,Invulblad!$A$11:$S$103,13,0)</f>
        <v>1</v>
      </c>
      <c r="M82" s="211">
        <f>IF(L82&lt;&gt;"",VLOOKUP($B82,Invulblad!$A$11:$S$103,7,0),"")</f>
        <v>2</v>
      </c>
      <c r="N82" s="209" t="s">
        <v>29</v>
      </c>
      <c r="O82" s="211">
        <f>IF(L82&lt;&gt;"",VLOOKUP($B82,Invulblad!$A$11:$S$103,9,0),"")</f>
        <v>0</v>
      </c>
      <c r="P82" s="212">
        <f t="shared" si="15"/>
        <v>5</v>
      </c>
    </row>
    <row r="83" spans="1:16">
      <c r="A83" s="188">
        <v>70</v>
      </c>
      <c r="B83" s="195">
        <v>54</v>
      </c>
      <c r="C83" s="332">
        <v>41820</v>
      </c>
      <c r="D83" s="333">
        <v>0.91666666666666663</v>
      </c>
      <c r="E83" s="189" t="s">
        <v>177</v>
      </c>
      <c r="F83" s="189" t="s">
        <v>29</v>
      </c>
      <c r="G83" s="189" t="s">
        <v>396</v>
      </c>
      <c r="H83" s="366">
        <v>1</v>
      </c>
      <c r="I83" s="366" t="s">
        <v>29</v>
      </c>
      <c r="J83" s="366">
        <v>0</v>
      </c>
      <c r="K83" s="212" t="str">
        <f t="shared" si="11"/>
        <v>1</v>
      </c>
      <c r="L83" s="210" t="str">
        <f>VLOOKUP($B83,Invulblad!$A$11:$S$103,13,0)</f>
        <v>1</v>
      </c>
      <c r="M83" s="211">
        <f>IF(L83&lt;&gt;"",VLOOKUP($B83,Invulblad!$A$11:$S$103,7,0),"")</f>
        <v>2</v>
      </c>
      <c r="N83" s="209" t="s">
        <v>29</v>
      </c>
      <c r="O83" s="211">
        <f>IF(L83&lt;&gt;"",VLOOKUP($B83,Invulblad!$A$11:$S$103,9,0),"")</f>
        <v>1</v>
      </c>
      <c r="P83" s="212">
        <f t="shared" si="15"/>
        <v>5</v>
      </c>
    </row>
    <row r="84" spans="1:16">
      <c r="A84" s="188">
        <v>71</v>
      </c>
      <c r="B84" s="195">
        <v>55</v>
      </c>
      <c r="C84" s="332">
        <v>41821</v>
      </c>
      <c r="D84" s="333">
        <v>0.75</v>
      </c>
      <c r="E84" s="189" t="s">
        <v>102</v>
      </c>
      <c r="F84" s="189" t="s">
        <v>29</v>
      </c>
      <c r="G84" s="189" t="s">
        <v>392</v>
      </c>
      <c r="H84" s="366">
        <v>2</v>
      </c>
      <c r="I84" s="366" t="s">
        <v>29</v>
      </c>
      <c r="J84" s="366">
        <v>0</v>
      </c>
      <c r="K84" s="212" t="str">
        <f t="shared" si="11"/>
        <v>1</v>
      </c>
      <c r="L84" s="210" t="str">
        <f>VLOOKUP($B84,Invulblad!$A$11:$S$103,13,0)</f>
        <v>1</v>
      </c>
      <c r="M84" s="211">
        <f>IF(L84&lt;&gt;"",VLOOKUP($B84,Invulblad!$A$11:$S$103,7,0),"")</f>
        <v>1</v>
      </c>
      <c r="N84" s="209" t="s">
        <v>29</v>
      </c>
      <c r="O84" s="211">
        <f>IF(L84&lt;&gt;"",VLOOKUP($B84,Invulblad!$A$11:$S$103,9,0),"")</f>
        <v>0</v>
      </c>
      <c r="P84" s="212">
        <f t="shared" si="15"/>
        <v>5</v>
      </c>
    </row>
    <row r="85" spans="1:16">
      <c r="A85" s="188">
        <v>72</v>
      </c>
      <c r="B85" s="195">
        <v>56</v>
      </c>
      <c r="C85" s="332">
        <v>41821</v>
      </c>
      <c r="D85" s="333">
        <v>0.91666666666666663</v>
      </c>
      <c r="E85" s="189" t="s">
        <v>395</v>
      </c>
      <c r="F85" s="189" t="s">
        <v>29</v>
      </c>
      <c r="G85" s="189" t="s">
        <v>202</v>
      </c>
      <c r="H85" s="366">
        <v>1</v>
      </c>
      <c r="I85" s="366" t="s">
        <v>29</v>
      </c>
      <c r="J85" s="366">
        <v>1</v>
      </c>
      <c r="K85" s="212">
        <f t="shared" si="11"/>
        <v>3</v>
      </c>
      <c r="L85" s="210" t="str">
        <f>VLOOKUP($B85,Invulblad!$A$11:$S$103,13,0)</f>
        <v>1</v>
      </c>
      <c r="M85" s="211">
        <f>IF(L85&lt;&gt;"",VLOOKUP($B85,Invulblad!$A$11:$S$103,7,0),"")</f>
        <v>2</v>
      </c>
      <c r="N85" s="209" t="s">
        <v>29</v>
      </c>
      <c r="O85" s="211">
        <f>IF(L85&lt;&gt;"",VLOOKUP($B85,Invulblad!$A$11:$S$103,9,0),"")</f>
        <v>1</v>
      </c>
      <c r="P85" s="212">
        <f t="shared" si="15"/>
        <v>0</v>
      </c>
    </row>
    <row r="86" spans="1:16">
      <c r="A86" s="188">
        <v>73</v>
      </c>
      <c r="B86" s="201" t="s">
        <v>136</v>
      </c>
      <c r="H86" s="367"/>
      <c r="I86" s="367"/>
      <c r="J86" s="367"/>
      <c r="K86" s="213" t="str">
        <f t="shared" ref="K86:K101" si="16">IF(AND(H86="",J86=""),"",IF(OR(H86="",J86=""),"FOUT",IF(H86&gt;J86,"1",IF(H86=J86,3,2))))</f>
        <v/>
      </c>
      <c r="L86" s="210"/>
      <c r="M86" s="211" t="str">
        <f>IF(L86&lt;&gt;"",VLOOKUP($B86,Invulblad!$A$11:$S$103,7,0),"")</f>
        <v/>
      </c>
      <c r="N86" s="209"/>
      <c r="O86" s="211" t="str">
        <f>IF(L86&lt;&gt;"",VLOOKUP($B86,Invulblad!$A$11:$S$103,9,0),"")</f>
        <v/>
      </c>
    </row>
    <row r="87" spans="1:16">
      <c r="B87" s="201" t="s">
        <v>272</v>
      </c>
      <c r="C87" s="189" t="s">
        <v>420</v>
      </c>
      <c r="D87" s="189" t="s">
        <v>421</v>
      </c>
      <c r="E87" s="189" t="s">
        <v>145</v>
      </c>
      <c r="F87" s="189" t="s">
        <v>29</v>
      </c>
      <c r="G87" s="189" t="s">
        <v>145</v>
      </c>
      <c r="H87" s="365" t="s">
        <v>93</v>
      </c>
      <c r="I87" s="365"/>
      <c r="J87" s="365"/>
      <c r="K87" s="213"/>
      <c r="L87" s="210"/>
      <c r="M87" s="211"/>
      <c r="N87" s="209"/>
      <c r="O87" s="211"/>
    </row>
    <row r="88" spans="1:16">
      <c r="A88" s="188">
        <v>75</v>
      </c>
      <c r="B88" s="195">
        <v>57</v>
      </c>
      <c r="C88" s="332">
        <v>41824</v>
      </c>
      <c r="D88" s="333">
        <v>0.91666666666666663</v>
      </c>
      <c r="E88" s="189" t="s">
        <v>199</v>
      </c>
      <c r="F88" s="189" t="s">
        <v>29</v>
      </c>
      <c r="G88" s="189" t="s">
        <v>390</v>
      </c>
      <c r="H88" s="366">
        <v>2</v>
      </c>
      <c r="I88" s="366" t="s">
        <v>29</v>
      </c>
      <c r="J88" s="366">
        <v>0</v>
      </c>
      <c r="K88" s="212" t="str">
        <f t="shared" si="16"/>
        <v>1</v>
      </c>
      <c r="L88" s="210" t="str">
        <f>VLOOKUP($B88,Invulblad!$A$11:$S$103,13,0)</f>
        <v>1</v>
      </c>
      <c r="M88" s="211">
        <f>IF(L88&lt;&gt;"",VLOOKUP($B88,Invulblad!$A$11:$S$103,7,0),"")</f>
        <v>2</v>
      </c>
      <c r="N88" s="209" t="s">
        <v>29</v>
      </c>
      <c r="O88" s="211">
        <f>IF(L88&lt;&gt;"",VLOOKUP($B88,Invulblad!$A$11:$S$103,9,0),"")</f>
        <v>1</v>
      </c>
      <c r="P88" s="212">
        <f>IF(L88&lt;&gt;"",IF(AND(M88=H88,O88=J88),10,IF(K88=L88,5,0)),"")</f>
        <v>5</v>
      </c>
    </row>
    <row r="89" spans="1:16">
      <c r="A89" s="188">
        <v>76</v>
      </c>
      <c r="B89" s="195">
        <v>58</v>
      </c>
      <c r="C89" s="332">
        <v>41824</v>
      </c>
      <c r="D89" s="333">
        <v>0.75</v>
      </c>
      <c r="E89" s="189" t="s">
        <v>143</v>
      </c>
      <c r="F89" s="189" t="s">
        <v>29</v>
      </c>
      <c r="G89" s="189" t="s">
        <v>177</v>
      </c>
      <c r="H89" s="366">
        <v>0</v>
      </c>
      <c r="I89" s="366" t="s">
        <v>29</v>
      </c>
      <c r="J89" s="366">
        <v>2</v>
      </c>
      <c r="K89" s="212">
        <f t="shared" si="16"/>
        <v>2</v>
      </c>
      <c r="L89" s="210">
        <f>VLOOKUP($B89,Invulblad!$A$11:$S$103,13,0)</f>
        <v>2</v>
      </c>
      <c r="M89" s="211">
        <f>IF(L89&lt;&gt;"",VLOOKUP($B89,Invulblad!$A$11:$S$103,7,0),"")</f>
        <v>0</v>
      </c>
      <c r="N89" s="209" t="s">
        <v>29</v>
      </c>
      <c r="O89" s="211">
        <f>IF(L89&lt;&gt;"",VLOOKUP($B89,Invulblad!$A$11:$S$103,9,0),"")</f>
        <v>1</v>
      </c>
      <c r="P89" s="212">
        <f>IF(L89&lt;&gt;"",IF(AND(M89=H89,O89=J89),10,IF(K89=L89,5,0)),"")</f>
        <v>5</v>
      </c>
    </row>
    <row r="90" spans="1:16">
      <c r="A90" s="188">
        <v>77</v>
      </c>
      <c r="B90" s="195">
        <v>59</v>
      </c>
      <c r="C90" s="332">
        <v>41825</v>
      </c>
      <c r="D90" s="333">
        <v>0.91666666666666663</v>
      </c>
      <c r="E90" s="189" t="s">
        <v>138</v>
      </c>
      <c r="F90" s="189" t="s">
        <v>29</v>
      </c>
      <c r="G90" s="189" t="s">
        <v>200</v>
      </c>
      <c r="H90" s="366">
        <v>1</v>
      </c>
      <c r="I90" s="366" t="s">
        <v>29</v>
      </c>
      <c r="J90" s="366">
        <v>0</v>
      </c>
      <c r="K90" s="212" t="str">
        <f t="shared" si="16"/>
        <v>1</v>
      </c>
      <c r="L90" s="210">
        <f>VLOOKUP($B90,Invulblad!$A$11:$S$103,13,0)</f>
        <v>3</v>
      </c>
      <c r="M90" s="211">
        <f>IF(L90&lt;&gt;"",VLOOKUP($B90,Invulblad!$A$11:$S$103,7,0),"")</f>
        <v>0</v>
      </c>
      <c r="N90" s="209" t="s">
        <v>29</v>
      </c>
      <c r="O90" s="211">
        <f>IF(L90&lt;&gt;"",VLOOKUP($B90,Invulblad!$A$11:$S$103,9,0),"")</f>
        <v>0</v>
      </c>
      <c r="P90" s="212">
        <f>IF(L90&lt;&gt;"",IF(AND(M90=H90,O90=J90),10,IF(K90=L90,5,0)),"")</f>
        <v>0</v>
      </c>
    </row>
    <row r="91" spans="1:16">
      <c r="A91" s="188">
        <v>78</v>
      </c>
      <c r="B91" s="195">
        <v>60</v>
      </c>
      <c r="C91" s="332">
        <v>41825</v>
      </c>
      <c r="D91" s="333">
        <v>0.75</v>
      </c>
      <c r="E91" s="189" t="s">
        <v>102</v>
      </c>
      <c r="F91" s="189" t="s">
        <v>29</v>
      </c>
      <c r="G91" s="189" t="s">
        <v>395</v>
      </c>
      <c r="H91" s="366">
        <v>2</v>
      </c>
      <c r="I91" s="366" t="s">
        <v>29</v>
      </c>
      <c r="J91" s="366">
        <v>1</v>
      </c>
      <c r="K91" s="212" t="str">
        <f t="shared" si="16"/>
        <v>1</v>
      </c>
      <c r="L91" s="210" t="str">
        <f>VLOOKUP($B91,Invulblad!$A$11:$S$103,13,0)</f>
        <v>1</v>
      </c>
      <c r="M91" s="211">
        <f>IF(L91&lt;&gt;"",VLOOKUP($B91,Invulblad!$A$11:$S$103,7,0),"")</f>
        <v>1</v>
      </c>
      <c r="N91" s="209" t="s">
        <v>29</v>
      </c>
      <c r="O91" s="211">
        <f>IF(L91&lt;&gt;"",VLOOKUP($B91,Invulblad!$A$11:$S$103,9,0),"")</f>
        <v>0</v>
      </c>
      <c r="P91" s="212">
        <f>IF(L91&lt;&gt;"",IF(AND(M91=H91,O91=J91),10,IF(K91=L91,5,0)),"")</f>
        <v>5</v>
      </c>
    </row>
    <row r="92" spans="1:16">
      <c r="A92" s="188">
        <v>79</v>
      </c>
      <c r="B92" s="201" t="s">
        <v>88</v>
      </c>
      <c r="H92" s="367"/>
      <c r="I92" s="367"/>
      <c r="J92" s="367"/>
      <c r="K92" s="213" t="str">
        <f t="shared" si="16"/>
        <v/>
      </c>
      <c r="L92" s="210"/>
      <c r="M92" s="211" t="str">
        <f>IF(L92&lt;&gt;"",VLOOKUP($B92,Invulblad!$A$11:$S$103,7,0),"")</f>
        <v/>
      </c>
      <c r="O92" s="211" t="str">
        <f>IF(L92&lt;&gt;"",VLOOKUP($B92,Invulblad!$A$11:$S$103,9,0),"")</f>
        <v/>
      </c>
    </row>
    <row r="93" spans="1:16">
      <c r="B93" s="201" t="s">
        <v>272</v>
      </c>
      <c r="C93" s="189" t="s">
        <v>420</v>
      </c>
      <c r="D93" s="189" t="s">
        <v>421</v>
      </c>
      <c r="E93" s="189" t="s">
        <v>145</v>
      </c>
      <c r="F93" s="189" t="s">
        <v>29</v>
      </c>
      <c r="G93" s="189" t="s">
        <v>145</v>
      </c>
      <c r="H93" s="365" t="s">
        <v>93</v>
      </c>
      <c r="I93" s="365"/>
      <c r="J93" s="365"/>
      <c r="K93" s="213"/>
      <c r="L93" s="210"/>
      <c r="M93" s="211"/>
      <c r="O93" s="211"/>
    </row>
    <row r="94" spans="1:16">
      <c r="A94" s="188">
        <v>81</v>
      </c>
      <c r="B94" s="195">
        <v>61</v>
      </c>
      <c r="C94" s="332">
        <v>41828</v>
      </c>
      <c r="D94" s="333">
        <v>0.91666666666666663</v>
      </c>
      <c r="E94" s="189" t="s">
        <v>199</v>
      </c>
      <c r="F94" s="189" t="s">
        <v>29</v>
      </c>
      <c r="G94" s="189" t="s">
        <v>177</v>
      </c>
      <c r="H94" s="366">
        <v>1</v>
      </c>
      <c r="I94" s="366" t="s">
        <v>29</v>
      </c>
      <c r="J94" s="366">
        <v>2</v>
      </c>
      <c r="K94" s="212">
        <f t="shared" si="16"/>
        <v>2</v>
      </c>
      <c r="L94" s="210">
        <f>VLOOKUP($B94,Invulblad!$A$11:$S$103,13,0)</f>
        <v>2</v>
      </c>
      <c r="M94" s="211">
        <f>IF(L94&lt;&gt;"",VLOOKUP($B94,Invulblad!$A$11:$S$103,7,0),"")</f>
        <v>1</v>
      </c>
      <c r="N94" s="209" t="s">
        <v>29</v>
      </c>
      <c r="O94" s="211">
        <f>IF(L94&lt;&gt;"",VLOOKUP($B94,Invulblad!$A$11:$S$103,9,0),"")</f>
        <v>7</v>
      </c>
      <c r="P94" s="212">
        <f>IF(L94&lt;&gt;"",IF(AND(M94=H94,O94=J94),10,IF(K94=L94,5,0)),"")</f>
        <v>5</v>
      </c>
    </row>
    <row r="95" spans="1:16">
      <c r="A95" s="188">
        <v>82</v>
      </c>
      <c r="B95" s="195">
        <v>62</v>
      </c>
      <c r="C95" s="332">
        <v>41829</v>
      </c>
      <c r="D95" s="333">
        <v>0.91666666666666663</v>
      </c>
      <c r="E95" s="189" t="s">
        <v>138</v>
      </c>
      <c r="F95" s="189" t="s">
        <v>29</v>
      </c>
      <c r="G95" s="189" t="s">
        <v>102</v>
      </c>
      <c r="H95" s="366">
        <v>0</v>
      </c>
      <c r="I95" s="366" t="s">
        <v>29</v>
      </c>
      <c r="J95" s="366">
        <v>2</v>
      </c>
      <c r="K95" s="212">
        <f t="shared" si="16"/>
        <v>2</v>
      </c>
      <c r="L95" s="210">
        <f>VLOOKUP($B95,Invulblad!$A$11:$S$103,13,0)</f>
        <v>3</v>
      </c>
      <c r="M95" s="211">
        <f>IF(L95&lt;&gt;"",VLOOKUP($B95,Invulblad!$A$11:$S$103,7,0),"")</f>
        <v>0</v>
      </c>
      <c r="N95" s="209" t="s">
        <v>29</v>
      </c>
      <c r="O95" s="211">
        <f>IF(L95&lt;&gt;"",VLOOKUP($B95,Invulblad!$A$11:$S$103,9,0),"")</f>
        <v>0</v>
      </c>
      <c r="P95" s="212">
        <f>IF(L95&lt;&gt;"",IF(AND(M95=H95,O95=J95),10,IF(K95=L95,5,0)),"")</f>
        <v>0</v>
      </c>
    </row>
    <row r="96" spans="1:16">
      <c r="A96" s="188">
        <v>83</v>
      </c>
      <c r="B96" s="201" t="s">
        <v>571</v>
      </c>
      <c r="H96" s="367"/>
      <c r="I96" s="367"/>
      <c r="J96" s="367"/>
      <c r="K96" s="213" t="str">
        <f t="shared" si="16"/>
        <v/>
      </c>
      <c r="L96" s="210"/>
      <c r="M96" s="211" t="str">
        <f>IF(L96&lt;&gt;"",VLOOKUP($B96,Invulblad!$A$11:$S$103,7,0),"")</f>
        <v/>
      </c>
      <c r="N96" s="209"/>
      <c r="O96" s="211" t="str">
        <f>IF(L96&lt;&gt;"",VLOOKUP($B96,Invulblad!$A$11:$S$103,9,0),"")</f>
        <v/>
      </c>
    </row>
    <row r="97" spans="1:16">
      <c r="B97" s="201" t="s">
        <v>272</v>
      </c>
      <c r="C97" s="189" t="s">
        <v>420</v>
      </c>
      <c r="D97" s="189" t="s">
        <v>421</v>
      </c>
      <c r="E97" s="189" t="s">
        <v>145</v>
      </c>
      <c r="F97" s="189" t="s">
        <v>29</v>
      </c>
      <c r="G97" s="189" t="s">
        <v>145</v>
      </c>
      <c r="H97" s="365" t="s">
        <v>93</v>
      </c>
      <c r="I97" s="365"/>
      <c r="J97" s="365"/>
      <c r="K97" s="213"/>
      <c r="L97" s="210"/>
      <c r="M97" s="211"/>
      <c r="N97" s="209"/>
      <c r="O97" s="211"/>
    </row>
    <row r="98" spans="1:16">
      <c r="A98" s="188">
        <v>85</v>
      </c>
      <c r="B98" s="195">
        <v>63</v>
      </c>
      <c r="C98" s="332">
        <v>41832</v>
      </c>
      <c r="D98" s="333">
        <v>0.91666666666666663</v>
      </c>
      <c r="E98" s="189" t="s">
        <v>199</v>
      </c>
      <c r="F98" s="189" t="s">
        <v>29</v>
      </c>
      <c r="G98" s="189" t="s">
        <v>138</v>
      </c>
      <c r="H98" s="366">
        <v>3</v>
      </c>
      <c r="I98" s="366" t="s">
        <v>29</v>
      </c>
      <c r="J98" s="366">
        <v>0</v>
      </c>
      <c r="K98" s="212" t="str">
        <f t="shared" si="16"/>
        <v>1</v>
      </c>
      <c r="L98" s="210">
        <f>VLOOKUP($B98,Invulblad!$A$11:$S$103,13,0)</f>
        <v>2</v>
      </c>
      <c r="M98" s="211">
        <f>IF(L98&lt;&gt;"",VLOOKUP($B98,Invulblad!$A$11:$S$103,7,0),"")</f>
        <v>0</v>
      </c>
      <c r="N98" s="209" t="s">
        <v>29</v>
      </c>
      <c r="O98" s="211">
        <f>IF(L98&lt;&gt;"",VLOOKUP($B98,Invulblad!$A$11:$S$103,9,0),"")</f>
        <v>3</v>
      </c>
      <c r="P98" s="212">
        <f>IF(L98&lt;&gt;"",IF(AND(M98=H98,O98=J98),10,IF(K98=L98,5,0)),"")</f>
        <v>0</v>
      </c>
    </row>
    <row r="99" spans="1:16">
      <c r="A99" s="188">
        <v>86</v>
      </c>
      <c r="B99" s="201" t="s">
        <v>48</v>
      </c>
      <c r="H99" s="367"/>
      <c r="I99" s="367"/>
      <c r="J99" s="367"/>
      <c r="K99" s="213" t="str">
        <f t="shared" si="16"/>
        <v/>
      </c>
      <c r="L99" s="210"/>
      <c r="M99" s="211" t="str">
        <f>IF(L99&lt;&gt;"",VLOOKUP($B99,Invulblad!$A$11:$S$103,7,0),"")</f>
        <v/>
      </c>
      <c r="N99" s="209"/>
      <c r="O99" s="211" t="str">
        <f>IF(L99&lt;&gt;"",VLOOKUP($B99,Invulblad!$A$11:$S$103,9,0),"")</f>
        <v/>
      </c>
    </row>
    <row r="100" spans="1:16">
      <c r="B100" s="201" t="s">
        <v>272</v>
      </c>
      <c r="C100" s="189" t="s">
        <v>420</v>
      </c>
      <c r="D100" s="189" t="s">
        <v>421</v>
      </c>
      <c r="E100" s="189" t="s">
        <v>145</v>
      </c>
      <c r="F100" s="189" t="s">
        <v>29</v>
      </c>
      <c r="G100" s="189" t="s">
        <v>145</v>
      </c>
      <c r="H100" s="365" t="s">
        <v>93</v>
      </c>
      <c r="I100" s="365"/>
      <c r="J100" s="365"/>
      <c r="K100" s="213"/>
      <c r="L100" s="210"/>
      <c r="M100" s="211"/>
      <c r="N100" s="209"/>
      <c r="O100" s="211"/>
    </row>
    <row r="101" spans="1:16">
      <c r="A101" s="188">
        <v>88</v>
      </c>
      <c r="B101" s="195">
        <v>64</v>
      </c>
      <c r="C101" s="332">
        <v>41833</v>
      </c>
      <c r="D101" s="333">
        <v>0.875</v>
      </c>
      <c r="E101" s="189" t="s">
        <v>177</v>
      </c>
      <c r="F101" s="189" t="s">
        <v>29</v>
      </c>
      <c r="G101" s="189" t="s">
        <v>102</v>
      </c>
      <c r="H101" s="366">
        <v>1</v>
      </c>
      <c r="I101" s="366" t="s">
        <v>29</v>
      </c>
      <c r="J101" s="366">
        <v>1</v>
      </c>
      <c r="K101" s="212">
        <f t="shared" si="16"/>
        <v>3</v>
      </c>
      <c r="L101" s="210" t="str">
        <f>VLOOKUP($B101,Invulblad!$A$11:$S$103,13,0)</f>
        <v>1</v>
      </c>
      <c r="M101" s="211">
        <f>IF(L101&lt;&gt;"",VLOOKUP($B101,Invulblad!$A$11:$S$103,7,0),"")</f>
        <v>1</v>
      </c>
      <c r="N101" s="209" t="s">
        <v>29</v>
      </c>
      <c r="O101" s="211">
        <f>IF(L101&lt;&gt;"",VLOOKUP($B101,Invulblad!$A$11:$S$103,9,0),"")</f>
        <v>0</v>
      </c>
      <c r="P101" s="212">
        <f>IF(L101&lt;&gt;"",IF(AND(M101=H101,O101=J101),10,IF(K101=L101,5,0)),"")</f>
        <v>0</v>
      </c>
    </row>
    <row r="102" spans="1:16">
      <c r="B102" s="208" t="s">
        <v>517</v>
      </c>
      <c r="C102" s="208"/>
      <c r="D102" s="208"/>
      <c r="E102" s="208"/>
      <c r="F102" s="208"/>
      <c r="G102" s="208"/>
      <c r="K102" s="208"/>
      <c r="L102" s="214"/>
      <c r="M102" s="211"/>
      <c r="N102" s="209"/>
      <c r="O102" s="211"/>
    </row>
    <row r="103" spans="1:16">
      <c r="M103" s="211"/>
      <c r="N103" s="209"/>
      <c r="O103" s="211"/>
    </row>
    <row r="104" spans="1:16">
      <c r="M104" s="211"/>
      <c r="N104" s="209"/>
      <c r="O104" s="211"/>
    </row>
    <row r="105" spans="1:16">
      <c r="M105" s="211"/>
      <c r="N105" s="209"/>
      <c r="O105" s="211"/>
    </row>
    <row r="106" spans="1:16">
      <c r="B106" s="201" t="s">
        <v>139</v>
      </c>
      <c r="M106" s="211"/>
      <c r="N106" s="209"/>
      <c r="O106" s="211"/>
    </row>
    <row r="107" spans="1:16">
      <c r="B107" s="201"/>
    </row>
    <row r="108" spans="1:16">
      <c r="A108" s="188" t="s">
        <v>65</v>
      </c>
      <c r="B108" s="189" t="s">
        <v>140</v>
      </c>
      <c r="C108" s="189" t="s">
        <v>141</v>
      </c>
      <c r="D108" s="201" t="s">
        <v>199</v>
      </c>
      <c r="M108" s="211"/>
      <c r="N108" s="209"/>
      <c r="O108" s="211"/>
    </row>
    <row r="109" spans="1:16">
      <c r="A109" s="188" t="s">
        <v>66</v>
      </c>
      <c r="B109" s="189" t="s">
        <v>142</v>
      </c>
      <c r="C109" s="189" t="s">
        <v>141</v>
      </c>
      <c r="D109" s="201" t="s">
        <v>152</v>
      </c>
    </row>
    <row r="112" spans="1:16">
      <c r="B112" s="201" t="s">
        <v>144</v>
      </c>
    </row>
    <row r="114" spans="2:15">
      <c r="B114" s="215" t="s">
        <v>145</v>
      </c>
      <c r="C114" s="215" t="s">
        <v>146</v>
      </c>
      <c r="D114" s="215" t="s">
        <v>147</v>
      </c>
      <c r="E114" s="215" t="s">
        <v>148</v>
      </c>
    </row>
    <row r="115" spans="2:15">
      <c r="B115" s="216" t="s">
        <v>199</v>
      </c>
      <c r="C115" s="216" t="s">
        <v>163</v>
      </c>
      <c r="D115" s="216" t="s">
        <v>155</v>
      </c>
      <c r="E115" s="216" t="s">
        <v>155</v>
      </c>
    </row>
    <row r="116" spans="2:15">
      <c r="B116" s="217" t="s">
        <v>389</v>
      </c>
      <c r="C116" s="217" t="s">
        <v>151</v>
      </c>
      <c r="D116" s="217" t="s">
        <v>165</v>
      </c>
      <c r="E116" s="217" t="s">
        <v>153</v>
      </c>
    </row>
    <row r="117" spans="2:15">
      <c r="B117" s="216" t="s">
        <v>152</v>
      </c>
      <c r="C117" s="216" t="s">
        <v>149</v>
      </c>
      <c r="D117" s="216" t="s">
        <v>150</v>
      </c>
      <c r="E117" s="216" t="s">
        <v>151</v>
      </c>
    </row>
    <row r="118" spans="2:15">
      <c r="B118" s="217" t="s">
        <v>185</v>
      </c>
      <c r="C118" s="217" t="s">
        <v>156</v>
      </c>
      <c r="D118" s="217" t="s">
        <v>171</v>
      </c>
      <c r="E118" s="217" t="s">
        <v>156</v>
      </c>
    </row>
    <row r="121" spans="2:15">
      <c r="B121" s="201" t="s">
        <v>157</v>
      </c>
    </row>
    <row r="122" spans="2:15">
      <c r="B122" s="195"/>
    </row>
    <row r="123" spans="2:15">
      <c r="B123" s="195" t="s">
        <v>158</v>
      </c>
    </row>
    <row r="124" spans="2:15">
      <c r="B124" s="195" t="s">
        <v>251</v>
      </c>
    </row>
    <row r="127" spans="2:15">
      <c r="B127" s="218"/>
      <c r="C127" s="218"/>
      <c r="D127" s="218"/>
      <c r="E127" s="218"/>
      <c r="F127" s="218"/>
      <c r="G127" s="218"/>
      <c r="H127" s="364"/>
      <c r="I127" s="364"/>
      <c r="J127" s="364"/>
      <c r="K127" s="218"/>
      <c r="L127" s="219"/>
      <c r="M127" s="218"/>
      <c r="N127" s="218"/>
      <c r="O127" s="218"/>
    </row>
    <row r="130" spans="1:5">
      <c r="B130" s="201" t="s">
        <v>160</v>
      </c>
    </row>
    <row r="132" spans="1:5">
      <c r="A132" s="227" t="s">
        <v>67</v>
      </c>
      <c r="B132" s="189" t="s">
        <v>140</v>
      </c>
      <c r="C132" s="189" t="s">
        <v>141</v>
      </c>
      <c r="D132" s="201" t="s">
        <v>138</v>
      </c>
    </row>
    <row r="133" spans="1:5">
      <c r="A133" s="188" t="s">
        <v>68</v>
      </c>
      <c r="B133" s="189" t="s">
        <v>142</v>
      </c>
      <c r="C133" s="189" t="s">
        <v>141</v>
      </c>
      <c r="D133" s="201" t="s">
        <v>135</v>
      </c>
    </row>
    <row r="136" spans="1:5">
      <c r="B136" s="201" t="s">
        <v>161</v>
      </c>
    </row>
    <row r="138" spans="1:5">
      <c r="B138" s="215" t="s">
        <v>145</v>
      </c>
      <c r="C138" s="215" t="s">
        <v>146</v>
      </c>
      <c r="D138" s="215" t="s">
        <v>147</v>
      </c>
      <c r="E138" s="215" t="s">
        <v>148</v>
      </c>
    </row>
    <row r="139" spans="1:5">
      <c r="B139" s="216" t="s">
        <v>138</v>
      </c>
      <c r="C139" s="216" t="s">
        <v>172</v>
      </c>
      <c r="D139" s="216" t="s">
        <v>149</v>
      </c>
      <c r="E139" s="216" t="s">
        <v>155</v>
      </c>
    </row>
    <row r="140" spans="1:5">
      <c r="B140" s="217" t="s">
        <v>135</v>
      </c>
      <c r="C140" s="217" t="s">
        <v>172</v>
      </c>
      <c r="D140" s="217" t="s">
        <v>151</v>
      </c>
      <c r="E140" s="217" t="s">
        <v>155</v>
      </c>
    </row>
    <row r="141" spans="1:5">
      <c r="B141" s="216" t="s">
        <v>207</v>
      </c>
      <c r="C141" s="216" t="s">
        <v>151</v>
      </c>
      <c r="D141" s="216" t="s">
        <v>171</v>
      </c>
      <c r="E141" s="216" t="s">
        <v>156</v>
      </c>
    </row>
    <row r="142" spans="1:5">
      <c r="B142" s="217" t="s">
        <v>179</v>
      </c>
      <c r="C142" s="217" t="s">
        <v>150</v>
      </c>
      <c r="D142" s="217" t="s">
        <v>180</v>
      </c>
      <c r="E142" s="217" t="s">
        <v>156</v>
      </c>
    </row>
    <row r="145" spans="1:15">
      <c r="B145" s="201" t="s">
        <v>166</v>
      </c>
    </row>
    <row r="146" spans="1:15">
      <c r="B146" s="195"/>
    </row>
    <row r="147" spans="1:15">
      <c r="B147" s="195" t="s">
        <v>260</v>
      </c>
    </row>
    <row r="148" spans="1:15">
      <c r="B148" s="195"/>
    </row>
    <row r="151" spans="1:15">
      <c r="B151" s="218"/>
      <c r="C151" s="218"/>
      <c r="D151" s="218"/>
      <c r="E151" s="218"/>
      <c r="F151" s="218"/>
      <c r="G151" s="218"/>
      <c r="K151" s="218"/>
      <c r="L151" s="219"/>
      <c r="M151" s="218"/>
      <c r="N151" s="218"/>
      <c r="O151" s="218"/>
    </row>
    <row r="153" spans="1:15">
      <c r="B153" s="201"/>
    </row>
    <row r="154" spans="1:15">
      <c r="B154" s="189" t="s">
        <v>169</v>
      </c>
    </row>
    <row r="155" spans="1:15">
      <c r="D155" s="201"/>
    </row>
    <row r="156" spans="1:15">
      <c r="A156" s="188" t="s">
        <v>69</v>
      </c>
      <c r="B156" s="189" t="s">
        <v>140</v>
      </c>
      <c r="C156" s="189" t="s">
        <v>141</v>
      </c>
      <c r="D156" s="201" t="s">
        <v>390</v>
      </c>
    </row>
    <row r="157" spans="1:15">
      <c r="A157" s="188" t="s">
        <v>70</v>
      </c>
      <c r="B157" s="189" t="s">
        <v>142</v>
      </c>
      <c r="C157" s="189" t="s">
        <v>141</v>
      </c>
      <c r="D157" s="189" t="s">
        <v>200</v>
      </c>
    </row>
    <row r="159" spans="1:15">
      <c r="B159" s="201" t="s">
        <v>170</v>
      </c>
    </row>
    <row r="160" spans="1:15" ht="15.75" thickBot="1"/>
    <row r="161" spans="2:15" ht="15.75" thickBot="1">
      <c r="B161" s="215" t="s">
        <v>145</v>
      </c>
      <c r="C161" s="215" t="s">
        <v>146</v>
      </c>
      <c r="D161" s="215" t="s">
        <v>147</v>
      </c>
      <c r="E161" s="215" t="s">
        <v>148</v>
      </c>
    </row>
    <row r="162" spans="2:15" ht="15.75" thickBot="1">
      <c r="B162" s="216" t="s">
        <v>390</v>
      </c>
      <c r="C162" s="216" t="s">
        <v>163</v>
      </c>
      <c r="D162" s="216" t="s">
        <v>155</v>
      </c>
      <c r="E162" s="216" t="s">
        <v>155</v>
      </c>
    </row>
    <row r="163" spans="2:15" ht="15.75" thickBot="1">
      <c r="B163" s="217" t="s">
        <v>106</v>
      </c>
      <c r="C163" s="217" t="s">
        <v>156</v>
      </c>
      <c r="D163" s="217" t="s">
        <v>180</v>
      </c>
      <c r="E163" s="217" t="s">
        <v>150</v>
      </c>
    </row>
    <row r="164" spans="2:15" ht="15.75" thickBot="1">
      <c r="B164" s="216" t="s">
        <v>200</v>
      </c>
      <c r="C164" s="216" t="s">
        <v>149</v>
      </c>
      <c r="D164" s="216" t="s">
        <v>156</v>
      </c>
      <c r="E164" s="216" t="s">
        <v>153</v>
      </c>
    </row>
    <row r="165" spans="2:15" ht="15.75" thickBot="1">
      <c r="B165" s="217" t="s">
        <v>187</v>
      </c>
      <c r="C165" s="217" t="s">
        <v>153</v>
      </c>
      <c r="D165" s="217" t="s">
        <v>165</v>
      </c>
      <c r="E165" s="217" t="s">
        <v>150</v>
      </c>
    </row>
    <row r="168" spans="2:15">
      <c r="B168" s="201" t="s">
        <v>173</v>
      </c>
    </row>
    <row r="169" spans="2:15">
      <c r="B169" s="195"/>
    </row>
    <row r="170" spans="2:15">
      <c r="B170" s="195" t="s">
        <v>174</v>
      </c>
    </row>
    <row r="171" spans="2:15">
      <c r="B171" s="195" t="s">
        <v>175</v>
      </c>
    </row>
    <row r="174" spans="2:15">
      <c r="B174" s="218"/>
      <c r="C174" s="218"/>
      <c r="D174" s="218"/>
      <c r="E174" s="218"/>
      <c r="F174" s="218"/>
      <c r="G174" s="218"/>
      <c r="H174" s="364"/>
      <c r="I174" s="364"/>
      <c r="J174" s="364"/>
      <c r="K174" s="218"/>
      <c r="L174" s="219"/>
      <c r="M174" s="218"/>
      <c r="N174" s="218"/>
      <c r="O174" s="218"/>
    </row>
    <row r="178" spans="1:5">
      <c r="B178" s="201" t="s">
        <v>176</v>
      </c>
    </row>
    <row r="180" spans="1:5">
      <c r="A180" s="188" t="s">
        <v>71</v>
      </c>
      <c r="B180" s="189" t="s">
        <v>140</v>
      </c>
      <c r="C180" s="189" t="s">
        <v>141</v>
      </c>
      <c r="D180" s="201" t="s">
        <v>97</v>
      </c>
    </row>
    <row r="181" spans="1:5">
      <c r="A181" s="188" t="s">
        <v>72</v>
      </c>
      <c r="B181" s="189" t="s">
        <v>142</v>
      </c>
      <c r="C181" s="189" t="s">
        <v>141</v>
      </c>
      <c r="D181" s="201" t="s">
        <v>193</v>
      </c>
    </row>
    <row r="184" spans="1:5">
      <c r="B184" s="201" t="s">
        <v>178</v>
      </c>
    </row>
    <row r="186" spans="1:5">
      <c r="B186" s="215" t="s">
        <v>145</v>
      </c>
      <c r="C186" s="215" t="s">
        <v>146</v>
      </c>
      <c r="D186" s="215" t="s">
        <v>147</v>
      </c>
      <c r="E186" s="215" t="s">
        <v>148</v>
      </c>
    </row>
    <row r="187" spans="1:5">
      <c r="B187" s="216" t="s">
        <v>97</v>
      </c>
      <c r="C187" s="216" t="s">
        <v>172</v>
      </c>
      <c r="D187" s="216" t="s">
        <v>151</v>
      </c>
      <c r="E187" s="216" t="s">
        <v>155</v>
      </c>
    </row>
    <row r="188" spans="1:5">
      <c r="B188" s="217" t="s">
        <v>391</v>
      </c>
      <c r="C188" s="217" t="s">
        <v>150</v>
      </c>
      <c r="D188" s="217" t="s">
        <v>241</v>
      </c>
      <c r="E188" s="217" t="s">
        <v>150</v>
      </c>
    </row>
    <row r="189" spans="1:5">
      <c r="B189" s="216" t="s">
        <v>109</v>
      </c>
      <c r="C189" s="216" t="s">
        <v>149</v>
      </c>
      <c r="D189" s="216" t="s">
        <v>156</v>
      </c>
      <c r="E189" s="216" t="s">
        <v>149</v>
      </c>
    </row>
    <row r="190" spans="1:5">
      <c r="B190" s="217" t="s">
        <v>193</v>
      </c>
      <c r="C190" s="217" t="s">
        <v>155</v>
      </c>
      <c r="D190" s="217" t="s">
        <v>153</v>
      </c>
      <c r="E190" s="217" t="s">
        <v>149</v>
      </c>
    </row>
    <row r="193" spans="1:15">
      <c r="B193" s="201" t="s">
        <v>182</v>
      </c>
    </row>
    <row r="194" spans="1:15">
      <c r="B194" s="195"/>
    </row>
    <row r="195" spans="1:15">
      <c r="B195" s="195" t="s">
        <v>239</v>
      </c>
    </row>
    <row r="196" spans="1:15">
      <c r="B196" s="195" t="s">
        <v>240</v>
      </c>
    </row>
    <row r="199" spans="1:15">
      <c r="B199" s="218"/>
      <c r="C199" s="218"/>
      <c r="D199" s="218"/>
      <c r="E199" s="218"/>
      <c r="F199" s="218"/>
      <c r="G199" s="218"/>
      <c r="H199" s="364"/>
      <c r="I199" s="364"/>
      <c r="J199" s="364"/>
      <c r="K199" s="218"/>
      <c r="L199" s="219"/>
      <c r="M199" s="218"/>
      <c r="N199" s="218"/>
      <c r="O199" s="218"/>
    </row>
    <row r="202" spans="1:15">
      <c r="B202" s="201" t="s">
        <v>184</v>
      </c>
    </row>
    <row r="204" spans="1:15">
      <c r="A204" s="188" t="s">
        <v>73</v>
      </c>
      <c r="B204" s="189" t="s">
        <v>140</v>
      </c>
      <c r="C204" s="189" t="s">
        <v>141</v>
      </c>
      <c r="D204" s="201" t="s">
        <v>143</v>
      </c>
    </row>
    <row r="205" spans="1:15">
      <c r="A205" s="188" t="s">
        <v>74</v>
      </c>
      <c r="B205" s="189" t="s">
        <v>142</v>
      </c>
      <c r="C205" s="189" t="s">
        <v>141</v>
      </c>
      <c r="D205" s="201" t="s">
        <v>392</v>
      </c>
    </row>
    <row r="208" spans="1:15">
      <c r="B208" s="201" t="s">
        <v>186</v>
      </c>
    </row>
    <row r="210" spans="2:15">
      <c r="B210" s="215" t="s">
        <v>145</v>
      </c>
      <c r="C210" s="215" t="s">
        <v>146</v>
      </c>
      <c r="D210" s="215" t="s">
        <v>147</v>
      </c>
      <c r="E210" s="215" t="s">
        <v>148</v>
      </c>
    </row>
    <row r="211" spans="2:15">
      <c r="B211" s="216" t="s">
        <v>209</v>
      </c>
      <c r="C211" s="216" t="s">
        <v>156</v>
      </c>
      <c r="D211" s="216" t="s">
        <v>171</v>
      </c>
      <c r="E211" s="216" t="s">
        <v>150</v>
      </c>
    </row>
    <row r="212" spans="2:15">
      <c r="B212" s="217" t="s">
        <v>392</v>
      </c>
      <c r="C212" s="217" t="s">
        <v>172</v>
      </c>
      <c r="D212" s="217" t="s">
        <v>153</v>
      </c>
      <c r="E212" s="217" t="s">
        <v>149</v>
      </c>
    </row>
    <row r="213" spans="2:15">
      <c r="B213" s="216" t="s">
        <v>143</v>
      </c>
      <c r="C213" s="216" t="s">
        <v>172</v>
      </c>
      <c r="D213" s="216" t="s">
        <v>151</v>
      </c>
      <c r="E213" s="216" t="s">
        <v>149</v>
      </c>
    </row>
    <row r="214" spans="2:15">
      <c r="B214" s="217" t="s">
        <v>210</v>
      </c>
      <c r="C214" s="217" t="s">
        <v>156</v>
      </c>
      <c r="D214" s="217" t="s">
        <v>165</v>
      </c>
      <c r="E214" s="217" t="s">
        <v>156</v>
      </c>
    </row>
    <row r="217" spans="2:15">
      <c r="B217" s="201" t="s">
        <v>189</v>
      </c>
    </row>
    <row r="218" spans="2:15">
      <c r="B218" s="195"/>
    </row>
    <row r="219" spans="2:15">
      <c r="B219" s="195" t="s">
        <v>524</v>
      </c>
    </row>
    <row r="220" spans="2:15">
      <c r="B220" s="195"/>
    </row>
    <row r="223" spans="2:15">
      <c r="B223" s="218"/>
      <c r="C223" s="218"/>
      <c r="D223" s="218"/>
      <c r="E223" s="218"/>
      <c r="F223" s="218"/>
      <c r="G223" s="218"/>
      <c r="H223" s="364"/>
      <c r="I223" s="364"/>
      <c r="J223" s="364"/>
      <c r="K223" s="218"/>
      <c r="L223" s="219"/>
      <c r="M223" s="218"/>
      <c r="N223" s="218"/>
      <c r="O223" s="218"/>
    </row>
    <row r="226" spans="1:5">
      <c r="B226" s="201" t="s">
        <v>192</v>
      </c>
    </row>
    <row r="228" spans="1:5">
      <c r="A228" s="188" t="s">
        <v>75</v>
      </c>
      <c r="B228" s="189" t="s">
        <v>140</v>
      </c>
      <c r="C228" s="189" t="s">
        <v>141</v>
      </c>
      <c r="D228" s="201" t="s">
        <v>102</v>
      </c>
    </row>
    <row r="229" spans="1:5">
      <c r="A229" s="188" t="s">
        <v>76</v>
      </c>
      <c r="B229" s="189" t="s">
        <v>142</v>
      </c>
      <c r="C229" s="189" t="s">
        <v>141</v>
      </c>
      <c r="D229" s="201" t="s">
        <v>572</v>
      </c>
    </row>
    <row r="232" spans="1:5">
      <c r="B232" s="201" t="s">
        <v>194</v>
      </c>
    </row>
    <row r="234" spans="1:5">
      <c r="B234" s="215" t="s">
        <v>145</v>
      </c>
      <c r="C234" s="215" t="s">
        <v>146</v>
      </c>
      <c r="D234" s="215" t="s">
        <v>147</v>
      </c>
      <c r="E234" s="215" t="s">
        <v>148</v>
      </c>
    </row>
    <row r="235" spans="1:5">
      <c r="B235" s="216" t="s">
        <v>102</v>
      </c>
      <c r="C235" s="216" t="s">
        <v>163</v>
      </c>
      <c r="D235" s="216" t="s">
        <v>164</v>
      </c>
      <c r="E235" s="216" t="s">
        <v>164</v>
      </c>
    </row>
    <row r="236" spans="1:5">
      <c r="B236" s="217" t="s">
        <v>572</v>
      </c>
      <c r="C236" s="217" t="s">
        <v>164</v>
      </c>
      <c r="D236" s="217" t="s">
        <v>151</v>
      </c>
      <c r="E236" s="217" t="s">
        <v>149</v>
      </c>
    </row>
    <row r="237" spans="1:5">
      <c r="B237" s="216" t="s">
        <v>394</v>
      </c>
      <c r="C237" s="216" t="s">
        <v>156</v>
      </c>
      <c r="D237" s="216" t="s">
        <v>162</v>
      </c>
      <c r="E237" s="216" t="s">
        <v>150</v>
      </c>
    </row>
    <row r="238" spans="1:5">
      <c r="B238" s="217" t="s">
        <v>108</v>
      </c>
      <c r="C238" s="217" t="s">
        <v>156</v>
      </c>
      <c r="D238" s="217" t="s">
        <v>180</v>
      </c>
      <c r="E238" s="217" t="s">
        <v>150</v>
      </c>
    </row>
    <row r="241" spans="1:15">
      <c r="B241" s="201" t="s">
        <v>195</v>
      </c>
    </row>
    <row r="242" spans="1:15">
      <c r="B242" s="195"/>
    </row>
    <row r="243" spans="1:15">
      <c r="B243" s="195" t="s">
        <v>196</v>
      </c>
    </row>
    <row r="244" spans="1:15">
      <c r="B244" s="195" t="s">
        <v>197</v>
      </c>
    </row>
    <row r="247" spans="1:15">
      <c r="B247" s="218"/>
      <c r="C247" s="218"/>
      <c r="D247" s="218"/>
      <c r="E247" s="218"/>
      <c r="F247" s="218"/>
      <c r="G247" s="218"/>
      <c r="H247" s="364"/>
      <c r="I247" s="364"/>
      <c r="J247" s="364"/>
      <c r="K247" s="218"/>
      <c r="L247" s="219"/>
      <c r="M247" s="218"/>
      <c r="N247" s="218"/>
      <c r="O247" s="218"/>
    </row>
    <row r="250" spans="1:15">
      <c r="B250" s="201" t="s">
        <v>198</v>
      </c>
    </row>
    <row r="252" spans="1:15">
      <c r="A252" s="188" t="s">
        <v>77</v>
      </c>
      <c r="B252" s="189" t="s">
        <v>140</v>
      </c>
      <c r="C252" s="189" t="s">
        <v>141</v>
      </c>
      <c r="D252" s="201" t="s">
        <v>177</v>
      </c>
    </row>
    <row r="253" spans="1:15">
      <c r="A253" s="188" t="s">
        <v>78</v>
      </c>
      <c r="B253" s="189" t="s">
        <v>142</v>
      </c>
      <c r="C253" s="189" t="s">
        <v>141</v>
      </c>
      <c r="D253" s="201" t="s">
        <v>202</v>
      </c>
    </row>
    <row r="256" spans="1:15">
      <c r="B256" s="201" t="s">
        <v>201</v>
      </c>
    </row>
    <row r="258" spans="2:15">
      <c r="B258" s="215" t="s">
        <v>145</v>
      </c>
      <c r="C258" s="215" t="s">
        <v>146</v>
      </c>
      <c r="D258" s="215" t="s">
        <v>147</v>
      </c>
      <c r="E258" s="215" t="s">
        <v>148</v>
      </c>
    </row>
    <row r="259" spans="2:15">
      <c r="B259" s="216" t="s">
        <v>177</v>
      </c>
      <c r="C259" s="216" t="s">
        <v>163</v>
      </c>
      <c r="D259" s="216" t="s">
        <v>155</v>
      </c>
      <c r="E259" s="216" t="s">
        <v>164</v>
      </c>
    </row>
    <row r="260" spans="2:15">
      <c r="B260" s="217" t="s">
        <v>202</v>
      </c>
      <c r="C260" s="217" t="s">
        <v>149</v>
      </c>
      <c r="D260" s="217" t="s">
        <v>156</v>
      </c>
      <c r="E260" s="217" t="s">
        <v>149</v>
      </c>
    </row>
    <row r="261" spans="2:15">
      <c r="B261" s="216" t="s">
        <v>181</v>
      </c>
      <c r="C261" s="216" t="s">
        <v>149</v>
      </c>
      <c r="D261" s="216" t="s">
        <v>154</v>
      </c>
      <c r="E261" s="216" t="s">
        <v>153</v>
      </c>
    </row>
    <row r="262" spans="2:15">
      <c r="B262" s="217" t="s">
        <v>32</v>
      </c>
      <c r="C262" s="217" t="s">
        <v>150</v>
      </c>
      <c r="D262" s="217" t="s">
        <v>162</v>
      </c>
      <c r="E262" s="217" t="s">
        <v>150</v>
      </c>
    </row>
    <row r="265" spans="2:15">
      <c r="B265" s="201" t="s">
        <v>203</v>
      </c>
    </row>
    <row r="266" spans="2:15">
      <c r="B266" s="195"/>
    </row>
    <row r="267" spans="2:15">
      <c r="B267" s="195" t="s">
        <v>204</v>
      </c>
    </row>
    <row r="268" spans="2:15">
      <c r="B268" s="195" t="s">
        <v>250</v>
      </c>
    </row>
    <row r="270" spans="2:15">
      <c r="B270" s="218"/>
      <c r="C270" s="218"/>
      <c r="D270" s="218"/>
      <c r="E270" s="218"/>
      <c r="F270" s="218"/>
      <c r="G270" s="218"/>
      <c r="K270" s="218"/>
      <c r="L270" s="219"/>
      <c r="M270" s="218"/>
      <c r="N270" s="218"/>
      <c r="O270" s="218"/>
    </row>
    <row r="271" spans="2:15">
      <c r="H271" s="364"/>
      <c r="I271" s="364"/>
      <c r="J271" s="364"/>
    </row>
    <row r="274" spans="1:5">
      <c r="B274" s="201" t="s">
        <v>206</v>
      </c>
    </row>
    <row r="276" spans="1:5">
      <c r="A276" s="188" t="s">
        <v>79</v>
      </c>
      <c r="B276" s="189" t="s">
        <v>140</v>
      </c>
      <c r="C276" s="189" t="s">
        <v>141</v>
      </c>
      <c r="D276" s="201" t="s">
        <v>395</v>
      </c>
    </row>
    <row r="277" spans="1:5">
      <c r="A277" s="188" t="s">
        <v>80</v>
      </c>
      <c r="B277" s="189" t="s">
        <v>142</v>
      </c>
      <c r="C277" s="189" t="s">
        <v>141</v>
      </c>
      <c r="D277" s="201" t="s">
        <v>396</v>
      </c>
    </row>
    <row r="280" spans="1:5">
      <c r="B280" s="201" t="s">
        <v>208</v>
      </c>
    </row>
    <row r="282" spans="1:5">
      <c r="B282" s="215" t="s">
        <v>145</v>
      </c>
      <c r="C282" s="215" t="s">
        <v>146</v>
      </c>
      <c r="D282" s="215" t="s">
        <v>147</v>
      </c>
      <c r="E282" s="215" t="s">
        <v>148</v>
      </c>
    </row>
    <row r="283" spans="1:5">
      <c r="B283" s="216" t="s">
        <v>395</v>
      </c>
      <c r="C283" s="216" t="s">
        <v>172</v>
      </c>
      <c r="D283" s="216" t="s">
        <v>151</v>
      </c>
      <c r="E283" s="216" t="s">
        <v>155</v>
      </c>
    </row>
    <row r="284" spans="1:5">
      <c r="B284" s="217" t="s">
        <v>110</v>
      </c>
      <c r="C284" s="217" t="s">
        <v>150</v>
      </c>
      <c r="D284" s="217" t="s">
        <v>162</v>
      </c>
      <c r="E284" s="217" t="s">
        <v>150</v>
      </c>
    </row>
    <row r="285" spans="1:5">
      <c r="B285" s="216" t="s">
        <v>396</v>
      </c>
      <c r="C285" s="216" t="s">
        <v>172</v>
      </c>
      <c r="D285" s="216" t="s">
        <v>151</v>
      </c>
      <c r="E285" s="216" t="s">
        <v>149</v>
      </c>
    </row>
    <row r="286" spans="1:5">
      <c r="B286" s="217" t="s">
        <v>104</v>
      </c>
      <c r="C286" s="217" t="s">
        <v>151</v>
      </c>
      <c r="D286" s="217" t="s">
        <v>154</v>
      </c>
      <c r="E286" s="217" t="s">
        <v>151</v>
      </c>
    </row>
    <row r="289" spans="2:15">
      <c r="B289" s="201" t="s">
        <v>211</v>
      </c>
    </row>
    <row r="290" spans="2:15">
      <c r="B290" s="195"/>
    </row>
    <row r="291" spans="2:15">
      <c r="B291" s="195" t="s">
        <v>259</v>
      </c>
    </row>
    <row r="292" spans="2:15">
      <c r="B292" s="195"/>
    </row>
    <row r="294" spans="2:15">
      <c r="H294" s="364"/>
      <c r="I294" s="364"/>
      <c r="J294" s="364"/>
    </row>
    <row r="295" spans="2:15">
      <c r="B295" s="218"/>
      <c r="C295" s="218"/>
      <c r="D295" s="218"/>
      <c r="E295" s="218"/>
      <c r="F295" s="218"/>
      <c r="G295" s="218"/>
      <c r="K295" s="218"/>
      <c r="L295" s="219"/>
      <c r="M295" s="218"/>
      <c r="N295" s="218"/>
      <c r="O295" s="218"/>
    </row>
    <row r="300" spans="2:15">
      <c r="B300" s="189" t="s">
        <v>214</v>
      </c>
    </row>
    <row r="302" spans="2:15">
      <c r="B302" s="220" t="s">
        <v>573</v>
      </c>
    </row>
    <row r="303" spans="2:15">
      <c r="B303" s="220"/>
    </row>
    <row r="305" spans="2:2">
      <c r="B305" s="220" t="s">
        <v>574</v>
      </c>
    </row>
    <row r="306" spans="2:2">
      <c r="B306" s="220"/>
    </row>
    <row r="308" spans="2:2">
      <c r="B308" s="195"/>
    </row>
    <row r="309" spans="2:2">
      <c r="B309" s="204" t="s">
        <v>215</v>
      </c>
    </row>
    <row r="310" spans="2:2">
      <c r="B310" s="221" t="s">
        <v>216</v>
      </c>
    </row>
    <row r="311" spans="2:2">
      <c r="B311" s="221" t="s">
        <v>217</v>
      </c>
    </row>
    <row r="312" spans="2:2">
      <c r="B312" s="221" t="s">
        <v>218</v>
      </c>
    </row>
    <row r="313" spans="2:2">
      <c r="B313" s="221" t="s">
        <v>219</v>
      </c>
    </row>
    <row r="314" spans="2:2">
      <c r="B314" s="204" t="s">
        <v>220</v>
      </c>
    </row>
    <row r="315" spans="2:2">
      <c r="B315" s="221" t="s">
        <v>221</v>
      </c>
    </row>
    <row r="316" spans="2:2">
      <c r="B316" s="221" t="s">
        <v>222</v>
      </c>
    </row>
    <row r="317" spans="2:2">
      <c r="B317" s="221" t="s">
        <v>223</v>
      </c>
    </row>
    <row r="318" spans="2:2">
      <c r="B318" s="204" t="s">
        <v>224</v>
      </c>
    </row>
    <row r="319" spans="2:2">
      <c r="B319" s="221" t="s">
        <v>225</v>
      </c>
    </row>
    <row r="320" spans="2:2">
      <c r="B320" s="221" t="s">
        <v>226</v>
      </c>
    </row>
    <row r="321" spans="2:2">
      <c r="B321" s="221" t="s">
        <v>227</v>
      </c>
    </row>
    <row r="322" spans="2:2">
      <c r="B322" s="204" t="s">
        <v>228</v>
      </c>
    </row>
    <row r="323" spans="2:2">
      <c r="B323" s="221" t="s">
        <v>229</v>
      </c>
    </row>
    <row r="325" spans="2:2">
      <c r="B325" s="189" t="s">
        <v>230</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35.xml><?xml version="1.0" encoding="utf-8"?>
<worksheet xmlns="http://schemas.openxmlformats.org/spreadsheetml/2006/main" xmlns:r="http://schemas.openxmlformats.org/officeDocument/2006/relationships">
  <sheetPr codeName="Blad30"/>
  <dimension ref="A10:C15"/>
  <sheetViews>
    <sheetView workbookViewId="0">
      <selection activeCell="C12" sqref="C12"/>
    </sheetView>
  </sheetViews>
  <sheetFormatPr defaultRowHeight="12.75"/>
  <cols>
    <col min="1" max="1" width="83.28515625" style="242" customWidth="1"/>
    <col min="2" max="2" width="1.7109375" style="242" customWidth="1"/>
    <col min="3" max="3" width="47.5703125" style="242" customWidth="1"/>
    <col min="4" max="16384" width="9.140625" style="242"/>
  </cols>
  <sheetData>
    <row r="10" spans="1:3">
      <c r="A10" s="243" t="s">
        <v>279</v>
      </c>
      <c r="C10" s="244" t="e">
        <f>#N/A</f>
        <v>#N/A</v>
      </c>
    </row>
    <row r="11" spans="1:3">
      <c r="A11" s="73" t="s">
        <v>280</v>
      </c>
      <c r="C11" s="245"/>
    </row>
    <row r="12" spans="1:3">
      <c r="A12" s="64" t="s">
        <v>281</v>
      </c>
      <c r="C12" s="246"/>
    </row>
    <row r="13" spans="1:3">
      <c r="A13" s="73" t="s">
        <v>282</v>
      </c>
      <c r="C13" s="245"/>
    </row>
    <row r="14" spans="1:3">
      <c r="A14" s="64" t="s">
        <v>283</v>
      </c>
      <c r="C14" s="246"/>
    </row>
    <row r="15" spans="1:3">
      <c r="A15" s="73" t="s">
        <v>284</v>
      </c>
      <c r="C15" s="245"/>
    </row>
  </sheetData>
  <sheetProtection selectLockedCells="1" selectUnlockedCells="1"/>
  <pageMargins left="0.7" right="0.7" top="0.75" bottom="0.75" header="0.51180555555555551" footer="0.51180555555555551"/>
  <pageSetup firstPageNumber="0" orientation="portrait" horizontalDpi="300" verticalDpi="300"/>
  <headerFooter alignWithMargins="0"/>
  <drawing r:id="rId1"/>
</worksheet>
</file>

<file path=xl/worksheets/sheet4.xml><?xml version="1.0" encoding="utf-8"?>
<worksheet xmlns="http://schemas.openxmlformats.org/spreadsheetml/2006/main" xmlns:r="http://schemas.openxmlformats.org/officeDocument/2006/relationships">
  <sheetPr codeName="Blad32">
    <tabColor theme="0" tint="-0.34998626667073579"/>
  </sheetPr>
  <dimension ref="A1:W97"/>
  <sheetViews>
    <sheetView zoomScale="115" zoomScaleNormal="115" workbookViewId="0">
      <selection activeCell="D4" sqref="D4"/>
    </sheetView>
  </sheetViews>
  <sheetFormatPr defaultColWidth="9.140625" defaultRowHeight="12.75" zeroHeight="1"/>
  <cols>
    <col min="1" max="1" width="1.5703125" style="10" customWidth="1"/>
    <col min="2" max="2" width="3" style="52" customWidth="1"/>
    <col min="3" max="3" width="3.28515625" style="49" customWidth="1"/>
    <col min="4" max="4" width="6.28515625" style="48" customWidth="1"/>
    <col min="5" max="5" width="4.85546875" style="49" customWidth="1"/>
    <col min="6" max="6" width="4.140625" style="49" customWidth="1"/>
    <col min="7" max="7" width="16.42578125" style="49" customWidth="1"/>
    <col min="8" max="8" width="1.5703125" style="49" customWidth="1"/>
    <col min="9" max="9" width="16.140625" style="49" customWidth="1"/>
    <col min="10" max="10" width="4.140625" style="49" customWidth="1"/>
    <col min="11" max="11" width="1.5703125" style="49" customWidth="1"/>
    <col min="12" max="12" width="1.5703125" style="32" customWidth="1"/>
    <col min="13" max="13" width="3" style="10" customWidth="1"/>
    <col min="14" max="14" width="13.140625" style="10" customWidth="1"/>
    <col min="15" max="15" width="1.5703125" style="9" customWidth="1"/>
    <col min="16" max="18" width="0" style="4" hidden="1" customWidth="1"/>
    <col min="19" max="19" width="0" style="326" hidden="1" customWidth="1"/>
    <col min="20" max="25" width="0" style="4" hidden="1" customWidth="1"/>
    <col min="26" max="16384" width="9.140625" style="4"/>
  </cols>
  <sheetData>
    <row r="1" spans="1:22" ht="18">
      <c r="A1" s="9"/>
      <c r="B1" s="260" t="s">
        <v>298</v>
      </c>
      <c r="C1" s="261"/>
      <c r="D1" s="152"/>
      <c r="E1" s="151"/>
      <c r="F1" s="262"/>
      <c r="G1" s="151"/>
      <c r="H1" s="151"/>
      <c r="I1" s="310" t="s">
        <v>397</v>
      </c>
      <c r="J1" s="151"/>
      <c r="K1" s="151"/>
      <c r="L1" s="263"/>
      <c r="M1" s="9"/>
      <c r="N1" s="264"/>
      <c r="O1" s="265"/>
    </row>
    <row r="2" spans="1:22">
      <c r="A2" s="9"/>
      <c r="D2" s="152"/>
      <c r="E2" s="151"/>
      <c r="F2" s="262"/>
      <c r="G2" s="151"/>
      <c r="H2" s="151"/>
      <c r="I2" s="151"/>
      <c r="J2" s="151"/>
      <c r="K2" s="151"/>
      <c r="L2" s="263"/>
      <c r="M2" s="9"/>
      <c r="N2" s="9"/>
    </row>
    <row r="3" spans="1:22" s="270" customFormat="1" ht="11.25">
      <c r="A3" s="266"/>
      <c r="B3" s="457" t="s">
        <v>19</v>
      </c>
      <c r="C3" s="457"/>
      <c r="D3" s="457"/>
      <c r="E3" s="457"/>
      <c r="F3" s="457"/>
      <c r="G3" s="457"/>
      <c r="H3" s="457"/>
      <c r="I3" s="457"/>
      <c r="J3" s="457"/>
      <c r="K3" s="266"/>
      <c r="L3" s="267"/>
      <c r="M3" s="456" t="s">
        <v>19</v>
      </c>
      <c r="N3" s="456"/>
      <c r="O3" s="268"/>
      <c r="P3" s="269"/>
      <c r="Q3" s="269"/>
      <c r="R3" s="269"/>
      <c r="S3" s="327"/>
      <c r="T3" s="269"/>
      <c r="U3" s="269"/>
      <c r="V3" s="269"/>
    </row>
    <row r="4" spans="1:22" s="270" customFormat="1" ht="11.25">
      <c r="A4" s="266"/>
      <c r="B4" s="246">
        <v>1</v>
      </c>
      <c r="C4" s="271" t="s">
        <v>403</v>
      </c>
      <c r="D4" s="272">
        <v>41437</v>
      </c>
      <c r="E4" s="273">
        <v>0.91666666666666663</v>
      </c>
      <c r="F4" s="274" t="s">
        <v>65</v>
      </c>
      <c r="G4" s="72" t="str">
        <f>VLOOKUP(F4,M4:N7,2,0)</f>
        <v>Brazilië</v>
      </c>
      <c r="H4" s="72" t="s">
        <v>29</v>
      </c>
      <c r="I4" s="72" t="str">
        <f>VLOOKUP(J4,M4:N7,2,0)</f>
        <v>Kroatië</v>
      </c>
      <c r="J4" s="274" t="s">
        <v>66</v>
      </c>
      <c r="K4" s="266"/>
      <c r="L4" s="275"/>
      <c r="M4" s="72" t="s">
        <v>65</v>
      </c>
      <c r="N4" s="276" t="s">
        <v>199</v>
      </c>
      <c r="O4" s="266"/>
      <c r="S4" s="325"/>
    </row>
    <row r="5" spans="1:22" s="270" customFormat="1" ht="11.25">
      <c r="A5" s="266"/>
      <c r="B5" s="245">
        <v>2</v>
      </c>
      <c r="C5" s="277" t="s">
        <v>398</v>
      </c>
      <c r="D5" s="278">
        <v>41438</v>
      </c>
      <c r="E5" s="279">
        <v>0.75</v>
      </c>
      <c r="F5" s="280" t="s">
        <v>299</v>
      </c>
      <c r="G5" s="81" t="str">
        <f>VLOOKUP(F5,M4:N7,2,0)</f>
        <v>Mexico</v>
      </c>
      <c r="H5" s="81" t="s">
        <v>29</v>
      </c>
      <c r="I5" s="81" t="str">
        <f>VLOOKUP(J5,M4:N7,2,0)</f>
        <v>Kameroen</v>
      </c>
      <c r="J5" s="280" t="s">
        <v>300</v>
      </c>
      <c r="K5" s="266"/>
      <c r="L5" s="275"/>
      <c r="M5" s="81" t="s">
        <v>66</v>
      </c>
      <c r="N5" s="281" t="s">
        <v>389</v>
      </c>
      <c r="O5" s="266"/>
      <c r="S5" s="325"/>
    </row>
    <row r="6" spans="1:22" s="270" customFormat="1" ht="11.25">
      <c r="A6" s="266"/>
      <c r="B6" s="246">
        <v>17</v>
      </c>
      <c r="C6" s="271" t="s">
        <v>405</v>
      </c>
      <c r="D6" s="272">
        <v>41807</v>
      </c>
      <c r="E6" s="273">
        <v>0.875</v>
      </c>
      <c r="F6" s="274" t="s">
        <v>65</v>
      </c>
      <c r="G6" s="72" t="str">
        <f>VLOOKUP(F6,M4:N7,2,0)</f>
        <v>Brazilië</v>
      </c>
      <c r="H6" s="72" t="s">
        <v>29</v>
      </c>
      <c r="I6" s="72" t="str">
        <f>VLOOKUP(J6,M4:N7,2,0)</f>
        <v>Mexico</v>
      </c>
      <c r="J6" s="274" t="s">
        <v>299</v>
      </c>
      <c r="K6" s="266"/>
      <c r="L6" s="275"/>
      <c r="M6" s="72" t="s">
        <v>299</v>
      </c>
      <c r="N6" s="276" t="s">
        <v>152</v>
      </c>
      <c r="O6" s="266"/>
      <c r="S6" s="325"/>
    </row>
    <row r="7" spans="1:22" s="270" customFormat="1" ht="11.25">
      <c r="A7" s="266"/>
      <c r="B7" s="245">
        <v>18</v>
      </c>
      <c r="C7" s="277" t="s">
        <v>401</v>
      </c>
      <c r="D7" s="278">
        <v>41808</v>
      </c>
      <c r="E7" s="311" t="s">
        <v>400</v>
      </c>
      <c r="F7" s="280" t="s">
        <v>300</v>
      </c>
      <c r="G7" s="81" t="str">
        <f>VLOOKUP(F7,M4:N7,2,0)</f>
        <v>Kameroen</v>
      </c>
      <c r="H7" s="81" t="s">
        <v>29</v>
      </c>
      <c r="I7" s="81" t="str">
        <f>VLOOKUP(J7,M4:N7,2,0)</f>
        <v>Kroatië</v>
      </c>
      <c r="J7" s="280" t="s">
        <v>66</v>
      </c>
      <c r="K7" s="266"/>
      <c r="L7" s="275"/>
      <c r="M7" s="81" t="s">
        <v>300</v>
      </c>
      <c r="N7" s="281" t="s">
        <v>185</v>
      </c>
      <c r="O7" s="266"/>
      <c r="S7" s="325"/>
    </row>
    <row r="8" spans="1:22" s="270" customFormat="1" ht="11.25">
      <c r="A8" s="266"/>
      <c r="B8" s="246">
        <v>34</v>
      </c>
      <c r="C8" s="271" t="s">
        <v>402</v>
      </c>
      <c r="D8" s="272">
        <v>41448</v>
      </c>
      <c r="E8" s="273">
        <v>0.91666666666666663</v>
      </c>
      <c r="F8" s="274" t="s">
        <v>66</v>
      </c>
      <c r="G8" s="72" t="str">
        <f>VLOOKUP(F8,M4:N7,2,0)</f>
        <v>Kroatië</v>
      </c>
      <c r="H8" s="72" t="s">
        <v>29</v>
      </c>
      <c r="I8" s="72" t="str">
        <f>VLOOKUP(J8,M4:N7,2,0)</f>
        <v>Mexico</v>
      </c>
      <c r="J8" s="274" t="s">
        <v>299</v>
      </c>
      <c r="K8" s="266"/>
      <c r="L8" s="275"/>
      <c r="M8" s="266"/>
      <c r="N8" s="266"/>
      <c r="O8" s="266"/>
      <c r="S8" s="325"/>
    </row>
    <row r="9" spans="1:22" s="270" customFormat="1" ht="11.25">
      <c r="A9" s="266"/>
      <c r="B9" s="245">
        <v>33</v>
      </c>
      <c r="C9" s="277" t="s">
        <v>402</v>
      </c>
      <c r="D9" s="278">
        <v>41448</v>
      </c>
      <c r="E9" s="279">
        <v>0.91666666666666663</v>
      </c>
      <c r="F9" s="280" t="s">
        <v>300</v>
      </c>
      <c r="G9" s="81" t="str">
        <f>VLOOKUP(F9,M4:N7,2,0)</f>
        <v>Kameroen</v>
      </c>
      <c r="H9" s="81" t="s">
        <v>29</v>
      </c>
      <c r="I9" s="81" t="str">
        <f>VLOOKUP(J9,M4:N7,2,0)</f>
        <v>Brazilië</v>
      </c>
      <c r="J9" s="280" t="s">
        <v>65</v>
      </c>
      <c r="K9" s="266"/>
      <c r="L9" s="275"/>
      <c r="M9" s="266"/>
      <c r="N9" s="266"/>
      <c r="O9" s="266"/>
      <c r="S9" s="325"/>
    </row>
    <row r="10" spans="1:22" s="270" customFormat="1" ht="11.25">
      <c r="A10" s="266"/>
      <c r="B10" s="282"/>
      <c r="C10" s="283"/>
      <c r="D10" s="284"/>
      <c r="E10" s="285"/>
      <c r="F10" s="126"/>
      <c r="G10" s="283"/>
      <c r="H10" s="283"/>
      <c r="I10" s="283"/>
      <c r="J10" s="126"/>
      <c r="K10" s="266"/>
      <c r="L10" s="275"/>
      <c r="M10" s="266"/>
      <c r="N10" s="266"/>
      <c r="O10" s="266"/>
      <c r="S10" s="325"/>
    </row>
    <row r="11" spans="1:22" s="270" customFormat="1" ht="11.25">
      <c r="A11" s="266"/>
      <c r="B11" s="457" t="s">
        <v>30</v>
      </c>
      <c r="C11" s="457"/>
      <c r="D11" s="457"/>
      <c r="E11" s="457"/>
      <c r="F11" s="457"/>
      <c r="G11" s="457"/>
      <c r="H11" s="457"/>
      <c r="I11" s="457"/>
      <c r="J11" s="457"/>
      <c r="K11" s="266"/>
      <c r="L11" s="267"/>
      <c r="M11" s="456" t="s">
        <v>30</v>
      </c>
      <c r="N11" s="456"/>
      <c r="O11" s="266"/>
      <c r="P11" s="269"/>
      <c r="Q11" s="269"/>
      <c r="R11" s="269"/>
      <c r="S11" s="327"/>
      <c r="T11" s="269"/>
      <c r="U11" s="269"/>
      <c r="V11" s="269"/>
    </row>
    <row r="12" spans="1:22" s="270" customFormat="1" ht="11.25">
      <c r="A12" s="266"/>
      <c r="B12" s="246">
        <v>3</v>
      </c>
      <c r="C12" s="271" t="s">
        <v>398</v>
      </c>
      <c r="D12" s="272">
        <v>41438</v>
      </c>
      <c r="E12" s="273">
        <v>0.875</v>
      </c>
      <c r="F12" s="274" t="s">
        <v>67</v>
      </c>
      <c r="G12" s="72" t="str">
        <f>VLOOKUP(F12,M12:N15,2,0)</f>
        <v>Spanje</v>
      </c>
      <c r="H12" s="72" t="s">
        <v>29</v>
      </c>
      <c r="I12" s="72" t="str">
        <f>VLOOKUP(J12,M12:N15,2,0)</f>
        <v>Nederland</v>
      </c>
      <c r="J12" s="274" t="s">
        <v>68</v>
      </c>
      <c r="K12" s="266"/>
      <c r="L12" s="275"/>
      <c r="M12" s="72" t="s">
        <v>67</v>
      </c>
      <c r="N12" s="276" t="s">
        <v>138</v>
      </c>
      <c r="O12" s="266"/>
      <c r="S12" s="325"/>
    </row>
    <row r="13" spans="1:22" s="270" customFormat="1" ht="11.25">
      <c r="A13" s="266"/>
      <c r="B13" s="245">
        <v>4</v>
      </c>
      <c r="C13" s="277" t="s">
        <v>398</v>
      </c>
      <c r="D13" s="278">
        <v>41438</v>
      </c>
      <c r="E13" s="311" t="s">
        <v>400</v>
      </c>
      <c r="F13" s="280" t="s">
        <v>301</v>
      </c>
      <c r="G13" s="81" t="str">
        <f>VLOOKUP(F13,M12:N15,2,0)</f>
        <v>Chili</v>
      </c>
      <c r="H13" s="81" t="s">
        <v>29</v>
      </c>
      <c r="I13" s="81" t="str">
        <f>VLOOKUP(J13,M12:N15,2,0)</f>
        <v>Australië</v>
      </c>
      <c r="J13" s="280" t="s">
        <v>302</v>
      </c>
      <c r="K13" s="266"/>
      <c r="L13" s="275"/>
      <c r="M13" s="81" t="s">
        <v>68</v>
      </c>
      <c r="N13" s="281" t="s">
        <v>135</v>
      </c>
      <c r="O13" s="266"/>
      <c r="S13" s="325"/>
    </row>
    <row r="14" spans="1:22" s="270" customFormat="1" ht="11.25">
      <c r="A14" s="266"/>
      <c r="B14" s="246">
        <v>19</v>
      </c>
      <c r="C14" s="271" t="s">
        <v>401</v>
      </c>
      <c r="D14" s="272">
        <v>41443</v>
      </c>
      <c r="E14" s="273">
        <v>0.875</v>
      </c>
      <c r="F14" s="274" t="s">
        <v>67</v>
      </c>
      <c r="G14" s="72" t="str">
        <f>VLOOKUP(F14,M12:N15,2,0)</f>
        <v>Spanje</v>
      </c>
      <c r="H14" s="72" t="s">
        <v>29</v>
      </c>
      <c r="I14" s="72" t="str">
        <f>VLOOKUP(J14,M12:N15,2,0)</f>
        <v>Chili</v>
      </c>
      <c r="J14" s="274" t="s">
        <v>301</v>
      </c>
      <c r="K14" s="266"/>
      <c r="L14" s="275"/>
      <c r="M14" s="72" t="s">
        <v>301</v>
      </c>
      <c r="N14" s="276" t="s">
        <v>207</v>
      </c>
      <c r="O14" s="266"/>
      <c r="S14" s="325"/>
    </row>
    <row r="15" spans="1:22" s="270" customFormat="1" ht="11.25">
      <c r="A15" s="266"/>
      <c r="B15" s="245">
        <v>20</v>
      </c>
      <c r="C15" s="277" t="s">
        <v>401</v>
      </c>
      <c r="D15" s="278">
        <v>41443</v>
      </c>
      <c r="E15" s="279">
        <v>0.75</v>
      </c>
      <c r="F15" s="280" t="s">
        <v>302</v>
      </c>
      <c r="G15" s="81" t="str">
        <f>VLOOKUP(F15,M12:N15,2,0)</f>
        <v>Australië</v>
      </c>
      <c r="H15" s="81" t="s">
        <v>29</v>
      </c>
      <c r="I15" s="81" t="str">
        <f>VLOOKUP(J15,M12:N15,2,0)</f>
        <v>Nederland</v>
      </c>
      <c r="J15" s="280" t="s">
        <v>68</v>
      </c>
      <c r="K15" s="266"/>
      <c r="L15" s="275"/>
      <c r="M15" s="81" t="s">
        <v>302</v>
      </c>
      <c r="N15" s="281" t="s">
        <v>179</v>
      </c>
      <c r="O15" s="266"/>
      <c r="S15" s="325"/>
    </row>
    <row r="16" spans="1:22" s="270" customFormat="1" ht="11.25">
      <c r="A16" s="266"/>
      <c r="B16" s="246">
        <v>36</v>
      </c>
      <c r="C16" s="271" t="s">
        <v>402</v>
      </c>
      <c r="D16" s="272">
        <v>41448</v>
      </c>
      <c r="E16" s="273">
        <v>0.75</v>
      </c>
      <c r="F16" s="274" t="s">
        <v>68</v>
      </c>
      <c r="G16" s="72" t="str">
        <f>VLOOKUP(F16,M12:N15,2,0)</f>
        <v>Nederland</v>
      </c>
      <c r="H16" s="72" t="s">
        <v>29</v>
      </c>
      <c r="I16" s="72" t="str">
        <f>VLOOKUP(J16,M12:N15,2,0)</f>
        <v>Chili</v>
      </c>
      <c r="J16" s="274" t="s">
        <v>301</v>
      </c>
      <c r="K16" s="266"/>
      <c r="L16" s="275"/>
      <c r="M16" s="266"/>
      <c r="N16" s="266"/>
      <c r="O16" s="266"/>
      <c r="S16" s="325"/>
    </row>
    <row r="17" spans="1:22" s="270" customFormat="1" ht="11.25">
      <c r="A17" s="266"/>
      <c r="B17" s="245">
        <v>35</v>
      </c>
      <c r="C17" s="277" t="s">
        <v>402</v>
      </c>
      <c r="D17" s="278">
        <v>41448</v>
      </c>
      <c r="E17" s="279">
        <v>0.75</v>
      </c>
      <c r="F17" s="280" t="s">
        <v>302</v>
      </c>
      <c r="G17" s="81" t="str">
        <f>VLOOKUP(F17,M12:N15,2,0)</f>
        <v>Australië</v>
      </c>
      <c r="H17" s="81" t="s">
        <v>29</v>
      </c>
      <c r="I17" s="81" t="str">
        <f>VLOOKUP(J17,M12:N15,2,0)</f>
        <v>Spanje</v>
      </c>
      <c r="J17" s="280" t="s">
        <v>67</v>
      </c>
      <c r="K17" s="266"/>
      <c r="L17" s="275"/>
      <c r="M17" s="266"/>
      <c r="N17" s="266"/>
      <c r="O17" s="266"/>
      <c r="S17" s="325"/>
    </row>
    <row r="18" spans="1:22" s="270" customFormat="1" ht="11.25">
      <c r="A18" s="266"/>
      <c r="K18" s="266"/>
      <c r="L18" s="275"/>
      <c r="M18" s="266"/>
      <c r="N18" s="266"/>
      <c r="O18" s="266"/>
      <c r="S18" s="325"/>
    </row>
    <row r="19" spans="1:22" s="270" customFormat="1" ht="11.25">
      <c r="A19" s="266"/>
      <c r="B19" s="457" t="s">
        <v>31</v>
      </c>
      <c r="C19" s="457"/>
      <c r="D19" s="457"/>
      <c r="E19" s="457"/>
      <c r="F19" s="457"/>
      <c r="G19" s="457"/>
      <c r="H19" s="457"/>
      <c r="I19" s="457"/>
      <c r="J19" s="457"/>
      <c r="K19" s="266"/>
      <c r="L19" s="267"/>
      <c r="M19" s="456" t="s">
        <v>31</v>
      </c>
      <c r="N19" s="456"/>
      <c r="O19" s="266"/>
      <c r="P19" s="269"/>
      <c r="Q19" s="269"/>
      <c r="R19" s="269"/>
      <c r="S19" s="327"/>
      <c r="T19" s="269"/>
      <c r="U19" s="269"/>
      <c r="V19" s="269"/>
    </row>
    <row r="20" spans="1:22" s="270" customFormat="1" ht="11.25">
      <c r="A20" s="266"/>
      <c r="B20" s="246">
        <v>5</v>
      </c>
      <c r="C20" s="271" t="s">
        <v>399</v>
      </c>
      <c r="D20" s="272">
        <v>41439</v>
      </c>
      <c r="E20" s="273">
        <v>0.75</v>
      </c>
      <c r="F20" s="274" t="s">
        <v>69</v>
      </c>
      <c r="G20" s="72" t="str">
        <f>VLOOKUP(F20,M20:N23,2,0)</f>
        <v>Colombia</v>
      </c>
      <c r="H20" s="72" t="s">
        <v>29</v>
      </c>
      <c r="I20" s="72" t="str">
        <f>VLOOKUP(J20,M20:N23,2,0)</f>
        <v>Griekenland</v>
      </c>
      <c r="J20" s="274" t="s">
        <v>70</v>
      </c>
      <c r="K20" s="266"/>
      <c r="L20" s="275"/>
      <c r="M20" s="72" t="s">
        <v>69</v>
      </c>
      <c r="N20" s="276" t="s">
        <v>390</v>
      </c>
      <c r="O20" s="266"/>
      <c r="S20" s="325"/>
    </row>
    <row r="21" spans="1:22" s="270" customFormat="1" ht="11.25">
      <c r="A21" s="266"/>
      <c r="B21" s="245">
        <v>6</v>
      </c>
      <c r="C21" s="277" t="s">
        <v>404</v>
      </c>
      <c r="D21" s="278">
        <v>41440</v>
      </c>
      <c r="E21" s="279">
        <v>0.125</v>
      </c>
      <c r="F21" s="280" t="s">
        <v>303</v>
      </c>
      <c r="G21" s="81" t="str">
        <f>VLOOKUP(F21,M20:N23,2,0)</f>
        <v>Ivoorkust</v>
      </c>
      <c r="H21" s="81" t="s">
        <v>29</v>
      </c>
      <c r="I21" s="81" t="str">
        <f>VLOOKUP(J21,M20:N23,2,0)</f>
        <v>Japan</v>
      </c>
      <c r="J21" s="280" t="s">
        <v>304</v>
      </c>
      <c r="K21" s="266"/>
      <c r="L21" s="275"/>
      <c r="M21" s="81" t="s">
        <v>70</v>
      </c>
      <c r="N21" s="281" t="s">
        <v>106</v>
      </c>
      <c r="O21" s="266"/>
      <c r="S21" s="325"/>
    </row>
    <row r="22" spans="1:22" s="270" customFormat="1" ht="11.25">
      <c r="A22" s="266"/>
      <c r="B22" s="246">
        <v>21</v>
      </c>
      <c r="C22" s="271" t="s">
        <v>403</v>
      </c>
      <c r="D22" s="272">
        <v>41809</v>
      </c>
      <c r="E22" s="273">
        <v>0.75</v>
      </c>
      <c r="F22" s="274" t="s">
        <v>69</v>
      </c>
      <c r="G22" s="72" t="str">
        <f>VLOOKUP(F22,M20:N23,2,0)</f>
        <v>Colombia</v>
      </c>
      <c r="H22" s="72" t="s">
        <v>29</v>
      </c>
      <c r="I22" s="72" t="str">
        <f>VLOOKUP(J22,M20:N23,2,0)</f>
        <v>Ivoorkust</v>
      </c>
      <c r="J22" s="274" t="s">
        <v>303</v>
      </c>
      <c r="K22" s="266"/>
      <c r="L22" s="275"/>
      <c r="M22" s="72" t="s">
        <v>303</v>
      </c>
      <c r="N22" s="276" t="s">
        <v>200</v>
      </c>
      <c r="O22" s="266"/>
      <c r="S22" s="325"/>
    </row>
    <row r="23" spans="1:22" s="270" customFormat="1" ht="11.25">
      <c r="A23" s="266"/>
      <c r="B23" s="245">
        <v>22</v>
      </c>
      <c r="C23" s="277" t="s">
        <v>403</v>
      </c>
      <c r="D23" s="278">
        <v>41809</v>
      </c>
      <c r="E23" s="311" t="s">
        <v>400</v>
      </c>
      <c r="F23" s="280" t="s">
        <v>304</v>
      </c>
      <c r="G23" s="81" t="str">
        <f>VLOOKUP(F23,M20:N23,2,0)</f>
        <v>Japan</v>
      </c>
      <c r="H23" s="81" t="s">
        <v>29</v>
      </c>
      <c r="I23" s="81" t="str">
        <f>VLOOKUP(J23,M20:N23,2,0)</f>
        <v>Griekenland</v>
      </c>
      <c r="J23" s="280" t="s">
        <v>70</v>
      </c>
      <c r="K23" s="266"/>
      <c r="L23" s="275"/>
      <c r="M23" s="81" t="s">
        <v>304</v>
      </c>
      <c r="N23" s="281" t="s">
        <v>187</v>
      </c>
      <c r="O23" s="266"/>
      <c r="S23" s="325"/>
    </row>
    <row r="24" spans="1:22" s="270" customFormat="1" ht="11.25">
      <c r="A24" s="266"/>
      <c r="B24" s="246">
        <v>38</v>
      </c>
      <c r="C24" s="271" t="s">
        <v>405</v>
      </c>
      <c r="D24" s="272">
        <v>41814</v>
      </c>
      <c r="E24" s="273">
        <v>0.91666666666666663</v>
      </c>
      <c r="F24" s="274" t="s">
        <v>70</v>
      </c>
      <c r="G24" s="72" t="str">
        <f>VLOOKUP(F24,M20:N23,2,0)</f>
        <v>Griekenland</v>
      </c>
      <c r="H24" s="72" t="s">
        <v>29</v>
      </c>
      <c r="I24" s="72" t="str">
        <f>VLOOKUP(J24,M20:N23,2,0)</f>
        <v>Ivoorkust</v>
      </c>
      <c r="J24" s="274" t="s">
        <v>303</v>
      </c>
      <c r="K24" s="266"/>
      <c r="L24" s="275"/>
      <c r="M24" s="266"/>
      <c r="N24" s="266"/>
      <c r="O24" s="266"/>
      <c r="S24" s="325"/>
    </row>
    <row r="25" spans="1:22" s="270" customFormat="1" ht="11.25">
      <c r="A25" s="266"/>
      <c r="B25" s="245">
        <v>37</v>
      </c>
      <c r="C25" s="277" t="s">
        <v>405</v>
      </c>
      <c r="D25" s="278">
        <v>41814</v>
      </c>
      <c r="E25" s="279">
        <v>0.91666666666666663</v>
      </c>
      <c r="F25" s="280" t="s">
        <v>304</v>
      </c>
      <c r="G25" s="81" t="str">
        <f>VLOOKUP(F25,M20:N23,2,0)</f>
        <v>Japan</v>
      </c>
      <c r="H25" s="81" t="s">
        <v>29</v>
      </c>
      <c r="I25" s="81" t="str">
        <f>VLOOKUP(J25,M20:N23,2,0)</f>
        <v>Colombia</v>
      </c>
      <c r="J25" s="280" t="s">
        <v>69</v>
      </c>
      <c r="K25" s="266"/>
      <c r="L25" s="275"/>
      <c r="M25" s="266"/>
      <c r="N25" s="266"/>
      <c r="O25" s="266"/>
      <c r="S25" s="325"/>
    </row>
    <row r="26" spans="1:22" s="270" customFormat="1" ht="11.25">
      <c r="A26" s="266"/>
      <c r="B26" s="282"/>
      <c r="C26" s="283"/>
      <c r="D26" s="284"/>
      <c r="E26" s="285"/>
      <c r="F26" s="126"/>
      <c r="G26" s="283"/>
      <c r="H26" s="283"/>
      <c r="I26" s="283"/>
      <c r="J26" s="126"/>
      <c r="K26" s="266"/>
      <c r="L26" s="275"/>
      <c r="M26" s="266"/>
      <c r="N26" s="266"/>
      <c r="O26" s="266"/>
      <c r="S26" s="325"/>
    </row>
    <row r="27" spans="1:22" s="270" customFormat="1" ht="11.25">
      <c r="A27" s="266"/>
      <c r="B27" s="457" t="s">
        <v>33</v>
      </c>
      <c r="C27" s="457"/>
      <c r="D27" s="457"/>
      <c r="E27" s="457"/>
      <c r="F27" s="457"/>
      <c r="G27" s="457"/>
      <c r="H27" s="457"/>
      <c r="I27" s="457"/>
      <c r="J27" s="457"/>
      <c r="K27" s="266"/>
      <c r="L27" s="267"/>
      <c r="M27" s="456" t="s">
        <v>33</v>
      </c>
      <c r="N27" s="456"/>
      <c r="O27" s="266"/>
      <c r="P27" s="269"/>
      <c r="Q27" s="269"/>
      <c r="R27" s="269"/>
      <c r="S27" s="327"/>
      <c r="T27" s="269"/>
      <c r="U27" s="269"/>
      <c r="V27" s="269"/>
    </row>
    <row r="28" spans="1:22" s="270" customFormat="1" ht="11.25">
      <c r="A28" s="266"/>
      <c r="B28" s="246">
        <v>7</v>
      </c>
      <c r="C28" s="271" t="s">
        <v>399</v>
      </c>
      <c r="D28" s="272">
        <v>41804</v>
      </c>
      <c r="E28" s="273">
        <v>0.875</v>
      </c>
      <c r="F28" s="274" t="s">
        <v>71</v>
      </c>
      <c r="G28" s="72" t="str">
        <f>VLOOKUP(F28,M28:N31,2,0)</f>
        <v>Uruguay</v>
      </c>
      <c r="H28" s="72" t="s">
        <v>29</v>
      </c>
      <c r="I28" s="72" t="str">
        <f>VLOOKUP(J28,M28:N31,2,0)</f>
        <v>Costa Rica</v>
      </c>
      <c r="J28" s="274" t="s">
        <v>72</v>
      </c>
      <c r="K28" s="266"/>
      <c r="L28" s="275"/>
      <c r="M28" s="72" t="s">
        <v>71</v>
      </c>
      <c r="N28" s="276" t="s">
        <v>97</v>
      </c>
      <c r="O28" s="266"/>
      <c r="S28" s="325"/>
    </row>
    <row r="29" spans="1:22" s="270" customFormat="1" ht="11.25">
      <c r="A29" s="266"/>
      <c r="B29" s="245">
        <v>8</v>
      </c>
      <c r="C29" s="277" t="s">
        <v>399</v>
      </c>
      <c r="D29" s="278">
        <v>41439</v>
      </c>
      <c r="E29" s="311" t="s">
        <v>400</v>
      </c>
      <c r="F29" s="280" t="s">
        <v>305</v>
      </c>
      <c r="G29" s="81" t="str">
        <f>VLOOKUP(F29,M28:N31,2,0)</f>
        <v>Engeland</v>
      </c>
      <c r="H29" s="81" t="s">
        <v>29</v>
      </c>
      <c r="I29" s="81" t="str">
        <f>VLOOKUP(J29,M28:N31,2,0)</f>
        <v>Italië</v>
      </c>
      <c r="J29" s="280" t="s">
        <v>306</v>
      </c>
      <c r="K29" s="266"/>
      <c r="L29" s="275"/>
      <c r="M29" s="81" t="s">
        <v>72</v>
      </c>
      <c r="N29" s="281" t="s">
        <v>391</v>
      </c>
      <c r="O29" s="266"/>
      <c r="S29" s="325"/>
    </row>
    <row r="30" spans="1:22" s="270" customFormat="1" ht="11.25">
      <c r="A30" s="266"/>
      <c r="B30" s="246">
        <v>23</v>
      </c>
      <c r="C30" s="271" t="s">
        <v>403</v>
      </c>
      <c r="D30" s="272">
        <v>41809</v>
      </c>
      <c r="E30" s="273">
        <v>0.875</v>
      </c>
      <c r="F30" s="274" t="s">
        <v>71</v>
      </c>
      <c r="G30" s="72" t="str">
        <f>VLOOKUP(F30,M28:N31,2,0)</f>
        <v>Uruguay</v>
      </c>
      <c r="H30" s="72" t="s">
        <v>29</v>
      </c>
      <c r="I30" s="72" t="str">
        <f>VLOOKUP(J30,M28:N31,2,0)</f>
        <v>Engeland</v>
      </c>
      <c r="J30" s="274" t="s">
        <v>305</v>
      </c>
      <c r="K30" s="266"/>
      <c r="L30" s="275"/>
      <c r="M30" s="72" t="s">
        <v>305</v>
      </c>
      <c r="N30" s="276" t="s">
        <v>109</v>
      </c>
      <c r="O30" s="266"/>
      <c r="S30" s="325"/>
    </row>
    <row r="31" spans="1:22" s="270" customFormat="1" ht="11.25">
      <c r="A31" s="266"/>
      <c r="B31" s="245">
        <v>24</v>
      </c>
      <c r="C31" s="277" t="s">
        <v>398</v>
      </c>
      <c r="D31" s="278">
        <v>41810</v>
      </c>
      <c r="E31" s="279">
        <v>0.75</v>
      </c>
      <c r="F31" s="280" t="s">
        <v>306</v>
      </c>
      <c r="G31" s="81" t="str">
        <f>VLOOKUP(F31,M28:N31,2,0)</f>
        <v>Italië</v>
      </c>
      <c r="H31" s="81" t="s">
        <v>29</v>
      </c>
      <c r="I31" s="81" t="str">
        <f>VLOOKUP(J31,M28:N31,2,0)</f>
        <v>Costa Rica</v>
      </c>
      <c r="J31" s="280" t="s">
        <v>72</v>
      </c>
      <c r="K31" s="266"/>
      <c r="L31" s="275"/>
      <c r="M31" s="81" t="s">
        <v>306</v>
      </c>
      <c r="N31" s="281" t="s">
        <v>193</v>
      </c>
      <c r="O31" s="266"/>
      <c r="S31" s="325"/>
    </row>
    <row r="32" spans="1:22" s="270" customFormat="1" ht="11.25">
      <c r="A32" s="266"/>
      <c r="B32" s="246">
        <v>40</v>
      </c>
      <c r="C32" s="271" t="s">
        <v>405</v>
      </c>
      <c r="D32" s="272">
        <v>41814</v>
      </c>
      <c r="E32" s="273">
        <v>0.75</v>
      </c>
      <c r="F32" s="274" t="s">
        <v>72</v>
      </c>
      <c r="G32" s="72" t="str">
        <f>VLOOKUP(F32,M28:N31,2,0)</f>
        <v>Costa Rica</v>
      </c>
      <c r="H32" s="72" t="s">
        <v>29</v>
      </c>
      <c r="I32" s="72" t="str">
        <f>VLOOKUP(J32,M28:N31,2,0)</f>
        <v>Engeland</v>
      </c>
      <c r="J32" s="274" t="s">
        <v>305</v>
      </c>
      <c r="K32" s="266"/>
      <c r="L32" s="275"/>
      <c r="M32" s="266"/>
      <c r="N32" s="266"/>
      <c r="O32" s="266"/>
      <c r="S32" s="325"/>
    </row>
    <row r="33" spans="1:22" s="270" customFormat="1" ht="11.25">
      <c r="A33" s="266"/>
      <c r="B33" s="245">
        <v>39</v>
      </c>
      <c r="C33" s="277" t="s">
        <v>405</v>
      </c>
      <c r="D33" s="278">
        <v>41814</v>
      </c>
      <c r="E33" s="279">
        <v>0.75</v>
      </c>
      <c r="F33" s="280" t="s">
        <v>306</v>
      </c>
      <c r="G33" s="81" t="str">
        <f>VLOOKUP(F33,M28:N31,2,0)</f>
        <v>Italië</v>
      </c>
      <c r="H33" s="81" t="s">
        <v>29</v>
      </c>
      <c r="I33" s="81" t="str">
        <f>VLOOKUP(J33,M28:N31,2,0)</f>
        <v>Uruguay</v>
      </c>
      <c r="J33" s="280" t="s">
        <v>71</v>
      </c>
      <c r="K33" s="266"/>
      <c r="L33" s="275"/>
      <c r="M33" s="266"/>
      <c r="N33" s="266"/>
      <c r="O33" s="266"/>
      <c r="S33" s="325"/>
    </row>
    <row r="34" spans="1:22" s="270" customFormat="1" ht="11.25">
      <c r="A34" s="266"/>
      <c r="B34" s="282"/>
      <c r="C34" s="283"/>
      <c r="D34" s="286"/>
      <c r="E34" s="285"/>
      <c r="F34" s="126"/>
      <c r="G34" s="283"/>
      <c r="H34" s="283"/>
      <c r="I34" s="283"/>
      <c r="J34" s="126"/>
      <c r="K34" s="266"/>
      <c r="L34" s="275"/>
      <c r="M34" s="266"/>
      <c r="N34" s="266"/>
      <c r="O34" s="266"/>
      <c r="S34" s="325"/>
    </row>
    <row r="35" spans="1:22" s="270" customFormat="1" ht="11.25">
      <c r="A35" s="266"/>
      <c r="B35" s="457" t="s">
        <v>34</v>
      </c>
      <c r="C35" s="457"/>
      <c r="D35" s="457"/>
      <c r="E35" s="457"/>
      <c r="F35" s="457"/>
      <c r="G35" s="457"/>
      <c r="H35" s="457"/>
      <c r="I35" s="457"/>
      <c r="J35" s="457"/>
      <c r="K35" s="266"/>
      <c r="L35" s="267"/>
      <c r="M35" s="456" t="s">
        <v>34</v>
      </c>
      <c r="N35" s="456"/>
      <c r="O35" s="266"/>
      <c r="P35" s="269"/>
      <c r="Q35" s="269"/>
      <c r="R35" s="269"/>
      <c r="S35" s="327"/>
      <c r="T35" s="269"/>
      <c r="U35" s="269"/>
      <c r="V35" s="269"/>
    </row>
    <row r="36" spans="1:22" s="270" customFormat="1" ht="11.25">
      <c r="A36" s="266"/>
      <c r="B36" s="246">
        <v>9</v>
      </c>
      <c r="C36" s="271" t="s">
        <v>404</v>
      </c>
      <c r="D36" s="272">
        <v>41440</v>
      </c>
      <c r="E36" s="273">
        <v>0.75</v>
      </c>
      <c r="F36" s="274" t="s">
        <v>73</v>
      </c>
      <c r="G36" s="72" t="str">
        <f>VLOOKUP(F36,M36:N39,2,0)</f>
        <v>Zwitserland</v>
      </c>
      <c r="H36" s="72" t="s">
        <v>29</v>
      </c>
      <c r="I36" s="72" t="str">
        <f>VLOOKUP(J36,M36:N39,2,0)</f>
        <v>Ecuador</v>
      </c>
      <c r="J36" s="274" t="s">
        <v>74</v>
      </c>
      <c r="K36" s="266"/>
      <c r="L36" s="275"/>
      <c r="M36" s="72" t="s">
        <v>73</v>
      </c>
      <c r="N36" s="276" t="s">
        <v>209</v>
      </c>
      <c r="O36" s="266"/>
      <c r="S36" s="325"/>
    </row>
    <row r="37" spans="1:22" s="270" customFormat="1" ht="11.25">
      <c r="A37" s="266"/>
      <c r="B37" s="245">
        <v>10</v>
      </c>
      <c r="C37" s="277" t="s">
        <v>404</v>
      </c>
      <c r="D37" s="278">
        <v>41440</v>
      </c>
      <c r="E37" s="279">
        <v>0.875</v>
      </c>
      <c r="F37" s="280" t="s">
        <v>308</v>
      </c>
      <c r="G37" s="81" t="str">
        <f>VLOOKUP(F37,M36:N39,2,0)</f>
        <v>Frankrijk</v>
      </c>
      <c r="H37" s="81" t="s">
        <v>29</v>
      </c>
      <c r="I37" s="81" t="str">
        <f>VLOOKUP(J37,M36:N39,2,0)</f>
        <v>Honduras</v>
      </c>
      <c r="J37" s="280" t="s">
        <v>307</v>
      </c>
      <c r="K37" s="266"/>
      <c r="L37" s="275"/>
      <c r="M37" s="81" t="s">
        <v>74</v>
      </c>
      <c r="N37" s="281" t="s">
        <v>392</v>
      </c>
      <c r="O37" s="266"/>
      <c r="S37" s="325"/>
    </row>
    <row r="38" spans="1:22" s="270" customFormat="1" ht="11.25">
      <c r="A38" s="266"/>
      <c r="B38" s="246">
        <v>25</v>
      </c>
      <c r="C38" s="271" t="s">
        <v>398</v>
      </c>
      <c r="D38" s="272">
        <v>41810</v>
      </c>
      <c r="E38" s="273">
        <v>0.875</v>
      </c>
      <c r="F38" s="274" t="s">
        <v>73</v>
      </c>
      <c r="G38" s="72" t="str">
        <f>VLOOKUP(F38,M36:N39,2,0)</f>
        <v>Zwitserland</v>
      </c>
      <c r="H38" s="72" t="s">
        <v>29</v>
      </c>
      <c r="I38" s="72" t="str">
        <f>VLOOKUP(J38,M36:N39,2,0)</f>
        <v>Frankrijk</v>
      </c>
      <c r="J38" s="274" t="s">
        <v>308</v>
      </c>
      <c r="K38" s="266"/>
      <c r="L38" s="275"/>
      <c r="M38" s="72" t="s">
        <v>308</v>
      </c>
      <c r="N38" s="276" t="s">
        <v>143</v>
      </c>
      <c r="O38" s="266"/>
      <c r="S38" s="325"/>
    </row>
    <row r="39" spans="1:22" s="270" customFormat="1" ht="11.25">
      <c r="A39" s="266"/>
      <c r="B39" s="245">
        <v>26</v>
      </c>
      <c r="C39" s="277" t="s">
        <v>398</v>
      </c>
      <c r="D39" s="278">
        <v>41810</v>
      </c>
      <c r="E39" s="311" t="s">
        <v>400</v>
      </c>
      <c r="F39" s="280" t="s">
        <v>307</v>
      </c>
      <c r="G39" s="81" t="str">
        <f>VLOOKUP(F39,M36:N39,2,0)</f>
        <v>Honduras</v>
      </c>
      <c r="H39" s="81" t="s">
        <v>29</v>
      </c>
      <c r="I39" s="81" t="str">
        <f>VLOOKUP(J39,M36:N39,2,0)</f>
        <v>Ecuador</v>
      </c>
      <c r="J39" s="280" t="s">
        <v>74</v>
      </c>
      <c r="K39" s="266"/>
      <c r="L39" s="275"/>
      <c r="M39" s="81" t="s">
        <v>307</v>
      </c>
      <c r="N39" s="281" t="s">
        <v>210</v>
      </c>
      <c r="O39" s="266"/>
      <c r="S39" s="325"/>
    </row>
    <row r="40" spans="1:22" s="270" customFormat="1" ht="11.25">
      <c r="A40" s="266"/>
      <c r="B40" s="246">
        <v>42</v>
      </c>
      <c r="C40" s="271" t="s">
        <v>401</v>
      </c>
      <c r="D40" s="272">
        <v>41815</v>
      </c>
      <c r="E40" s="273">
        <v>0.91666666666666663</v>
      </c>
      <c r="F40" s="274" t="s">
        <v>74</v>
      </c>
      <c r="G40" s="72" t="str">
        <f>VLOOKUP(F40,M36:N39,2,0)</f>
        <v>Ecuador</v>
      </c>
      <c r="H40" s="72" t="s">
        <v>29</v>
      </c>
      <c r="I40" s="72" t="str">
        <f>VLOOKUP(J40,M36:N39,2,0)</f>
        <v>Frankrijk</v>
      </c>
      <c r="J40" s="274" t="s">
        <v>308</v>
      </c>
      <c r="K40" s="266"/>
      <c r="L40" s="275"/>
      <c r="M40" s="266"/>
      <c r="N40" s="266"/>
      <c r="O40" s="266"/>
      <c r="S40" s="325"/>
    </row>
    <row r="41" spans="1:22" s="270" customFormat="1" ht="11.25">
      <c r="A41" s="266"/>
      <c r="B41" s="245">
        <v>41</v>
      </c>
      <c r="C41" s="277" t="s">
        <v>401</v>
      </c>
      <c r="D41" s="278">
        <v>41815</v>
      </c>
      <c r="E41" s="279">
        <v>0.91666666666666663</v>
      </c>
      <c r="F41" s="280" t="s">
        <v>307</v>
      </c>
      <c r="G41" s="81" t="str">
        <f>VLOOKUP(F41,M36:N39,2,0)</f>
        <v>Honduras</v>
      </c>
      <c r="H41" s="81" t="s">
        <v>29</v>
      </c>
      <c r="I41" s="81" t="str">
        <f>VLOOKUP(J41,M36:N39,2,0)</f>
        <v>Zwitserland</v>
      </c>
      <c r="J41" s="280" t="s">
        <v>73</v>
      </c>
      <c r="K41" s="266"/>
      <c r="L41" s="275"/>
      <c r="M41" s="266"/>
      <c r="N41" s="266"/>
      <c r="O41" s="266"/>
      <c r="S41" s="325"/>
    </row>
    <row r="42" spans="1:22" s="270" customFormat="1" ht="11.25">
      <c r="A42" s="266"/>
      <c r="B42" s="282"/>
      <c r="C42" s="283"/>
      <c r="D42" s="284"/>
      <c r="E42" s="285"/>
      <c r="F42" s="126"/>
      <c r="G42" s="283"/>
      <c r="H42" s="283"/>
      <c r="I42" s="283"/>
      <c r="J42" s="126"/>
      <c r="K42" s="266"/>
      <c r="L42" s="275"/>
      <c r="M42" s="266"/>
      <c r="N42" s="266"/>
      <c r="O42" s="266"/>
      <c r="S42" s="325"/>
    </row>
    <row r="43" spans="1:22" s="270" customFormat="1" ht="11.25">
      <c r="A43" s="266"/>
      <c r="B43" s="457" t="s">
        <v>35</v>
      </c>
      <c r="C43" s="457"/>
      <c r="D43" s="457"/>
      <c r="E43" s="457"/>
      <c r="F43" s="457"/>
      <c r="G43" s="457"/>
      <c r="H43" s="457"/>
      <c r="I43" s="457"/>
      <c r="J43" s="457"/>
      <c r="K43" s="266"/>
      <c r="L43" s="267"/>
      <c r="M43" s="456" t="s">
        <v>35</v>
      </c>
      <c r="N43" s="456"/>
      <c r="O43" s="266"/>
      <c r="P43" s="269"/>
      <c r="Q43" s="269"/>
      <c r="R43" s="269"/>
      <c r="S43" s="327"/>
      <c r="T43" s="269"/>
      <c r="U43" s="269"/>
      <c r="V43" s="269"/>
    </row>
    <row r="44" spans="1:22" s="270" customFormat="1" ht="11.25">
      <c r="A44" s="266"/>
      <c r="B44" s="246">
        <v>11</v>
      </c>
      <c r="C44" s="271" t="s">
        <v>404</v>
      </c>
      <c r="D44" s="272">
        <v>41440</v>
      </c>
      <c r="E44" s="328" t="s">
        <v>400</v>
      </c>
      <c r="F44" s="274" t="s">
        <v>75</v>
      </c>
      <c r="G44" s="72" t="str">
        <f>VLOOKUP(F44,M44:N47,2,0)</f>
        <v>Argentinië</v>
      </c>
      <c r="H44" s="72" t="s">
        <v>29</v>
      </c>
      <c r="I44" s="72" t="str">
        <f>VLOOKUP(J44,M44:N47,2,0)</f>
        <v>Bosnië-Herzegovina</v>
      </c>
      <c r="J44" s="274" t="s">
        <v>76</v>
      </c>
      <c r="K44" s="266"/>
      <c r="L44" s="275"/>
      <c r="M44" s="72" t="s">
        <v>75</v>
      </c>
      <c r="N44" s="276" t="s">
        <v>102</v>
      </c>
      <c r="O44" s="266"/>
      <c r="S44" s="325"/>
    </row>
    <row r="45" spans="1:22" s="270" customFormat="1" ht="11.25">
      <c r="A45" s="266"/>
      <c r="B45" s="245">
        <v>12</v>
      </c>
      <c r="C45" s="277" t="s">
        <v>402</v>
      </c>
      <c r="D45" s="278">
        <v>41806</v>
      </c>
      <c r="E45" s="279">
        <v>0.875</v>
      </c>
      <c r="F45" s="280" t="s">
        <v>309</v>
      </c>
      <c r="G45" s="81" t="str">
        <f>VLOOKUP(F45,M44:N47,2,0)</f>
        <v>Iran</v>
      </c>
      <c r="H45" s="81" t="s">
        <v>29</v>
      </c>
      <c r="I45" s="81" t="str">
        <f>VLOOKUP(J45,M44:N47,2,0)</f>
        <v>Nigeria</v>
      </c>
      <c r="J45" s="280" t="s">
        <v>310</v>
      </c>
      <c r="K45" s="266"/>
      <c r="L45" s="275"/>
      <c r="M45" s="81" t="s">
        <v>76</v>
      </c>
      <c r="N45" s="281" t="s">
        <v>393</v>
      </c>
      <c r="O45" s="266"/>
      <c r="S45" s="325"/>
    </row>
    <row r="46" spans="1:22" s="270" customFormat="1" ht="11.25">
      <c r="A46" s="266"/>
      <c r="B46" s="246">
        <v>27</v>
      </c>
      <c r="C46" s="271" t="s">
        <v>399</v>
      </c>
      <c r="D46" s="272">
        <v>41446</v>
      </c>
      <c r="E46" s="273">
        <v>0.75</v>
      </c>
      <c r="F46" s="274" t="s">
        <v>75</v>
      </c>
      <c r="G46" s="72" t="str">
        <f>VLOOKUP(F46,M44:N47,2,0)</f>
        <v>Argentinië</v>
      </c>
      <c r="H46" s="72" t="s">
        <v>29</v>
      </c>
      <c r="I46" s="72" t="str">
        <f>VLOOKUP(J46,M44:N47,2,0)</f>
        <v>Iran</v>
      </c>
      <c r="J46" s="274" t="s">
        <v>309</v>
      </c>
      <c r="K46" s="266"/>
      <c r="L46" s="275"/>
      <c r="M46" s="72" t="s">
        <v>309</v>
      </c>
      <c r="N46" s="276" t="s">
        <v>394</v>
      </c>
      <c r="O46" s="266"/>
      <c r="S46" s="325"/>
    </row>
    <row r="47" spans="1:22" s="270" customFormat="1" ht="11.25">
      <c r="A47" s="266"/>
      <c r="B47" s="245">
        <v>28</v>
      </c>
      <c r="C47" s="277" t="s">
        <v>399</v>
      </c>
      <c r="D47" s="278">
        <v>41446</v>
      </c>
      <c r="E47" s="311" t="s">
        <v>400</v>
      </c>
      <c r="F47" s="280" t="s">
        <v>310</v>
      </c>
      <c r="G47" s="81" t="str">
        <f>VLOOKUP(F47,M44:N47,2,0)</f>
        <v>Nigeria</v>
      </c>
      <c r="H47" s="81" t="s">
        <v>29</v>
      </c>
      <c r="I47" s="81" t="str">
        <f>VLOOKUP(J47,M44:N47,2,0)</f>
        <v>Bosnië-Herzegovina</v>
      </c>
      <c r="J47" s="280" t="s">
        <v>76</v>
      </c>
      <c r="K47" s="266"/>
      <c r="L47" s="275"/>
      <c r="M47" s="81" t="s">
        <v>310</v>
      </c>
      <c r="N47" s="281" t="s">
        <v>108</v>
      </c>
      <c r="O47" s="266"/>
      <c r="S47" s="325"/>
    </row>
    <row r="48" spans="1:22" s="270" customFormat="1" ht="11.25">
      <c r="A48" s="266"/>
      <c r="B48" s="246">
        <v>44</v>
      </c>
      <c r="C48" s="271" t="s">
        <v>401</v>
      </c>
      <c r="D48" s="272">
        <v>41815</v>
      </c>
      <c r="E48" s="273">
        <v>0.75</v>
      </c>
      <c r="F48" s="274" t="s">
        <v>76</v>
      </c>
      <c r="G48" s="72" t="str">
        <f>VLOOKUP(F48,M44:N47,2,0)</f>
        <v>Bosnië-Herzegovina</v>
      </c>
      <c r="H48" s="72" t="s">
        <v>29</v>
      </c>
      <c r="I48" s="72" t="str">
        <f>VLOOKUP(J48,M44:N47,2,0)</f>
        <v>Iran</v>
      </c>
      <c r="J48" s="274" t="s">
        <v>309</v>
      </c>
      <c r="K48" s="266"/>
      <c r="L48" s="275"/>
      <c r="M48" s="266"/>
      <c r="N48" s="266"/>
      <c r="O48" s="266"/>
      <c r="S48" s="325"/>
    </row>
    <row r="49" spans="1:22" s="270" customFormat="1" ht="11.25">
      <c r="A49" s="266"/>
      <c r="B49" s="245">
        <v>43</v>
      </c>
      <c r="C49" s="277" t="s">
        <v>401</v>
      </c>
      <c r="D49" s="278">
        <v>41815</v>
      </c>
      <c r="E49" s="279">
        <v>0.75</v>
      </c>
      <c r="F49" s="280" t="s">
        <v>310</v>
      </c>
      <c r="G49" s="81" t="str">
        <f>VLOOKUP(F49,M44:N47,2,0)</f>
        <v>Nigeria</v>
      </c>
      <c r="H49" s="81" t="s">
        <v>29</v>
      </c>
      <c r="I49" s="81" t="str">
        <f>VLOOKUP(J49,M44:N47,2,0)</f>
        <v>Argentinië</v>
      </c>
      <c r="J49" s="280" t="s">
        <v>75</v>
      </c>
      <c r="K49" s="266"/>
      <c r="L49" s="275"/>
      <c r="M49" s="266"/>
      <c r="N49" s="266"/>
      <c r="O49" s="266"/>
      <c r="S49" s="325"/>
    </row>
    <row r="50" spans="1:22" s="270" customFormat="1" ht="11.25">
      <c r="A50" s="266"/>
      <c r="B50" s="282"/>
      <c r="C50" s="283"/>
      <c r="D50" s="284"/>
      <c r="E50" s="285"/>
      <c r="F50" s="126"/>
      <c r="G50" s="283"/>
      <c r="H50" s="283"/>
      <c r="I50" s="283"/>
      <c r="J50" s="126"/>
      <c r="K50" s="266"/>
      <c r="L50" s="275"/>
      <c r="M50" s="266"/>
      <c r="N50" s="266"/>
      <c r="O50" s="266"/>
      <c r="S50" s="325"/>
    </row>
    <row r="51" spans="1:22" s="270" customFormat="1" ht="11.25">
      <c r="A51" s="266"/>
      <c r="B51" s="457" t="s">
        <v>36</v>
      </c>
      <c r="C51" s="457"/>
      <c r="D51" s="457"/>
      <c r="E51" s="457"/>
      <c r="F51" s="457"/>
      <c r="G51" s="457"/>
      <c r="H51" s="457"/>
      <c r="I51" s="457"/>
      <c r="J51" s="457"/>
      <c r="K51" s="266"/>
      <c r="L51" s="267"/>
      <c r="M51" s="456" t="s">
        <v>36</v>
      </c>
      <c r="N51" s="456"/>
      <c r="O51" s="266"/>
      <c r="P51" s="269"/>
      <c r="Q51" s="269"/>
      <c r="R51" s="269"/>
      <c r="S51" s="327"/>
      <c r="T51" s="269"/>
      <c r="U51" s="269"/>
      <c r="V51" s="269"/>
    </row>
    <row r="52" spans="1:22" s="270" customFormat="1" ht="11.25">
      <c r="A52" s="266"/>
      <c r="B52" s="246">
        <v>13</v>
      </c>
      <c r="C52" s="271" t="s">
        <v>402</v>
      </c>
      <c r="D52" s="272">
        <v>41441</v>
      </c>
      <c r="E52" s="312" t="s">
        <v>400</v>
      </c>
      <c r="F52" s="274" t="s">
        <v>77</v>
      </c>
      <c r="G52" s="72" t="str">
        <f>VLOOKUP(F52,M52:N55,2,0)</f>
        <v>Duitsland</v>
      </c>
      <c r="H52" s="72" t="s">
        <v>29</v>
      </c>
      <c r="I52" s="72" t="str">
        <f>VLOOKUP(J52,M52:N55,2,0)</f>
        <v>Portugal</v>
      </c>
      <c r="J52" s="274" t="s">
        <v>78</v>
      </c>
      <c r="K52" s="266"/>
      <c r="L52" s="275"/>
      <c r="M52" s="72" t="s">
        <v>77</v>
      </c>
      <c r="N52" s="276" t="s">
        <v>177</v>
      </c>
      <c r="O52" s="266"/>
      <c r="S52" s="325"/>
    </row>
    <row r="53" spans="1:22" s="270" customFormat="1" ht="11.25">
      <c r="A53" s="266"/>
      <c r="B53" s="245">
        <v>14</v>
      </c>
      <c r="C53" s="277" t="s">
        <v>402</v>
      </c>
      <c r="D53" s="278">
        <v>41441</v>
      </c>
      <c r="E53" s="279">
        <v>0.75</v>
      </c>
      <c r="F53" s="280" t="s">
        <v>311</v>
      </c>
      <c r="G53" s="81" t="str">
        <f>VLOOKUP(F53,M52:N55,2,0)</f>
        <v>Ghana</v>
      </c>
      <c r="H53" s="81" t="s">
        <v>29</v>
      </c>
      <c r="I53" s="81" t="str">
        <f>VLOOKUP(J53,M52:N55,2,0)</f>
        <v>USA</v>
      </c>
      <c r="J53" s="280" t="s">
        <v>312</v>
      </c>
      <c r="K53" s="266"/>
      <c r="L53" s="275"/>
      <c r="M53" s="81" t="s">
        <v>78</v>
      </c>
      <c r="N53" s="281" t="s">
        <v>202</v>
      </c>
      <c r="O53" s="266"/>
      <c r="S53" s="325"/>
    </row>
    <row r="54" spans="1:22" s="270" customFormat="1" ht="11.25">
      <c r="A54" s="266"/>
      <c r="B54" s="246">
        <v>29</v>
      </c>
      <c r="C54" s="271" t="s">
        <v>399</v>
      </c>
      <c r="D54" s="272">
        <v>41446</v>
      </c>
      <c r="E54" s="273">
        <v>0.875</v>
      </c>
      <c r="F54" s="274" t="s">
        <v>77</v>
      </c>
      <c r="G54" s="72" t="str">
        <f>VLOOKUP(F54,M52:N55,2,0)</f>
        <v>Duitsland</v>
      </c>
      <c r="H54" s="72" t="s">
        <v>29</v>
      </c>
      <c r="I54" s="72" t="str">
        <f>VLOOKUP(J54,M52:N55,2,0)</f>
        <v>Ghana</v>
      </c>
      <c r="J54" s="274" t="s">
        <v>311</v>
      </c>
      <c r="K54" s="266"/>
      <c r="L54" s="275"/>
      <c r="M54" s="72" t="s">
        <v>311</v>
      </c>
      <c r="N54" s="276" t="s">
        <v>181</v>
      </c>
      <c r="O54" s="266"/>
      <c r="S54" s="325"/>
    </row>
    <row r="55" spans="1:22" s="270" customFormat="1" ht="11.25">
      <c r="A55" s="266"/>
      <c r="B55" s="245">
        <v>30</v>
      </c>
      <c r="C55" s="277" t="s">
        <v>404</v>
      </c>
      <c r="D55" s="278">
        <v>41812</v>
      </c>
      <c r="E55" s="279" t="s">
        <v>400</v>
      </c>
      <c r="F55" s="280" t="s">
        <v>312</v>
      </c>
      <c r="G55" s="81" t="str">
        <f>VLOOKUP(F55,M52:N55,2,0)</f>
        <v>USA</v>
      </c>
      <c r="H55" s="81" t="s">
        <v>29</v>
      </c>
      <c r="I55" s="81" t="str">
        <f>VLOOKUP(J55,M52:N55,2,0)</f>
        <v>Portugal</v>
      </c>
      <c r="J55" s="280" t="s">
        <v>78</v>
      </c>
      <c r="K55" s="266"/>
      <c r="L55" s="275"/>
      <c r="M55" s="81" t="s">
        <v>312</v>
      </c>
      <c r="N55" s="281" t="s">
        <v>32</v>
      </c>
      <c r="O55" s="266"/>
      <c r="S55" s="325"/>
    </row>
    <row r="56" spans="1:22" s="270" customFormat="1" ht="11.25">
      <c r="A56" s="266"/>
      <c r="B56" s="246">
        <v>46</v>
      </c>
      <c r="C56" s="271" t="s">
        <v>403</v>
      </c>
      <c r="D56" s="272">
        <v>41816</v>
      </c>
      <c r="E56" s="273">
        <v>0.75</v>
      </c>
      <c r="F56" s="274" t="s">
        <v>78</v>
      </c>
      <c r="G56" s="72" t="str">
        <f>VLOOKUP(F56,M52:N55,2,0)</f>
        <v>Portugal</v>
      </c>
      <c r="H56" s="72" t="s">
        <v>29</v>
      </c>
      <c r="I56" s="72" t="str">
        <f>VLOOKUP(J56,M52:N55,2,0)</f>
        <v>Ghana</v>
      </c>
      <c r="J56" s="274" t="s">
        <v>311</v>
      </c>
      <c r="K56" s="266"/>
      <c r="L56" s="275"/>
      <c r="M56" s="266"/>
      <c r="N56" s="266"/>
      <c r="O56" s="266"/>
      <c r="S56" s="325"/>
    </row>
    <row r="57" spans="1:22" s="270" customFormat="1" ht="11.25">
      <c r="A57" s="266"/>
      <c r="B57" s="245">
        <v>45</v>
      </c>
      <c r="C57" s="277" t="s">
        <v>403</v>
      </c>
      <c r="D57" s="278">
        <v>41816</v>
      </c>
      <c r="E57" s="279">
        <v>0.75</v>
      </c>
      <c r="F57" s="280" t="s">
        <v>312</v>
      </c>
      <c r="G57" s="81" t="str">
        <f>VLOOKUP(F57,M52:N55,2,0)</f>
        <v>USA</v>
      </c>
      <c r="H57" s="81" t="s">
        <v>29</v>
      </c>
      <c r="I57" s="81" t="str">
        <f>VLOOKUP(J57,M52:N55,2,0)</f>
        <v>Duitsland</v>
      </c>
      <c r="J57" s="280" t="s">
        <v>77</v>
      </c>
      <c r="K57" s="266"/>
      <c r="L57" s="275"/>
      <c r="M57" s="266"/>
      <c r="N57" s="266"/>
      <c r="O57" s="266"/>
      <c r="S57" s="325"/>
    </row>
    <row r="58" spans="1:22" s="270" customFormat="1" ht="11.25">
      <c r="A58" s="266"/>
      <c r="B58" s="282"/>
      <c r="C58" s="283"/>
      <c r="D58" s="284"/>
      <c r="E58" s="285"/>
      <c r="F58" s="126"/>
      <c r="G58" s="283"/>
      <c r="H58" s="283"/>
      <c r="I58" s="283"/>
      <c r="J58" s="126"/>
      <c r="K58" s="266"/>
      <c r="L58" s="275"/>
      <c r="M58" s="266"/>
      <c r="N58" s="266"/>
      <c r="O58" s="266"/>
      <c r="S58" s="325"/>
    </row>
    <row r="59" spans="1:22" s="270" customFormat="1" ht="11.25">
      <c r="A59" s="266"/>
      <c r="B59" s="457" t="s">
        <v>37</v>
      </c>
      <c r="C59" s="457"/>
      <c r="D59" s="457"/>
      <c r="E59" s="457"/>
      <c r="F59" s="457"/>
      <c r="G59" s="457"/>
      <c r="H59" s="457"/>
      <c r="I59" s="457"/>
      <c r="J59" s="457"/>
      <c r="K59" s="266"/>
      <c r="L59" s="267"/>
      <c r="M59" s="456" t="s">
        <v>37</v>
      </c>
      <c r="N59" s="456"/>
      <c r="O59" s="266"/>
      <c r="P59" s="269"/>
      <c r="Q59" s="269"/>
      <c r="R59" s="269"/>
      <c r="S59" s="327"/>
      <c r="T59" s="269"/>
      <c r="U59" s="269"/>
      <c r="V59" s="269"/>
    </row>
    <row r="60" spans="1:22" s="270" customFormat="1" ht="11.25">
      <c r="A60" s="266"/>
      <c r="B60" s="246">
        <v>15</v>
      </c>
      <c r="C60" s="271" t="s">
        <v>405</v>
      </c>
      <c r="D60" s="272">
        <v>41807</v>
      </c>
      <c r="E60" s="273">
        <v>0.75</v>
      </c>
      <c r="F60" s="274" t="s">
        <v>79</v>
      </c>
      <c r="G60" s="72" t="str">
        <f>VLOOKUP(F60,M60:N63,2,0)</f>
        <v>België</v>
      </c>
      <c r="H60" s="72" t="s">
        <v>29</v>
      </c>
      <c r="I60" s="72" t="str">
        <f>VLOOKUP(J60,M60:N63,2,0)</f>
        <v>Algerije</v>
      </c>
      <c r="J60" s="274" t="s">
        <v>80</v>
      </c>
      <c r="K60" s="266"/>
      <c r="L60" s="275"/>
      <c r="M60" s="72" t="s">
        <v>79</v>
      </c>
      <c r="N60" s="276" t="s">
        <v>395</v>
      </c>
      <c r="O60" s="266"/>
      <c r="S60" s="325"/>
    </row>
    <row r="61" spans="1:22" s="270" customFormat="1" ht="11.25">
      <c r="A61" s="266"/>
      <c r="B61" s="245">
        <v>16</v>
      </c>
      <c r="C61" s="277" t="s">
        <v>405</v>
      </c>
      <c r="D61" s="278">
        <v>41807</v>
      </c>
      <c r="E61" s="279" t="s">
        <v>400</v>
      </c>
      <c r="F61" s="280" t="s">
        <v>313</v>
      </c>
      <c r="G61" s="81" t="str">
        <f>VLOOKUP(F61,M60:N63,2,0)</f>
        <v>Rusland</v>
      </c>
      <c r="H61" s="81" t="s">
        <v>29</v>
      </c>
      <c r="I61" s="81" t="str">
        <f>VLOOKUP(J61,M60:N63,2,0)</f>
        <v>Zuid-Korea</v>
      </c>
      <c r="J61" s="280" t="s">
        <v>314</v>
      </c>
      <c r="K61" s="266"/>
      <c r="L61" s="275"/>
      <c r="M61" s="81" t="s">
        <v>80</v>
      </c>
      <c r="N61" s="281" t="s">
        <v>110</v>
      </c>
      <c r="O61" s="266"/>
      <c r="S61" s="325"/>
    </row>
    <row r="62" spans="1:22" s="270" customFormat="1" ht="11.25">
      <c r="A62" s="266"/>
      <c r="B62" s="246">
        <v>31</v>
      </c>
      <c r="C62" s="271" t="s">
        <v>404</v>
      </c>
      <c r="D62" s="272">
        <v>41812</v>
      </c>
      <c r="E62" s="273">
        <v>0.75</v>
      </c>
      <c r="F62" s="274" t="s">
        <v>79</v>
      </c>
      <c r="G62" s="72" t="str">
        <f>VLOOKUP(F62,M60:N63,2,0)</f>
        <v>België</v>
      </c>
      <c r="H62" s="72" t="s">
        <v>29</v>
      </c>
      <c r="I62" s="72" t="str">
        <f>VLOOKUP(J62,M60:N63,2,0)</f>
        <v>Rusland</v>
      </c>
      <c r="J62" s="274" t="s">
        <v>313</v>
      </c>
      <c r="K62" s="266"/>
      <c r="L62" s="275"/>
      <c r="M62" s="72" t="s">
        <v>313</v>
      </c>
      <c r="N62" s="276" t="s">
        <v>396</v>
      </c>
      <c r="O62" s="266"/>
      <c r="S62" s="325"/>
    </row>
    <row r="63" spans="1:22" s="270" customFormat="1" ht="11.25">
      <c r="A63" s="266"/>
      <c r="B63" s="245">
        <v>32</v>
      </c>
      <c r="C63" s="277" t="s">
        <v>404</v>
      </c>
      <c r="D63" s="278">
        <v>41812</v>
      </c>
      <c r="E63" s="279">
        <v>0.875</v>
      </c>
      <c r="F63" s="280" t="s">
        <v>314</v>
      </c>
      <c r="G63" s="81" t="str">
        <f>VLOOKUP(F63,M60:N63,2,0)</f>
        <v>Zuid-Korea</v>
      </c>
      <c r="H63" s="81" t="s">
        <v>29</v>
      </c>
      <c r="I63" s="81" t="str">
        <f>VLOOKUP(J63,M60:N63,2,0)</f>
        <v>Algerije</v>
      </c>
      <c r="J63" s="280" t="s">
        <v>80</v>
      </c>
      <c r="K63" s="266"/>
      <c r="L63" s="275"/>
      <c r="M63" s="81" t="s">
        <v>314</v>
      </c>
      <c r="N63" s="281" t="s">
        <v>104</v>
      </c>
      <c r="O63" s="266"/>
      <c r="S63" s="325"/>
    </row>
    <row r="64" spans="1:22" s="270" customFormat="1" ht="11.25">
      <c r="A64" s="266"/>
      <c r="B64" s="246">
        <v>48</v>
      </c>
      <c r="C64" s="271" t="s">
        <v>403</v>
      </c>
      <c r="D64" s="272">
        <v>41816</v>
      </c>
      <c r="E64" s="273">
        <v>0.91666666666666663</v>
      </c>
      <c r="F64" s="274" t="s">
        <v>80</v>
      </c>
      <c r="G64" s="72" t="str">
        <f>VLOOKUP(F64,M60:N63,2,0)</f>
        <v>Algerije</v>
      </c>
      <c r="H64" s="72" t="s">
        <v>29</v>
      </c>
      <c r="I64" s="72" t="str">
        <f>VLOOKUP(J64,M60:N63,2,0)</f>
        <v>Rusland</v>
      </c>
      <c r="J64" s="274" t="s">
        <v>313</v>
      </c>
      <c r="K64" s="266"/>
      <c r="L64" s="275"/>
      <c r="M64" s="266"/>
      <c r="N64" s="266"/>
      <c r="O64" s="266"/>
      <c r="S64" s="325"/>
    </row>
    <row r="65" spans="1:23" s="270" customFormat="1" ht="11.25">
      <c r="A65" s="266"/>
      <c r="B65" s="245">
        <v>47</v>
      </c>
      <c r="C65" s="277" t="s">
        <v>403</v>
      </c>
      <c r="D65" s="278">
        <v>41816</v>
      </c>
      <c r="E65" s="279">
        <v>0.91666666666666663</v>
      </c>
      <c r="F65" s="280" t="s">
        <v>314</v>
      </c>
      <c r="G65" s="81" t="str">
        <f>VLOOKUP(F65,M60:N63,2,0)</f>
        <v>Zuid-Korea</v>
      </c>
      <c r="H65" s="81" t="s">
        <v>29</v>
      </c>
      <c r="I65" s="81" t="str">
        <f>VLOOKUP(J65,M60:N63,2,0)</f>
        <v>België</v>
      </c>
      <c r="J65" s="280" t="s">
        <v>79</v>
      </c>
      <c r="K65" s="266"/>
      <c r="L65" s="275"/>
      <c r="M65" s="266"/>
      <c r="N65" s="266"/>
      <c r="O65" s="266"/>
      <c r="S65" s="325"/>
    </row>
    <row r="66" spans="1:23">
      <c r="A66" s="287"/>
      <c r="B66" s="288"/>
      <c r="C66" s="287"/>
      <c r="D66" s="289"/>
      <c r="E66" s="287"/>
      <c r="F66" s="290"/>
      <c r="G66" s="287"/>
      <c r="H66" s="287"/>
      <c r="I66" s="287"/>
      <c r="J66" s="287"/>
      <c r="K66" s="287"/>
      <c r="L66" s="291"/>
      <c r="M66" s="287"/>
      <c r="N66" s="287"/>
      <c r="O66" s="292"/>
    </row>
    <row r="67" spans="1:23"/>
    <row r="68" spans="1:23">
      <c r="B68" s="457" t="s">
        <v>315</v>
      </c>
      <c r="C68" s="457"/>
      <c r="D68" s="457"/>
      <c r="E68" s="457"/>
      <c r="F68" s="457"/>
      <c r="G68" s="457"/>
      <c r="H68" s="457"/>
      <c r="I68" s="457"/>
      <c r="J68" s="457"/>
    </row>
    <row r="69" spans="1:23">
      <c r="B69" s="246">
        <v>49</v>
      </c>
      <c r="C69" s="271" t="s">
        <v>399</v>
      </c>
      <c r="D69" s="272">
        <v>41453</v>
      </c>
      <c r="E69" s="273">
        <v>0.75</v>
      </c>
      <c r="F69" s="274" t="s">
        <v>316</v>
      </c>
      <c r="G69" s="96" t="str">
        <f t="shared" ref="G69:G76" si="0">VLOOKUP(F69,$Q$69:$R$76,2,0)</f>
        <v>A1</v>
      </c>
      <c r="H69" s="276" t="s">
        <v>29</v>
      </c>
      <c r="I69" s="72" t="str">
        <f t="shared" ref="I69:I76" si="1">VLOOKUP(J69,$T$69:$U$76,2,0)</f>
        <v>B2</v>
      </c>
      <c r="J69" s="274" t="s">
        <v>317</v>
      </c>
      <c r="Q69" s="4" t="s">
        <v>316</v>
      </c>
      <c r="R69" s="323" t="s">
        <v>65</v>
      </c>
      <c r="T69" s="4" t="s">
        <v>318</v>
      </c>
      <c r="U69" s="323" t="s">
        <v>66</v>
      </c>
    </row>
    <row r="70" spans="1:23">
      <c r="B70" s="245">
        <v>50</v>
      </c>
      <c r="C70" s="277" t="s">
        <v>399</v>
      </c>
      <c r="D70" s="278">
        <v>41453</v>
      </c>
      <c r="E70" s="279">
        <v>0.91666666666666663</v>
      </c>
      <c r="F70" s="280" t="s">
        <v>319</v>
      </c>
      <c r="G70" s="102" t="str">
        <f t="shared" si="0"/>
        <v>C1</v>
      </c>
      <c r="H70" s="281" t="s">
        <v>29</v>
      </c>
      <c r="I70" s="81" t="str">
        <f t="shared" si="1"/>
        <v>D2</v>
      </c>
      <c r="J70" s="280" t="s">
        <v>320</v>
      </c>
      <c r="Q70" s="4" t="s">
        <v>321</v>
      </c>
      <c r="R70" s="323" t="s">
        <v>67</v>
      </c>
      <c r="T70" s="4" t="s">
        <v>317</v>
      </c>
      <c r="U70" s="323" t="s">
        <v>68</v>
      </c>
    </row>
    <row r="71" spans="1:23">
      <c r="B71" s="246">
        <v>51</v>
      </c>
      <c r="C71" s="271" t="s">
        <v>404</v>
      </c>
      <c r="D71" s="272">
        <v>41454</v>
      </c>
      <c r="E71" s="273">
        <v>0.75</v>
      </c>
      <c r="F71" s="274" t="s">
        <v>321</v>
      </c>
      <c r="G71" s="96" t="str">
        <f t="shared" si="0"/>
        <v>B1</v>
      </c>
      <c r="H71" s="276" t="s">
        <v>29</v>
      </c>
      <c r="I71" s="72" t="str">
        <f t="shared" si="1"/>
        <v>A2</v>
      </c>
      <c r="J71" s="274" t="s">
        <v>318</v>
      </c>
      <c r="Q71" s="4" t="s">
        <v>319</v>
      </c>
      <c r="R71" s="323" t="s">
        <v>69</v>
      </c>
      <c r="T71" s="4" t="s">
        <v>323</v>
      </c>
      <c r="U71" s="323" t="s">
        <v>70</v>
      </c>
    </row>
    <row r="72" spans="1:23">
      <c r="B72" s="245">
        <v>52</v>
      </c>
      <c r="C72" s="277" t="s">
        <v>404</v>
      </c>
      <c r="D72" s="278">
        <v>41454</v>
      </c>
      <c r="E72" s="279">
        <v>0.91666666666666663</v>
      </c>
      <c r="F72" s="280" t="s">
        <v>322</v>
      </c>
      <c r="G72" s="102" t="str">
        <f t="shared" si="0"/>
        <v>D1</v>
      </c>
      <c r="H72" s="281" t="s">
        <v>29</v>
      </c>
      <c r="I72" s="81" t="str">
        <f t="shared" si="1"/>
        <v>C2</v>
      </c>
      <c r="J72" s="280" t="s">
        <v>323</v>
      </c>
      <c r="Q72" s="4" t="s">
        <v>322</v>
      </c>
      <c r="R72" s="323" t="s">
        <v>71</v>
      </c>
      <c r="T72" s="4" t="s">
        <v>320</v>
      </c>
      <c r="U72" s="323" t="s">
        <v>72</v>
      </c>
    </row>
    <row r="73" spans="1:23">
      <c r="B73" s="246">
        <v>53</v>
      </c>
      <c r="C73" s="271" t="s">
        <v>402</v>
      </c>
      <c r="D73" s="272">
        <v>41455</v>
      </c>
      <c r="E73" s="273">
        <v>0.75</v>
      </c>
      <c r="F73" s="274" t="s">
        <v>324</v>
      </c>
      <c r="G73" s="96" t="str">
        <f t="shared" si="0"/>
        <v>E1</v>
      </c>
      <c r="H73" s="276" t="s">
        <v>29</v>
      </c>
      <c r="I73" s="72" t="str">
        <f t="shared" si="1"/>
        <v>F2</v>
      </c>
      <c r="J73" s="274" t="s">
        <v>325</v>
      </c>
      <c r="Q73" s="4" t="s">
        <v>324</v>
      </c>
      <c r="R73" s="323" t="s">
        <v>73</v>
      </c>
      <c r="T73" s="4" t="s">
        <v>326</v>
      </c>
      <c r="U73" s="323" t="s">
        <v>74</v>
      </c>
    </row>
    <row r="74" spans="1:23">
      <c r="B74" s="245">
        <v>54</v>
      </c>
      <c r="C74" s="277" t="s">
        <v>402</v>
      </c>
      <c r="D74" s="278">
        <v>41455</v>
      </c>
      <c r="E74" s="279">
        <v>0.91666666666666663</v>
      </c>
      <c r="F74" s="280" t="s">
        <v>327</v>
      </c>
      <c r="G74" s="102" t="str">
        <f t="shared" si="0"/>
        <v>G1</v>
      </c>
      <c r="H74" s="281" t="s">
        <v>29</v>
      </c>
      <c r="I74" s="81" t="str">
        <f t="shared" si="1"/>
        <v>H2</v>
      </c>
      <c r="J74" s="280" t="s">
        <v>328</v>
      </c>
      <c r="Q74" s="4" t="s">
        <v>329</v>
      </c>
      <c r="R74" s="323" t="s">
        <v>75</v>
      </c>
      <c r="T74" s="4" t="s">
        <v>325</v>
      </c>
      <c r="U74" s="323" t="s">
        <v>76</v>
      </c>
    </row>
    <row r="75" spans="1:23">
      <c r="B75" s="246">
        <v>55</v>
      </c>
      <c r="C75" s="271" t="s">
        <v>405</v>
      </c>
      <c r="D75" s="272">
        <v>41456</v>
      </c>
      <c r="E75" s="273">
        <v>0.75</v>
      </c>
      <c r="F75" s="274" t="s">
        <v>329</v>
      </c>
      <c r="G75" s="96" t="str">
        <f t="shared" si="0"/>
        <v>F1</v>
      </c>
      <c r="H75" s="276" t="s">
        <v>29</v>
      </c>
      <c r="I75" s="72" t="str">
        <f t="shared" si="1"/>
        <v>E2</v>
      </c>
      <c r="J75" s="274" t="s">
        <v>326</v>
      </c>
      <c r="Q75" s="4" t="s">
        <v>327</v>
      </c>
      <c r="R75" s="323" t="s">
        <v>77</v>
      </c>
      <c r="T75" s="4" t="s">
        <v>330</v>
      </c>
      <c r="U75" s="323" t="s">
        <v>78</v>
      </c>
    </row>
    <row r="76" spans="1:23">
      <c r="B76" s="245">
        <v>56</v>
      </c>
      <c r="C76" s="277" t="s">
        <v>405</v>
      </c>
      <c r="D76" s="278">
        <v>41456</v>
      </c>
      <c r="E76" s="279">
        <v>0.91666666666666663</v>
      </c>
      <c r="F76" s="280" t="s">
        <v>331</v>
      </c>
      <c r="G76" s="102" t="str">
        <f t="shared" si="0"/>
        <v>H1</v>
      </c>
      <c r="H76" s="281" t="s">
        <v>29</v>
      </c>
      <c r="I76" s="81" t="str">
        <f t="shared" si="1"/>
        <v>G2</v>
      </c>
      <c r="J76" s="280" t="s">
        <v>330</v>
      </c>
      <c r="Q76" s="4" t="s">
        <v>331</v>
      </c>
      <c r="R76" s="323" t="s">
        <v>79</v>
      </c>
      <c r="T76" s="4" t="s">
        <v>328</v>
      </c>
      <c r="U76" s="323" t="s">
        <v>80</v>
      </c>
    </row>
    <row r="77" spans="1:23">
      <c r="A77" s="105"/>
      <c r="B77" s="104"/>
      <c r="C77" s="105"/>
      <c r="D77" s="106"/>
      <c r="E77" s="105"/>
      <c r="F77" s="132"/>
      <c r="G77" s="105"/>
      <c r="H77" s="105"/>
      <c r="I77" s="105"/>
      <c r="J77" s="105"/>
      <c r="K77" s="105"/>
      <c r="L77" s="107"/>
      <c r="M77" s="105"/>
      <c r="N77" s="105"/>
      <c r="O77" s="292"/>
    </row>
    <row r="78" spans="1:23"/>
    <row r="79" spans="1:23">
      <c r="B79" s="457" t="s">
        <v>45</v>
      </c>
      <c r="C79" s="457"/>
      <c r="D79" s="457"/>
      <c r="E79" s="457"/>
      <c r="F79" s="457"/>
      <c r="G79" s="457"/>
      <c r="H79" s="457"/>
      <c r="I79" s="457"/>
      <c r="J79" s="457"/>
      <c r="Q79" s="4" t="s">
        <v>332</v>
      </c>
      <c r="R79" s="323" t="str">
        <f>"Winnaar "&amp;G69&amp;"-"&amp;I69</f>
        <v>Winnaar A1-B2</v>
      </c>
      <c r="T79" s="4" t="str">
        <f>G69&amp;"/"&amp;I69</f>
        <v>A1/B2</v>
      </c>
      <c r="V79" s="4" t="s">
        <v>341</v>
      </c>
      <c r="W79" s="323" t="str">
        <f>"Winnaar "&amp;T79&amp;"-"&amp;T80</f>
        <v>Winnaar A1/B2-C1/D2</v>
      </c>
    </row>
    <row r="80" spans="1:23">
      <c r="B80" s="246">
        <v>57</v>
      </c>
      <c r="C80" s="271">
        <v>40361</v>
      </c>
      <c r="D80" s="272">
        <v>41459</v>
      </c>
      <c r="E80" s="273">
        <v>0.91666666666666663</v>
      </c>
      <c r="F80" s="274" t="s">
        <v>332</v>
      </c>
      <c r="G80" s="72" t="str">
        <f>VLOOKUP(F80,$Q$79:$R$86,2,0)</f>
        <v>Winnaar A1-B2</v>
      </c>
      <c r="H80" s="276" t="s">
        <v>29</v>
      </c>
      <c r="I80" s="72" t="str">
        <f>VLOOKUP(J80,$Q$79:$R$86,2,0)</f>
        <v>Winnaar C1-D2</v>
      </c>
      <c r="J80" s="274" t="s">
        <v>335</v>
      </c>
      <c r="Q80" s="4" t="s">
        <v>335</v>
      </c>
      <c r="R80" s="323" t="str">
        <f t="shared" ref="R80:R86" si="2">"Winnaar "&amp;G70&amp;"-"&amp;I70</f>
        <v>Winnaar C1-D2</v>
      </c>
      <c r="T80" s="4" t="str">
        <f t="shared" ref="T80:T86" si="3">G70&amp;"/"&amp;I70</f>
        <v>C1/D2</v>
      </c>
      <c r="W80" s="323"/>
    </row>
    <row r="81" spans="1:23">
      <c r="B81" s="245">
        <v>58</v>
      </c>
      <c r="C81" s="277">
        <v>40361</v>
      </c>
      <c r="D81" s="278">
        <v>41459</v>
      </c>
      <c r="E81" s="279">
        <v>0.75</v>
      </c>
      <c r="F81" s="280" t="s">
        <v>333</v>
      </c>
      <c r="G81" s="81" t="str">
        <f>VLOOKUP(F81,$Q$79:$R$86,2,0)</f>
        <v>Winnaar E1-F2</v>
      </c>
      <c r="H81" s="281" t="s">
        <v>29</v>
      </c>
      <c r="I81" s="81" t="str">
        <f>VLOOKUP(J81,$Q$79:$R$86,2,0)</f>
        <v>Winnaar G1-H2</v>
      </c>
      <c r="J81" s="280" t="s">
        <v>334</v>
      </c>
      <c r="Q81" s="4" t="s">
        <v>336</v>
      </c>
      <c r="R81" s="323" t="str">
        <f t="shared" si="2"/>
        <v>Winnaar B1-A2</v>
      </c>
      <c r="T81" s="4" t="str">
        <f t="shared" si="3"/>
        <v>B1/A2</v>
      </c>
      <c r="V81" s="4" t="s">
        <v>342</v>
      </c>
      <c r="W81" s="323" t="str">
        <f t="shared" ref="W81:W85" si="4">"Winnaar "&amp;T81&amp;"-"&amp;T82</f>
        <v>Winnaar B1/A2-D1/C2</v>
      </c>
    </row>
    <row r="82" spans="1:23">
      <c r="B82" s="246">
        <v>59</v>
      </c>
      <c r="C82" s="271">
        <v>40362</v>
      </c>
      <c r="D82" s="272">
        <v>41460</v>
      </c>
      <c r="E82" s="273">
        <v>0.91666666666666663</v>
      </c>
      <c r="F82" s="274" t="s">
        <v>336</v>
      </c>
      <c r="G82" s="72" t="str">
        <f>VLOOKUP(F82,$Q$79:$R$86,2,0)</f>
        <v>Winnaar B1-A2</v>
      </c>
      <c r="H82" s="276" t="s">
        <v>29</v>
      </c>
      <c r="I82" s="72" t="str">
        <f>VLOOKUP(J82,$Q$79:$R$86,2,0)</f>
        <v>Winnaar D1-C2</v>
      </c>
      <c r="J82" s="274" t="s">
        <v>337</v>
      </c>
      <c r="Q82" s="4" t="s">
        <v>337</v>
      </c>
      <c r="R82" s="323" t="str">
        <f t="shared" si="2"/>
        <v>Winnaar D1-C2</v>
      </c>
      <c r="T82" s="4" t="str">
        <f t="shared" si="3"/>
        <v>D1/C2</v>
      </c>
      <c r="W82" s="323"/>
    </row>
    <row r="83" spans="1:23">
      <c r="B83" s="245">
        <v>60</v>
      </c>
      <c r="C83" s="277">
        <v>40362</v>
      </c>
      <c r="D83" s="278">
        <v>41460</v>
      </c>
      <c r="E83" s="279">
        <v>0.75</v>
      </c>
      <c r="F83" s="280" t="s">
        <v>338</v>
      </c>
      <c r="G83" s="81" t="str">
        <f>VLOOKUP(F83,$Q$79:$R$86,2,0)</f>
        <v>Winnaar F1-E2</v>
      </c>
      <c r="H83" s="281" t="s">
        <v>29</v>
      </c>
      <c r="I83" s="81" t="str">
        <f>VLOOKUP(J83,$Q$79:$R$86,2,0)</f>
        <v>Winnaar H1-G2</v>
      </c>
      <c r="J83" s="280" t="s">
        <v>339</v>
      </c>
      <c r="Q83" s="4" t="s">
        <v>333</v>
      </c>
      <c r="R83" s="323" t="str">
        <f t="shared" si="2"/>
        <v>Winnaar E1-F2</v>
      </c>
      <c r="T83" s="4" t="str">
        <f t="shared" si="3"/>
        <v>E1/F2</v>
      </c>
      <c r="V83" s="4" t="s">
        <v>340</v>
      </c>
      <c r="W83" s="323" t="str">
        <f t="shared" si="4"/>
        <v>Winnaar E1/F2-G1/H2</v>
      </c>
    </row>
    <row r="84" spans="1:23">
      <c r="A84" s="105"/>
      <c r="B84" s="104"/>
      <c r="C84" s="105"/>
      <c r="D84" s="106"/>
      <c r="E84" s="105"/>
      <c r="F84" s="132"/>
      <c r="G84" s="105"/>
      <c r="H84" s="105"/>
      <c r="I84" s="105"/>
      <c r="J84" s="105"/>
      <c r="K84" s="105"/>
      <c r="L84" s="107"/>
      <c r="M84" s="105"/>
      <c r="N84" s="105"/>
      <c r="Q84" s="4" t="s">
        <v>334</v>
      </c>
      <c r="R84" s="323" t="str">
        <f t="shared" si="2"/>
        <v>Winnaar G1-H2</v>
      </c>
      <c r="T84" s="4" t="str">
        <f t="shared" si="3"/>
        <v>G1/H2</v>
      </c>
      <c r="W84" s="323"/>
    </row>
    <row r="85" spans="1:23">
      <c r="Q85" s="4" t="s">
        <v>338</v>
      </c>
      <c r="R85" s="323" t="str">
        <f t="shared" si="2"/>
        <v>Winnaar F1-E2</v>
      </c>
      <c r="T85" s="4" t="str">
        <f t="shared" si="3"/>
        <v>F1/E2</v>
      </c>
      <c r="V85" s="4" t="s">
        <v>343</v>
      </c>
      <c r="W85" s="323" t="str">
        <f t="shared" si="4"/>
        <v>Winnaar F1/E2-H1/G2</v>
      </c>
    </row>
    <row r="86" spans="1:23">
      <c r="B86" s="457" t="s">
        <v>46</v>
      </c>
      <c r="C86" s="457"/>
      <c r="D86" s="457"/>
      <c r="E86" s="457"/>
      <c r="F86" s="457"/>
      <c r="G86" s="457"/>
      <c r="H86" s="457"/>
      <c r="I86" s="457"/>
      <c r="J86" s="457"/>
      <c r="Q86" s="4" t="s">
        <v>339</v>
      </c>
      <c r="R86" s="323" t="str">
        <f t="shared" si="2"/>
        <v>Winnaar H1-G2</v>
      </c>
      <c r="T86" s="4" t="str">
        <f t="shared" si="3"/>
        <v>H1/G2</v>
      </c>
      <c r="W86" s="323"/>
    </row>
    <row r="87" spans="1:23">
      <c r="B87" s="246">
        <v>61</v>
      </c>
      <c r="C87" s="271">
        <v>40365</v>
      </c>
      <c r="D87" s="272">
        <v>41463</v>
      </c>
      <c r="E87" s="273">
        <v>0.91666666666666663</v>
      </c>
      <c r="F87" s="274" t="s">
        <v>341</v>
      </c>
      <c r="G87" s="72" t="str">
        <f>VLOOKUP(F87,$V$79:$W$85,2,0)</f>
        <v>Winnaar A1/B2-C1/D2</v>
      </c>
      <c r="H87" s="276" t="s">
        <v>29</v>
      </c>
      <c r="I87" s="72" t="str">
        <f>VLOOKUP(J87,$V$79:$W$85,2,0)</f>
        <v>Winnaar E1/F2-G1/H2</v>
      </c>
      <c r="J87" s="274" t="s">
        <v>340</v>
      </c>
    </row>
    <row r="88" spans="1:23">
      <c r="B88" s="245">
        <v>62</v>
      </c>
      <c r="C88" s="277">
        <v>40366</v>
      </c>
      <c r="D88" s="278">
        <v>41464</v>
      </c>
      <c r="E88" s="279">
        <v>0.91666666666666663</v>
      </c>
      <c r="F88" s="280" t="s">
        <v>342</v>
      </c>
      <c r="G88" s="81" t="str">
        <f>VLOOKUP(F88,$V$79:$W$85,2,0)</f>
        <v>Winnaar B1/A2-D1/C2</v>
      </c>
      <c r="H88" s="281" t="s">
        <v>29</v>
      </c>
      <c r="I88" s="81" t="str">
        <f>VLOOKUP(J88,$V$79:$W$85,2,0)</f>
        <v>Winnaar F1/E2-H1/G2</v>
      </c>
      <c r="J88" s="280" t="s">
        <v>343</v>
      </c>
    </row>
    <row r="89" spans="1:23">
      <c r="A89" s="105"/>
      <c r="B89" s="104"/>
      <c r="C89" s="105"/>
      <c r="D89" s="106"/>
      <c r="E89" s="105"/>
      <c r="F89" s="132"/>
      <c r="G89" s="105"/>
      <c r="H89" s="105"/>
      <c r="I89" s="105"/>
      <c r="J89" s="105"/>
      <c r="K89" s="105"/>
      <c r="L89" s="107"/>
      <c r="M89" s="105"/>
      <c r="N89" s="105"/>
    </row>
    <row r="90" spans="1:23"/>
    <row r="91" spans="1:23">
      <c r="B91" s="457" t="s">
        <v>47</v>
      </c>
      <c r="C91" s="457"/>
      <c r="D91" s="457"/>
      <c r="E91" s="457"/>
      <c r="F91" s="457"/>
      <c r="G91" s="457"/>
      <c r="H91" s="457"/>
      <c r="I91" s="457"/>
      <c r="J91" s="457"/>
    </row>
    <row r="92" spans="1:23">
      <c r="B92" s="246">
        <v>63</v>
      </c>
      <c r="C92" s="271">
        <v>40369</v>
      </c>
      <c r="D92" s="272">
        <v>41467</v>
      </c>
      <c r="E92" s="273">
        <v>0.91666666666666663</v>
      </c>
      <c r="F92" s="274" t="s">
        <v>344</v>
      </c>
      <c r="G92" s="72" t="str">
        <f>VLOOKUP(F92,$T$93:$U$94,2,0)</f>
        <v>Verliezer 61</v>
      </c>
      <c r="H92" s="276" t="s">
        <v>29</v>
      </c>
      <c r="I92" s="72" t="str">
        <f>VLOOKUP(J92,$T$93:$U$94,2,0)</f>
        <v>Verliezer 62</v>
      </c>
      <c r="J92" s="274" t="s">
        <v>345</v>
      </c>
    </row>
    <row r="93" spans="1:23">
      <c r="A93" s="105"/>
      <c r="B93" s="104"/>
      <c r="C93" s="105"/>
      <c r="D93" s="106"/>
      <c r="E93" s="105"/>
      <c r="F93" s="132"/>
      <c r="G93" s="105"/>
      <c r="H93" s="105"/>
      <c r="I93" s="105"/>
      <c r="J93" s="105"/>
      <c r="K93" s="105"/>
      <c r="L93" s="107"/>
      <c r="M93" s="105"/>
      <c r="N93" s="105"/>
      <c r="Q93" s="4" t="s">
        <v>346</v>
      </c>
      <c r="R93" s="4" t="s">
        <v>347</v>
      </c>
      <c r="T93" s="4" t="s">
        <v>344</v>
      </c>
      <c r="U93" s="4" t="s">
        <v>348</v>
      </c>
    </row>
    <row r="94" spans="1:23">
      <c r="Q94" s="4" t="s">
        <v>349</v>
      </c>
      <c r="R94" s="4" t="s">
        <v>350</v>
      </c>
      <c r="T94" s="4" t="s">
        <v>345</v>
      </c>
      <c r="U94" s="4" t="s">
        <v>351</v>
      </c>
    </row>
    <row r="95" spans="1:23">
      <c r="B95" s="457" t="s">
        <v>48</v>
      </c>
      <c r="C95" s="457"/>
      <c r="D95" s="457"/>
      <c r="E95" s="457"/>
      <c r="F95" s="457"/>
      <c r="G95" s="457"/>
      <c r="H95" s="457"/>
      <c r="I95" s="457"/>
      <c r="J95" s="457"/>
    </row>
    <row r="96" spans="1:23">
      <c r="B96" s="246">
        <v>64</v>
      </c>
      <c r="C96" s="271">
        <v>40370</v>
      </c>
      <c r="D96" s="272">
        <v>41468</v>
      </c>
      <c r="E96" s="273">
        <v>0.875</v>
      </c>
      <c r="F96" s="274" t="s">
        <v>346</v>
      </c>
      <c r="G96" s="72" t="str">
        <f>VLOOKUP(F96,$Q$93:$R$94,2,0)</f>
        <v>Winnaar 61</v>
      </c>
      <c r="H96" s="276" t="s">
        <v>29</v>
      </c>
      <c r="I96" s="72" t="str">
        <f>VLOOKUP(J96,$Q$93:$R$94,2,0)</f>
        <v>Winnaar 62</v>
      </c>
      <c r="J96" s="274" t="s">
        <v>349</v>
      </c>
    </row>
    <row r="97"/>
  </sheetData>
  <sheetProtection password="D94F" sheet="1" objects="1" scenarios="1" selectLockedCells="1" selectUnlockedCells="1"/>
  <mergeCells count="21">
    <mergeCell ref="B86:J86"/>
    <mergeCell ref="B91:J91"/>
    <mergeCell ref="B95:J95"/>
    <mergeCell ref="B51:J51"/>
    <mergeCell ref="M51:N51"/>
    <mergeCell ref="B59:J59"/>
    <mergeCell ref="M59:N59"/>
    <mergeCell ref="B68:J68"/>
    <mergeCell ref="B79:J79"/>
    <mergeCell ref="B27:J27"/>
    <mergeCell ref="M27:N27"/>
    <mergeCell ref="B35:J35"/>
    <mergeCell ref="M35:N35"/>
    <mergeCell ref="B43:J43"/>
    <mergeCell ref="M43:N43"/>
    <mergeCell ref="B3:J3"/>
    <mergeCell ref="M3:N3"/>
    <mergeCell ref="B11:J11"/>
    <mergeCell ref="M11:N11"/>
    <mergeCell ref="B19:J19"/>
    <mergeCell ref="M19:N19"/>
  </mergeCells>
  <conditionalFormatting sqref="L4:L9 L12:L17 L20:L25 L28:L33 L36:L41 L44:L49 L52:L57 L60:L65">
    <cfRule type="cellIs" dxfId="21" priority="1" stopIfTrue="1" operator="equal">
      <formula>"FOUT"</formula>
    </cfRule>
  </conditionalFormatting>
  <dataValidations count="11">
    <dataValidation type="list" operator="equal" allowBlank="1" showInputMessage="1" showErrorMessage="1" sqref="F4:F9 J4:J9">
      <formula1>GroepA</formula1>
      <formula2>0</formula2>
    </dataValidation>
    <dataValidation type="list" operator="equal" allowBlank="1" showInputMessage="1" showErrorMessage="1" sqref="J12:J17 F12:F17 F20:F25">
      <formula1>GroepB</formula1>
      <formula2>0</formula2>
    </dataValidation>
    <dataValidation type="list" operator="equal" allowBlank="1" showInputMessage="1" showErrorMessage="1" sqref="J20:J25">
      <formula1>GroepC</formula1>
      <formula2>0</formula2>
    </dataValidation>
    <dataValidation type="list" operator="equal" allowBlank="1" showInputMessage="1" showErrorMessage="1" sqref="F28:F33 J28:J33">
      <formula1>GroepD</formula1>
      <formula2>0</formula2>
    </dataValidation>
    <dataValidation type="list" operator="equal" allowBlank="1" showInputMessage="1" showErrorMessage="1" sqref="F36:F41 J36:J41 F44:F49 F52:F57 F60:F65 J44:J49 J52:J57 J60:J65">
      <formula1>GroepE</formula1>
      <formula2>0</formula2>
    </dataValidation>
    <dataValidation type="list" operator="equal" allowBlank="1" showInputMessage="1" showErrorMessage="1" sqref="F69:F76">
      <formula1>PouleWinnaars</formula1>
      <formula2>0</formula2>
    </dataValidation>
    <dataValidation type="list" operator="equal" allowBlank="1" showInputMessage="1" showErrorMessage="1" sqref="J69:J76">
      <formula1>PouleTweede</formula1>
      <formula2>0</formula2>
    </dataValidation>
    <dataValidation type="list" operator="equal" allowBlank="1" showInputMessage="1" showErrorMessage="1" sqref="F80:F83 J80:J83">
      <formula1>WinnaarAcht</formula1>
      <formula2>0</formula2>
    </dataValidation>
    <dataValidation type="list" operator="equal" allowBlank="1" showInputMessage="1" showErrorMessage="1" sqref="F87:F88 J87:J88">
      <formula1>WinnaarKwart</formula1>
      <formula2>0</formula2>
    </dataValidation>
    <dataValidation type="list" operator="equal" allowBlank="1" showInputMessage="1" showErrorMessage="1" sqref="F92 J92">
      <formula1>VerliezerHalf</formula1>
      <formula2>0</formula2>
    </dataValidation>
    <dataValidation type="list" operator="equal" allowBlank="1" showInputMessage="1" showErrorMessage="1" sqref="F96 J96">
      <formula1>WinnaarHalf</formula1>
      <formula2>0</formula2>
    </dataValidation>
  </dataValidations>
  <hyperlinks>
    <hyperlink ref="I1" r:id="rId1"/>
  </hyperlinks>
  <pageMargins left="0.75" right="0.75" top="1" bottom="1" header="0.51180555555555551" footer="0.51180555555555551"/>
  <pageSetup firstPageNumber="0" orientation="portrait" horizontalDpi="300" verticalDpi="300"/>
  <headerFooter alignWithMargins="0"/>
</worksheet>
</file>

<file path=xl/worksheets/sheet5.xml><?xml version="1.0" encoding="utf-8"?>
<worksheet xmlns="http://schemas.openxmlformats.org/spreadsheetml/2006/main" xmlns:r="http://schemas.openxmlformats.org/officeDocument/2006/relationships">
  <sheetPr codeName="Blad29">
    <tabColor rgb="FF00B050"/>
  </sheetPr>
  <dimension ref="A1:N41"/>
  <sheetViews>
    <sheetView topLeftCell="A22" workbookViewId="0">
      <selection activeCell="A42" sqref="A42"/>
    </sheetView>
  </sheetViews>
  <sheetFormatPr defaultRowHeight="12.75"/>
  <cols>
    <col min="1" max="1" width="4.7109375" customWidth="1"/>
    <col min="3" max="3" width="3.7109375" customWidth="1"/>
    <col min="4" max="4" width="10.7109375" bestFit="1" customWidth="1"/>
  </cols>
  <sheetData>
    <row r="1" spans="1:4">
      <c r="A1" t="s">
        <v>352</v>
      </c>
      <c r="B1" t="s">
        <v>353</v>
      </c>
      <c r="C1">
        <v>1</v>
      </c>
      <c r="D1" t="s">
        <v>354</v>
      </c>
    </row>
    <row r="2" spans="1:4">
      <c r="C2">
        <v>2</v>
      </c>
      <c r="D2" t="s">
        <v>355</v>
      </c>
    </row>
    <row r="3" spans="1:4">
      <c r="C3">
        <v>3</v>
      </c>
      <c r="D3" t="s">
        <v>356</v>
      </c>
    </row>
    <row r="4" spans="1:4">
      <c r="C4">
        <v>4</v>
      </c>
      <c r="D4" t="s">
        <v>357</v>
      </c>
    </row>
    <row r="5" spans="1:4">
      <c r="C5">
        <v>5</v>
      </c>
      <c r="D5" t="s">
        <v>358</v>
      </c>
    </row>
    <row r="6" spans="1:4">
      <c r="C6">
        <v>6</v>
      </c>
      <c r="D6" t="s">
        <v>359</v>
      </c>
    </row>
    <row r="7" spans="1:4">
      <c r="C7" s="295">
        <v>7</v>
      </c>
      <c r="D7" s="294" t="s">
        <v>367</v>
      </c>
    </row>
    <row r="9" spans="1:4">
      <c r="A9" t="s">
        <v>361</v>
      </c>
      <c r="B9" t="s">
        <v>360</v>
      </c>
      <c r="C9">
        <v>1</v>
      </c>
      <c r="D9" t="s">
        <v>371</v>
      </c>
    </row>
    <row r="10" spans="1:4">
      <c r="C10">
        <v>3</v>
      </c>
      <c r="D10" t="s">
        <v>364</v>
      </c>
    </row>
    <row r="11" spans="1:4">
      <c r="D11" s="293" t="s">
        <v>365</v>
      </c>
    </row>
    <row r="12" spans="1:4">
      <c r="C12">
        <v>4</v>
      </c>
      <c r="D12" t="s">
        <v>381</v>
      </c>
    </row>
    <row r="13" spans="1:4">
      <c r="C13" s="295">
        <v>7</v>
      </c>
      <c r="D13" s="294" t="s">
        <v>368</v>
      </c>
    </row>
    <row r="15" spans="1:4">
      <c r="A15" t="s">
        <v>363</v>
      </c>
      <c r="B15" t="s">
        <v>353</v>
      </c>
      <c r="C15">
        <v>1</v>
      </c>
      <c r="D15" t="s">
        <v>362</v>
      </c>
    </row>
    <row r="16" spans="1:4">
      <c r="C16">
        <v>3</v>
      </c>
      <c r="D16" t="s">
        <v>370</v>
      </c>
    </row>
    <row r="17" spans="1:14">
      <c r="C17">
        <v>4</v>
      </c>
      <c r="D17" t="s">
        <v>382</v>
      </c>
    </row>
    <row r="18" spans="1:14">
      <c r="C18" s="294">
        <v>7</v>
      </c>
      <c r="D18" s="294" t="s">
        <v>369</v>
      </c>
    </row>
    <row r="19" spans="1:14">
      <c r="C19" s="297">
        <v>8</v>
      </c>
      <c r="D19" t="s">
        <v>383</v>
      </c>
    </row>
    <row r="20" spans="1:14">
      <c r="A20" t="s">
        <v>385</v>
      </c>
      <c r="B20" t="s">
        <v>353</v>
      </c>
      <c r="C20" s="297"/>
      <c r="D20" t="s">
        <v>386</v>
      </c>
      <c r="E20" s="297"/>
      <c r="F20" s="297"/>
      <c r="G20" s="297"/>
      <c r="H20" s="297"/>
      <c r="I20" s="297"/>
      <c r="J20" s="297"/>
      <c r="K20" s="297"/>
      <c r="L20" s="297"/>
      <c r="M20" s="297"/>
      <c r="N20" s="297"/>
    </row>
    <row r="21" spans="1:14">
      <c r="C21" s="297"/>
      <c r="D21" s="297"/>
      <c r="E21" s="297"/>
      <c r="F21" s="297"/>
      <c r="G21" s="297"/>
      <c r="H21" s="297"/>
      <c r="I21" s="297"/>
      <c r="J21" s="297"/>
      <c r="K21" s="297"/>
      <c r="L21" s="297"/>
      <c r="M21" s="297"/>
      <c r="N21" s="297"/>
    </row>
    <row r="22" spans="1:14">
      <c r="A22" t="s">
        <v>387</v>
      </c>
      <c r="B22" t="s">
        <v>353</v>
      </c>
      <c r="C22" s="297"/>
      <c r="D22" t="s">
        <v>388</v>
      </c>
      <c r="E22" s="297"/>
      <c r="F22" s="297"/>
      <c r="G22" s="297"/>
      <c r="H22" s="297"/>
      <c r="I22" s="297"/>
      <c r="J22" s="297"/>
      <c r="K22" s="297"/>
      <c r="L22" s="297"/>
      <c r="M22" s="297"/>
      <c r="N22" s="297"/>
    </row>
    <row r="23" spans="1:14">
      <c r="C23" s="297"/>
      <c r="D23" s="297"/>
      <c r="E23" s="297"/>
      <c r="F23" s="297"/>
      <c r="G23" s="297"/>
      <c r="H23" s="297"/>
      <c r="I23" s="297"/>
      <c r="J23" s="297"/>
      <c r="K23" s="297"/>
      <c r="L23" s="297"/>
      <c r="M23" s="297"/>
      <c r="N23" s="297"/>
    </row>
    <row r="24" spans="1:14">
      <c r="C24" s="297"/>
      <c r="D24" s="297"/>
      <c r="E24" s="297"/>
      <c r="F24" s="297"/>
      <c r="G24" s="297"/>
      <c r="H24" s="297"/>
      <c r="I24" s="297"/>
      <c r="J24" s="297"/>
      <c r="K24" s="297"/>
      <c r="L24" s="297"/>
      <c r="M24" s="297"/>
      <c r="N24" s="297"/>
    </row>
    <row r="25" spans="1:14">
      <c r="C25" s="297"/>
      <c r="D25" s="297"/>
      <c r="E25" s="297"/>
      <c r="F25" s="297"/>
      <c r="G25" s="297"/>
      <c r="H25" s="297"/>
      <c r="I25" s="297"/>
      <c r="J25" s="297"/>
      <c r="K25" s="297"/>
      <c r="L25" s="297"/>
      <c r="M25" s="297"/>
      <c r="N25" s="297"/>
    </row>
    <row r="26" spans="1:14">
      <c r="C26" s="297"/>
      <c r="D26" s="297"/>
      <c r="E26" s="297"/>
      <c r="F26" s="297"/>
      <c r="G26" s="297"/>
      <c r="H26" s="297"/>
      <c r="I26" s="297"/>
      <c r="J26" s="297"/>
      <c r="K26" s="297"/>
      <c r="L26" s="297"/>
      <c r="M26" s="297"/>
      <c r="N26" s="297"/>
    </row>
    <row r="27" spans="1:14">
      <c r="C27" s="297"/>
      <c r="D27" s="297"/>
      <c r="E27" s="297"/>
      <c r="F27" s="297"/>
      <c r="G27" s="297"/>
      <c r="H27" s="297"/>
      <c r="I27" s="297"/>
      <c r="J27" s="297"/>
      <c r="K27" s="297"/>
      <c r="L27" s="297"/>
      <c r="M27" s="297"/>
      <c r="N27" s="297"/>
    </row>
    <row r="28" spans="1:14" s="296" customFormat="1">
      <c r="A28" s="296" t="s">
        <v>411</v>
      </c>
    </row>
    <row r="29" spans="1:14">
      <c r="D29" t="s">
        <v>372</v>
      </c>
    </row>
    <row r="30" spans="1:14">
      <c r="D30" t="s">
        <v>373</v>
      </c>
    </row>
    <row r="31" spans="1:14">
      <c r="E31" t="s">
        <v>375</v>
      </c>
      <c r="H31" t="s">
        <v>379</v>
      </c>
    </row>
    <row r="32" spans="1:14">
      <c r="E32" t="s">
        <v>374</v>
      </c>
      <c r="H32" t="s">
        <v>377</v>
      </c>
    </row>
    <row r="33" spans="1:8">
      <c r="E33" t="s">
        <v>376</v>
      </c>
      <c r="H33" t="s">
        <v>378</v>
      </c>
    </row>
    <row r="34" spans="1:8">
      <c r="E34" t="s">
        <v>380</v>
      </c>
    </row>
    <row r="35" spans="1:8">
      <c r="D35" t="s">
        <v>384</v>
      </c>
    </row>
    <row r="37" spans="1:8">
      <c r="A37" t="s">
        <v>416</v>
      </c>
      <c r="D37" t="s">
        <v>417</v>
      </c>
    </row>
    <row r="38" spans="1:8">
      <c r="A38" t="s">
        <v>418</v>
      </c>
      <c r="D38" t="s">
        <v>419</v>
      </c>
    </row>
    <row r="39" spans="1:8">
      <c r="A39" t="s">
        <v>466</v>
      </c>
      <c r="D39" t="s">
        <v>467</v>
      </c>
    </row>
    <row r="40" spans="1:8">
      <c r="A40" t="s">
        <v>535</v>
      </c>
      <c r="D40" t="s">
        <v>536</v>
      </c>
    </row>
    <row r="41" spans="1:8">
      <c r="A41" t="s">
        <v>555</v>
      </c>
      <c r="D41" t="s">
        <v>556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Blad3" enableFormatConditionsCalculation="0">
    <tabColor indexed="10"/>
  </sheetPr>
  <dimension ref="A1:AS118"/>
  <sheetViews>
    <sheetView zoomScale="85" zoomScaleNormal="85" workbookViewId="0">
      <pane xSplit="2" ySplit="1" topLeftCell="C74" activePane="bottomRight" state="frozen"/>
      <selection pane="topRight" activeCell="C1" sqref="C1"/>
      <selection pane="bottomLeft" activeCell="A2" sqref="A2"/>
      <selection pane="bottomRight" activeCell="Q106" sqref="Q106"/>
    </sheetView>
  </sheetViews>
  <sheetFormatPr defaultRowHeight="12.75"/>
  <cols>
    <col min="1" max="1" width="3.140625" style="154" customWidth="1"/>
    <col min="2" max="2" width="22.28515625" style="155" customWidth="1"/>
    <col min="3" max="12" width="8.28515625" style="155" customWidth="1"/>
    <col min="13" max="26" width="6.5703125" style="155" customWidth="1"/>
    <col min="27" max="27" width="2.5703125" style="155" customWidth="1"/>
    <col min="28" max="29" width="4.42578125" style="384" customWidth="1"/>
    <col min="30" max="32" width="4.42578125" style="155" customWidth="1"/>
    <col min="33" max="35" width="4.42578125" style="386" customWidth="1"/>
    <col min="36" max="45" width="4.42578125" style="155" customWidth="1"/>
    <col min="46" max="16384" width="9.140625" style="155"/>
  </cols>
  <sheetData>
    <row r="1" spans="1:45" ht="13.5" thickBot="1">
      <c r="B1" s="156"/>
      <c r="C1" s="156" t="s">
        <v>51</v>
      </c>
      <c r="D1" s="156" t="s">
        <v>49</v>
      </c>
      <c r="E1" s="156" t="s">
        <v>483</v>
      </c>
      <c r="F1" s="156" t="s">
        <v>60</v>
      </c>
      <c r="G1" s="156" t="s">
        <v>485</v>
      </c>
      <c r="H1" s="156" t="s">
        <v>53</v>
      </c>
      <c r="I1" s="156" t="s">
        <v>56</v>
      </c>
      <c r="J1" s="156" t="s">
        <v>55</v>
      </c>
      <c r="K1" s="176" t="s">
        <v>481</v>
      </c>
      <c r="L1" s="156" t="s">
        <v>500</v>
      </c>
      <c r="M1" s="156" t="s">
        <v>61</v>
      </c>
      <c r="N1" s="156" t="s">
        <v>58</v>
      </c>
      <c r="O1" s="156" t="s">
        <v>64</v>
      </c>
      <c r="P1" s="156" t="s">
        <v>487</v>
      </c>
      <c r="Q1" s="156" t="s">
        <v>54</v>
      </c>
      <c r="R1" s="156" t="s">
        <v>52</v>
      </c>
      <c r="S1" s="156" t="s">
        <v>486</v>
      </c>
      <c r="T1" s="156" t="s">
        <v>484</v>
      </c>
      <c r="U1" s="156" t="s">
        <v>63</v>
      </c>
      <c r="V1" s="156" t="s">
        <v>57</v>
      </c>
      <c r="W1" s="156" t="s">
        <v>59</v>
      </c>
      <c r="X1" s="156" t="s">
        <v>62</v>
      </c>
      <c r="Y1" s="156" t="s">
        <v>482</v>
      </c>
      <c r="Z1" s="156" t="s">
        <v>50</v>
      </c>
      <c r="AB1" s="388" t="s">
        <v>540</v>
      </c>
      <c r="AC1" s="388" t="s">
        <v>541</v>
      </c>
      <c r="AD1" s="389" t="s">
        <v>542</v>
      </c>
      <c r="AE1" s="389" t="s">
        <v>543</v>
      </c>
      <c r="AF1" s="389" t="s">
        <v>539</v>
      </c>
      <c r="AG1" s="390" t="s">
        <v>544</v>
      </c>
      <c r="AH1" s="390" t="s">
        <v>545</v>
      </c>
      <c r="AI1" s="390" t="s">
        <v>546</v>
      </c>
      <c r="AJ1" s="177"/>
      <c r="AK1" s="177"/>
      <c r="AL1" s="177"/>
      <c r="AM1" s="177"/>
      <c r="AN1" s="177"/>
      <c r="AO1" s="177"/>
      <c r="AP1" s="177"/>
      <c r="AQ1" s="177"/>
      <c r="AR1" s="177"/>
      <c r="AS1" s="177"/>
    </row>
    <row r="2" spans="1:45">
      <c r="A2" s="154">
        <v>1</v>
      </c>
      <c r="B2" s="157" t="str">
        <f t="shared" ref="B2:B49" si="0">VLOOKUP($A2,wedstrijden,6,0)&amp;"-"&amp;VLOOKUP($A2,wedstrijden,10,0)</f>
        <v>Brazilië-Kroatië</v>
      </c>
      <c r="C2" s="404" t="str">
        <f t="shared" ref="C2:M11" ca="1" si="1">VLOOKUP($A2,INDIRECT(C$1&amp;loc_voorspell),7,0)&amp;" - "&amp;VLOOKUP($A2,INDIRECT(C$1&amp;loc_voorspell),9,0)</f>
        <v>2 - 1</v>
      </c>
      <c r="D2" s="404" t="str">
        <f t="shared" ca="1" si="1"/>
        <v>2 - 0</v>
      </c>
      <c r="E2" s="404" t="str">
        <f t="shared" ca="1" si="1"/>
        <v>2 - 1</v>
      </c>
      <c r="F2" s="404" t="str">
        <f t="shared" ca="1" si="1"/>
        <v>2 - 0</v>
      </c>
      <c r="G2" s="404" t="str">
        <f t="shared" ca="1" si="1"/>
        <v>3 - 1</v>
      </c>
      <c r="H2" s="404" t="str">
        <f t="shared" ca="1" si="1"/>
        <v>2 - 0</v>
      </c>
      <c r="I2" s="404" t="str">
        <f t="shared" ca="1" si="1"/>
        <v>3 - 1</v>
      </c>
      <c r="J2" s="404" t="str">
        <f t="shared" ca="1" si="1"/>
        <v>1 - 0</v>
      </c>
      <c r="K2" s="404" t="str">
        <f t="shared" ca="1" si="1"/>
        <v>1 - 1</v>
      </c>
      <c r="L2" s="404" t="str">
        <f t="shared" ca="1" si="1"/>
        <v>2 - 1</v>
      </c>
      <c r="M2" s="404" t="str">
        <f t="shared" ca="1" si="1"/>
        <v>2 - 1</v>
      </c>
      <c r="N2" s="404" t="str">
        <f t="shared" ref="N2:Z11" ca="1" si="2">VLOOKUP($A2,INDIRECT(N$1&amp;loc_voorspell),7,0)&amp;" - "&amp;VLOOKUP($A2,INDIRECT(N$1&amp;loc_voorspell),9,0)</f>
        <v>2 - 0</v>
      </c>
      <c r="O2" s="404" t="str">
        <f t="shared" ca="1" si="2"/>
        <v>3 - 1</v>
      </c>
      <c r="P2" s="404" t="str">
        <f t="shared" ca="1" si="2"/>
        <v>3 - 1</v>
      </c>
      <c r="Q2" s="404" t="str">
        <f t="shared" ca="1" si="2"/>
        <v>1 - 0</v>
      </c>
      <c r="R2" s="404" t="str">
        <f t="shared" ca="1" si="2"/>
        <v>3 - 0</v>
      </c>
      <c r="S2" s="404" t="str">
        <f t="shared" ca="1" si="2"/>
        <v>3 - 1</v>
      </c>
      <c r="T2" s="404" t="str">
        <f t="shared" ca="1" si="2"/>
        <v>1 - 0</v>
      </c>
      <c r="U2" s="404" t="str">
        <f t="shared" ca="1" si="2"/>
        <v>2 - 1</v>
      </c>
      <c r="V2" s="404" t="str">
        <f t="shared" ca="1" si="2"/>
        <v>1 - 2</v>
      </c>
      <c r="W2" s="404" t="str">
        <f t="shared" ca="1" si="2"/>
        <v>2 - 1</v>
      </c>
      <c r="X2" s="404" t="str">
        <f t="shared" ca="1" si="2"/>
        <v>2 - 1</v>
      </c>
      <c r="Y2" s="404" t="str">
        <f t="shared" ca="1" si="2"/>
        <v>2 - 1</v>
      </c>
      <c r="Z2" s="404" t="str">
        <f t="shared" ca="1" si="2"/>
        <v>2 - 1</v>
      </c>
      <c r="AB2" s="391">
        <f ca="1">COUNTIF($C2:$AA2,AB$1)</f>
        <v>0</v>
      </c>
      <c r="AC2" s="391">
        <f t="shared" ref="AC2:AI17" ca="1" si="3">COUNTIF($C2:$AA2,AC$1)</f>
        <v>1</v>
      </c>
      <c r="AD2" s="392">
        <f t="shared" ca="1" si="3"/>
        <v>3</v>
      </c>
      <c r="AE2" s="392">
        <f t="shared" ca="1" si="3"/>
        <v>4</v>
      </c>
      <c r="AF2" s="392">
        <f t="shared" ca="1" si="3"/>
        <v>9</v>
      </c>
      <c r="AG2" s="393">
        <f t="shared" ca="1" si="3"/>
        <v>1</v>
      </c>
      <c r="AH2" s="393">
        <f t="shared" ca="1" si="3"/>
        <v>0</v>
      </c>
      <c r="AI2" s="393">
        <f t="shared" ca="1" si="3"/>
        <v>0</v>
      </c>
    </row>
    <row r="3" spans="1:45">
      <c r="A3" s="154">
        <v>2</v>
      </c>
      <c r="B3" s="158" t="str">
        <f t="shared" si="0"/>
        <v>Mexico-Kameroen</v>
      </c>
      <c r="C3" s="405" t="str">
        <f t="shared" ca="1" si="1"/>
        <v>1 - 0</v>
      </c>
      <c r="D3" s="405" t="str">
        <f t="shared" ca="1" si="1"/>
        <v>1 - 1</v>
      </c>
      <c r="E3" s="405" t="str">
        <f t="shared" ca="1" si="1"/>
        <v>2 - 1</v>
      </c>
      <c r="F3" s="405" t="str">
        <f t="shared" ca="1" si="1"/>
        <v>1 - 1</v>
      </c>
      <c r="G3" s="405" t="str">
        <f t="shared" ca="1" si="1"/>
        <v>2 - 0</v>
      </c>
      <c r="H3" s="405" t="str">
        <f t="shared" ca="1" si="1"/>
        <v>2 - 1</v>
      </c>
      <c r="I3" s="405" t="str">
        <f t="shared" ca="1" si="1"/>
        <v>0 - 1</v>
      </c>
      <c r="J3" s="405" t="str">
        <f t="shared" ca="1" si="1"/>
        <v>2 - 1</v>
      </c>
      <c r="K3" s="405" t="str">
        <f t="shared" ca="1" si="1"/>
        <v>0 - 0</v>
      </c>
      <c r="L3" s="405" t="str">
        <f t="shared" ca="1" si="1"/>
        <v>2 - 1</v>
      </c>
      <c r="M3" s="405" t="str">
        <f t="shared" ca="1" si="1"/>
        <v>2 - 0</v>
      </c>
      <c r="N3" s="405" t="str">
        <f t="shared" ca="1" si="2"/>
        <v>1 - 0</v>
      </c>
      <c r="O3" s="405" t="str">
        <f t="shared" ca="1" si="2"/>
        <v>2 - 1</v>
      </c>
      <c r="P3" s="405" t="str">
        <f t="shared" ca="1" si="2"/>
        <v>2 - 1</v>
      </c>
      <c r="Q3" s="405" t="str">
        <f t="shared" ca="1" si="2"/>
        <v>1 - 0</v>
      </c>
      <c r="R3" s="405" t="str">
        <f t="shared" ca="1" si="2"/>
        <v>1 - 1</v>
      </c>
      <c r="S3" s="405" t="str">
        <f t="shared" ca="1" si="2"/>
        <v>2 - 1</v>
      </c>
      <c r="T3" s="405" t="str">
        <f t="shared" ca="1" si="2"/>
        <v>1 - 0</v>
      </c>
      <c r="U3" s="405" t="str">
        <f t="shared" ca="1" si="2"/>
        <v>1 - 0</v>
      </c>
      <c r="V3" s="405" t="str">
        <f t="shared" ca="1" si="2"/>
        <v>2 - 0</v>
      </c>
      <c r="W3" s="405" t="str">
        <f t="shared" ca="1" si="2"/>
        <v>1 - 0</v>
      </c>
      <c r="X3" s="405" t="str">
        <f t="shared" ca="1" si="2"/>
        <v>0 - 1</v>
      </c>
      <c r="Y3" s="405" t="str">
        <f t="shared" ca="1" si="2"/>
        <v>3 - 2</v>
      </c>
      <c r="Z3" s="405" t="str">
        <f t="shared" ca="1" si="2"/>
        <v>0 - 3</v>
      </c>
      <c r="AB3" s="391">
        <f t="shared" ref="AB3:AI47" ca="1" si="4">COUNTIF($C3:$AA3,AB$1)</f>
        <v>1</v>
      </c>
      <c r="AC3" s="391">
        <f t="shared" ca="1" si="3"/>
        <v>3</v>
      </c>
      <c r="AD3" s="392">
        <f t="shared" ca="1" si="3"/>
        <v>6</v>
      </c>
      <c r="AE3" s="392">
        <f t="shared" ca="1" si="3"/>
        <v>3</v>
      </c>
      <c r="AF3" s="392">
        <f t="shared" ca="1" si="3"/>
        <v>7</v>
      </c>
      <c r="AG3" s="393">
        <f t="shared" ca="1" si="3"/>
        <v>0</v>
      </c>
      <c r="AH3" s="393">
        <f t="shared" ca="1" si="3"/>
        <v>0</v>
      </c>
      <c r="AI3" s="393">
        <f t="shared" ca="1" si="3"/>
        <v>2</v>
      </c>
    </row>
    <row r="4" spans="1:45">
      <c r="A4" s="154">
        <v>3</v>
      </c>
      <c r="B4" s="157" t="str">
        <f t="shared" si="0"/>
        <v>Spanje-Nederland</v>
      </c>
      <c r="C4" s="404" t="str">
        <f t="shared" ca="1" si="1"/>
        <v>1 - 1</v>
      </c>
      <c r="D4" s="404" t="str">
        <f t="shared" ca="1" si="1"/>
        <v>1 - 1</v>
      </c>
      <c r="E4" s="404" t="str">
        <f t="shared" ca="1" si="1"/>
        <v>2 - 1</v>
      </c>
      <c r="F4" s="404" t="str">
        <f t="shared" ca="1" si="1"/>
        <v>2 - 0</v>
      </c>
      <c r="G4" s="404" t="str">
        <f t="shared" ca="1" si="1"/>
        <v>1 - 0</v>
      </c>
      <c r="H4" s="404" t="str">
        <f t="shared" ca="1" si="1"/>
        <v>3 - 1</v>
      </c>
      <c r="I4" s="404" t="str">
        <f t="shared" ca="1" si="1"/>
        <v>1 - 0</v>
      </c>
      <c r="J4" s="404" t="str">
        <f t="shared" ca="1" si="1"/>
        <v>1 - 1</v>
      </c>
      <c r="K4" s="404" t="str">
        <f t="shared" ca="1" si="1"/>
        <v>1 - 2</v>
      </c>
      <c r="L4" s="404" t="str">
        <f t="shared" ca="1" si="1"/>
        <v>1 - 1</v>
      </c>
      <c r="M4" s="404" t="str">
        <f t="shared" ca="1" si="1"/>
        <v>2 - 1</v>
      </c>
      <c r="N4" s="404" t="str">
        <f t="shared" ca="1" si="2"/>
        <v>2 - 0</v>
      </c>
      <c r="O4" s="404" t="str">
        <f t="shared" ca="1" si="2"/>
        <v>1 - 0</v>
      </c>
      <c r="P4" s="404" t="str">
        <f t="shared" ca="1" si="2"/>
        <v>1 - 2</v>
      </c>
      <c r="Q4" s="404" t="str">
        <f t="shared" ca="1" si="2"/>
        <v>1 - 1</v>
      </c>
      <c r="R4" s="404" t="str">
        <f t="shared" ca="1" si="2"/>
        <v>1 - 1</v>
      </c>
      <c r="S4" s="404" t="str">
        <f t="shared" ca="1" si="2"/>
        <v>1 - 2</v>
      </c>
      <c r="T4" s="404" t="str">
        <f t="shared" ca="1" si="2"/>
        <v>1 - 1</v>
      </c>
      <c r="U4" s="404" t="str">
        <f t="shared" ca="1" si="2"/>
        <v>2 - 1</v>
      </c>
      <c r="V4" s="404" t="str">
        <f t="shared" ca="1" si="2"/>
        <v>0 - 1</v>
      </c>
      <c r="W4" s="404" t="str">
        <f t="shared" ca="1" si="2"/>
        <v>1 - 0</v>
      </c>
      <c r="X4" s="404" t="str">
        <f t="shared" ca="1" si="2"/>
        <v>1 - 1</v>
      </c>
      <c r="Y4" s="404" t="str">
        <f t="shared" ca="1" si="2"/>
        <v>2 - 2</v>
      </c>
      <c r="Z4" s="404" t="str">
        <f t="shared" ca="1" si="2"/>
        <v>1 - 1</v>
      </c>
      <c r="AB4" s="391">
        <f t="shared" ca="1" si="4"/>
        <v>0</v>
      </c>
      <c r="AC4" s="391">
        <f t="shared" ca="1" si="3"/>
        <v>9</v>
      </c>
      <c r="AD4" s="392">
        <f t="shared" ca="1" si="3"/>
        <v>4</v>
      </c>
      <c r="AE4" s="392">
        <f t="shared" ca="1" si="3"/>
        <v>2</v>
      </c>
      <c r="AF4" s="392">
        <f t="shared" ca="1" si="3"/>
        <v>3</v>
      </c>
      <c r="AG4" s="393">
        <f t="shared" ca="1" si="3"/>
        <v>3</v>
      </c>
      <c r="AH4" s="393">
        <f t="shared" ca="1" si="3"/>
        <v>0</v>
      </c>
      <c r="AI4" s="393">
        <f t="shared" ca="1" si="3"/>
        <v>1</v>
      </c>
    </row>
    <row r="5" spans="1:45">
      <c r="A5" s="154">
        <v>4</v>
      </c>
      <c r="B5" s="158" t="str">
        <f t="shared" si="0"/>
        <v>Chili-Australië</v>
      </c>
      <c r="C5" s="405" t="str">
        <f t="shared" ca="1" si="1"/>
        <v>2 - 1</v>
      </c>
      <c r="D5" s="405" t="str">
        <f t="shared" ca="1" si="1"/>
        <v>1 - 0</v>
      </c>
      <c r="E5" s="405" t="str">
        <f t="shared" ca="1" si="1"/>
        <v>2 - 1</v>
      </c>
      <c r="F5" s="405" t="str">
        <f t="shared" ca="1" si="1"/>
        <v>1 - 1</v>
      </c>
      <c r="G5" s="405" t="str">
        <f t="shared" ca="1" si="1"/>
        <v>1 - 0</v>
      </c>
      <c r="H5" s="405" t="str">
        <f t="shared" ca="1" si="1"/>
        <v>2 - 1</v>
      </c>
      <c r="I5" s="405" t="str">
        <f t="shared" ca="1" si="1"/>
        <v>2 - 0</v>
      </c>
      <c r="J5" s="405" t="str">
        <f t="shared" ca="1" si="1"/>
        <v>1 - 0</v>
      </c>
      <c r="K5" s="405" t="str">
        <f t="shared" ca="1" si="1"/>
        <v>1 - 1</v>
      </c>
      <c r="L5" s="405" t="str">
        <f t="shared" ca="1" si="1"/>
        <v>2 - 1</v>
      </c>
      <c r="M5" s="405" t="str">
        <f t="shared" ca="1" si="1"/>
        <v>2 - 0</v>
      </c>
      <c r="N5" s="405" t="str">
        <f t="shared" ca="1" si="2"/>
        <v>1 - 0</v>
      </c>
      <c r="O5" s="405" t="str">
        <f t="shared" ca="1" si="2"/>
        <v>3 - 1</v>
      </c>
      <c r="P5" s="405" t="str">
        <f t="shared" ca="1" si="2"/>
        <v>2 - 0</v>
      </c>
      <c r="Q5" s="405" t="str">
        <f t="shared" ca="1" si="2"/>
        <v>0 - 0</v>
      </c>
      <c r="R5" s="405" t="str">
        <f t="shared" ca="1" si="2"/>
        <v>1 - 0</v>
      </c>
      <c r="S5" s="405" t="str">
        <f t="shared" ca="1" si="2"/>
        <v>2 - 0</v>
      </c>
      <c r="T5" s="405" t="str">
        <f t="shared" ca="1" si="2"/>
        <v>2 - 0</v>
      </c>
      <c r="U5" s="405" t="str">
        <f t="shared" ca="1" si="2"/>
        <v>2 - 1</v>
      </c>
      <c r="V5" s="405" t="str">
        <f t="shared" ca="1" si="2"/>
        <v>2 - 0</v>
      </c>
      <c r="W5" s="405" t="str">
        <f t="shared" ca="1" si="2"/>
        <v>1 - 0</v>
      </c>
      <c r="X5" s="405" t="str">
        <f t="shared" ca="1" si="2"/>
        <v>2 - 0</v>
      </c>
      <c r="Y5" s="405" t="str">
        <f t="shared" ca="1" si="2"/>
        <v>3 - 0</v>
      </c>
      <c r="Z5" s="405" t="str">
        <f t="shared" ca="1" si="2"/>
        <v>1 - 0</v>
      </c>
      <c r="AB5" s="391">
        <f t="shared" ca="1" si="4"/>
        <v>1</v>
      </c>
      <c r="AC5" s="391">
        <f t="shared" ca="1" si="3"/>
        <v>2</v>
      </c>
      <c r="AD5" s="392">
        <f t="shared" ca="1" si="3"/>
        <v>7</v>
      </c>
      <c r="AE5" s="392">
        <f t="shared" ca="1" si="3"/>
        <v>7</v>
      </c>
      <c r="AF5" s="392">
        <f t="shared" ca="1" si="3"/>
        <v>5</v>
      </c>
      <c r="AG5" s="393">
        <f t="shared" ca="1" si="3"/>
        <v>0</v>
      </c>
      <c r="AH5" s="393">
        <f t="shared" ca="1" si="3"/>
        <v>0</v>
      </c>
      <c r="AI5" s="393">
        <f t="shared" ca="1" si="3"/>
        <v>0</v>
      </c>
    </row>
    <row r="6" spans="1:45">
      <c r="A6" s="154">
        <v>5</v>
      </c>
      <c r="B6" s="157" t="str">
        <f t="shared" si="0"/>
        <v>Colombia-Griekenland</v>
      </c>
      <c r="C6" s="404" t="str">
        <f t="shared" ca="1" si="1"/>
        <v>2 - 1</v>
      </c>
      <c r="D6" s="404" t="str">
        <f t="shared" ca="1" si="1"/>
        <v>2 - 0</v>
      </c>
      <c r="E6" s="404" t="str">
        <f t="shared" ca="1" si="1"/>
        <v>2 - 1</v>
      </c>
      <c r="F6" s="404" t="str">
        <f t="shared" ca="1" si="1"/>
        <v>0 - 0</v>
      </c>
      <c r="G6" s="404" t="str">
        <f t="shared" ca="1" si="1"/>
        <v>2 - 1</v>
      </c>
      <c r="H6" s="404" t="str">
        <f t="shared" ca="1" si="1"/>
        <v>1 - 1</v>
      </c>
      <c r="I6" s="404" t="str">
        <f t="shared" ca="1" si="1"/>
        <v>1 - 0</v>
      </c>
      <c r="J6" s="404" t="str">
        <f t="shared" ca="1" si="1"/>
        <v>1 - 1</v>
      </c>
      <c r="K6" s="404" t="str">
        <f t="shared" ca="1" si="1"/>
        <v>3 - 2</v>
      </c>
      <c r="L6" s="404" t="str">
        <f t="shared" ca="1" si="1"/>
        <v>2 - 1</v>
      </c>
      <c r="M6" s="404" t="str">
        <f t="shared" ca="1" si="1"/>
        <v>0 - 1</v>
      </c>
      <c r="N6" s="404" t="str">
        <f t="shared" ca="1" si="2"/>
        <v>3 - 1</v>
      </c>
      <c r="O6" s="404" t="str">
        <f t="shared" ca="1" si="2"/>
        <v>2 - 0</v>
      </c>
      <c r="P6" s="404" t="str">
        <f t="shared" ca="1" si="2"/>
        <v>2 - 0</v>
      </c>
      <c r="Q6" s="404" t="str">
        <f t="shared" ca="1" si="2"/>
        <v>0 - 2</v>
      </c>
      <c r="R6" s="404" t="str">
        <f t="shared" ca="1" si="2"/>
        <v>2 - 0</v>
      </c>
      <c r="S6" s="404" t="str">
        <f t="shared" ca="1" si="2"/>
        <v>0 - 0</v>
      </c>
      <c r="T6" s="404" t="str">
        <f t="shared" ca="1" si="2"/>
        <v>1 - 0</v>
      </c>
      <c r="U6" s="404" t="str">
        <f t="shared" ca="1" si="2"/>
        <v>2 - 1</v>
      </c>
      <c r="V6" s="404" t="str">
        <f t="shared" ca="1" si="2"/>
        <v>1 - 0</v>
      </c>
      <c r="W6" s="404" t="str">
        <f t="shared" ca="1" si="2"/>
        <v>1 - 0</v>
      </c>
      <c r="X6" s="404" t="str">
        <f t="shared" ca="1" si="2"/>
        <v>1 - 0</v>
      </c>
      <c r="Y6" s="404" t="str">
        <f t="shared" ca="1" si="2"/>
        <v>2 - 0</v>
      </c>
      <c r="Z6" s="404" t="str">
        <f t="shared" ca="1" si="2"/>
        <v>2 - 0</v>
      </c>
      <c r="AB6" s="391">
        <f t="shared" ca="1" si="4"/>
        <v>2</v>
      </c>
      <c r="AC6" s="391">
        <f t="shared" ca="1" si="3"/>
        <v>2</v>
      </c>
      <c r="AD6" s="392">
        <f t="shared" ca="1" si="3"/>
        <v>5</v>
      </c>
      <c r="AE6" s="392">
        <f t="shared" ca="1" si="3"/>
        <v>6</v>
      </c>
      <c r="AF6" s="392">
        <f t="shared" ca="1" si="3"/>
        <v>5</v>
      </c>
      <c r="AG6" s="393">
        <f t="shared" ca="1" si="3"/>
        <v>0</v>
      </c>
      <c r="AH6" s="393">
        <f t="shared" ca="1" si="3"/>
        <v>1</v>
      </c>
      <c r="AI6" s="393">
        <f t="shared" ca="1" si="3"/>
        <v>1</v>
      </c>
    </row>
    <row r="7" spans="1:45">
      <c r="A7" s="154">
        <v>6</v>
      </c>
      <c r="B7" s="158" t="str">
        <f t="shared" si="0"/>
        <v>Ivoorkust-Japan</v>
      </c>
      <c r="C7" s="405" t="str">
        <f t="shared" ca="1" si="1"/>
        <v>0 - 0</v>
      </c>
      <c r="D7" s="405" t="str">
        <f t="shared" ca="1" si="1"/>
        <v>0 - 0</v>
      </c>
      <c r="E7" s="405" t="str">
        <f t="shared" ca="1" si="1"/>
        <v>1 - 2</v>
      </c>
      <c r="F7" s="405" t="str">
        <f t="shared" ca="1" si="1"/>
        <v>2 - 2</v>
      </c>
      <c r="G7" s="405" t="str">
        <f t="shared" ca="1" si="1"/>
        <v>3 - 1</v>
      </c>
      <c r="H7" s="405" t="str">
        <f t="shared" ca="1" si="1"/>
        <v>2 - 1</v>
      </c>
      <c r="I7" s="405" t="str">
        <f t="shared" ca="1" si="1"/>
        <v>0 - 1</v>
      </c>
      <c r="J7" s="405" t="str">
        <f t="shared" ca="1" si="1"/>
        <v>1 - 2</v>
      </c>
      <c r="K7" s="405" t="str">
        <f t="shared" ca="1" si="1"/>
        <v>1 - 0</v>
      </c>
      <c r="L7" s="405" t="str">
        <f t="shared" ca="1" si="1"/>
        <v>2 - 2</v>
      </c>
      <c r="M7" s="405" t="str">
        <f t="shared" ca="1" si="1"/>
        <v>1 - 2</v>
      </c>
      <c r="N7" s="405" t="str">
        <f t="shared" ca="1" si="2"/>
        <v>1 - 2</v>
      </c>
      <c r="O7" s="405" t="str">
        <f t="shared" ca="1" si="2"/>
        <v>2 - 1</v>
      </c>
      <c r="P7" s="405" t="str">
        <f t="shared" ca="1" si="2"/>
        <v>3 - 1</v>
      </c>
      <c r="Q7" s="405" t="str">
        <f t="shared" ca="1" si="2"/>
        <v>1 - 0</v>
      </c>
      <c r="R7" s="405" t="str">
        <f t="shared" ca="1" si="2"/>
        <v>1 - 0</v>
      </c>
      <c r="S7" s="405" t="str">
        <f t="shared" ca="1" si="2"/>
        <v>3 - 1</v>
      </c>
      <c r="T7" s="405" t="str">
        <f t="shared" ca="1" si="2"/>
        <v>0 - 2</v>
      </c>
      <c r="U7" s="405" t="str">
        <f t="shared" ca="1" si="2"/>
        <v>1 - 1</v>
      </c>
      <c r="V7" s="405" t="str">
        <f t="shared" ca="1" si="2"/>
        <v>0 - 2</v>
      </c>
      <c r="W7" s="405" t="str">
        <f t="shared" ca="1" si="2"/>
        <v>2 - 0</v>
      </c>
      <c r="X7" s="405" t="str">
        <f t="shared" ca="1" si="2"/>
        <v>1 - 0</v>
      </c>
      <c r="Y7" s="405" t="str">
        <f t="shared" ca="1" si="2"/>
        <v>3 - 3</v>
      </c>
      <c r="Z7" s="405" t="str">
        <f t="shared" ca="1" si="2"/>
        <v>2 - 2</v>
      </c>
      <c r="AB7" s="391">
        <f t="shared" ca="1" si="4"/>
        <v>2</v>
      </c>
      <c r="AC7" s="391">
        <f t="shared" ca="1" si="3"/>
        <v>1</v>
      </c>
      <c r="AD7" s="392">
        <f t="shared" ca="1" si="3"/>
        <v>4</v>
      </c>
      <c r="AE7" s="392">
        <f t="shared" ca="1" si="3"/>
        <v>1</v>
      </c>
      <c r="AF7" s="392">
        <f t="shared" ca="1" si="3"/>
        <v>2</v>
      </c>
      <c r="AG7" s="393">
        <f t="shared" ca="1" si="3"/>
        <v>4</v>
      </c>
      <c r="AH7" s="393">
        <f t="shared" ca="1" si="3"/>
        <v>2</v>
      </c>
      <c r="AI7" s="393">
        <f t="shared" ca="1" si="3"/>
        <v>1</v>
      </c>
    </row>
    <row r="8" spans="1:45">
      <c r="A8" s="154">
        <v>7</v>
      </c>
      <c r="B8" s="157" t="str">
        <f t="shared" si="0"/>
        <v>Uruguay-Costa Rica</v>
      </c>
      <c r="C8" s="404" t="str">
        <f t="shared" ca="1" si="1"/>
        <v>2 - 0</v>
      </c>
      <c r="D8" s="404" t="str">
        <f t="shared" ca="1" si="1"/>
        <v>2 - 0</v>
      </c>
      <c r="E8" s="404" t="str">
        <f t="shared" ca="1" si="1"/>
        <v>2 - 1</v>
      </c>
      <c r="F8" s="404" t="str">
        <f t="shared" ca="1" si="1"/>
        <v>2 - 1</v>
      </c>
      <c r="G8" s="404" t="str">
        <f t="shared" ca="1" si="1"/>
        <v>3 - 0</v>
      </c>
      <c r="H8" s="404" t="str">
        <f t="shared" ca="1" si="1"/>
        <v>3 - 1</v>
      </c>
      <c r="I8" s="404" t="str">
        <f t="shared" ca="1" si="1"/>
        <v>1 - 0</v>
      </c>
      <c r="J8" s="404" t="str">
        <f t="shared" ca="1" si="1"/>
        <v>2 - 0</v>
      </c>
      <c r="K8" s="404" t="str">
        <f t="shared" ca="1" si="1"/>
        <v>1 - 1</v>
      </c>
      <c r="L8" s="404" t="str">
        <f t="shared" ca="1" si="1"/>
        <v>3 - 2</v>
      </c>
      <c r="M8" s="404" t="str">
        <f t="shared" ca="1" si="1"/>
        <v>2 - 0</v>
      </c>
      <c r="N8" s="404" t="str">
        <f t="shared" ca="1" si="2"/>
        <v>2 - 0</v>
      </c>
      <c r="O8" s="404" t="str">
        <f t="shared" ca="1" si="2"/>
        <v>3 - 0</v>
      </c>
      <c r="P8" s="404" t="str">
        <f t="shared" ca="1" si="2"/>
        <v>2 - 0</v>
      </c>
      <c r="Q8" s="404" t="str">
        <f t="shared" ca="1" si="2"/>
        <v>2 - 1</v>
      </c>
      <c r="R8" s="404" t="str">
        <f t="shared" ca="1" si="2"/>
        <v>2 - 0</v>
      </c>
      <c r="S8" s="404" t="str">
        <f t="shared" ca="1" si="2"/>
        <v>2 - 0</v>
      </c>
      <c r="T8" s="404" t="str">
        <f t="shared" ca="1" si="2"/>
        <v>2 - 0</v>
      </c>
      <c r="U8" s="404" t="str">
        <f t="shared" ca="1" si="2"/>
        <v>3 - 1</v>
      </c>
      <c r="V8" s="404" t="str">
        <f t="shared" ca="1" si="2"/>
        <v>3 - 1</v>
      </c>
      <c r="W8" s="404" t="str">
        <f t="shared" ca="1" si="2"/>
        <v>1 - 0</v>
      </c>
      <c r="X8" s="404" t="str">
        <f t="shared" ca="1" si="2"/>
        <v>1 - 0</v>
      </c>
      <c r="Y8" s="404" t="str">
        <f t="shared" ca="1" si="2"/>
        <v>4 - 0</v>
      </c>
      <c r="Z8" s="404" t="str">
        <f t="shared" ca="1" si="2"/>
        <v>1 - 1</v>
      </c>
      <c r="AB8" s="391">
        <f t="shared" ca="1" si="4"/>
        <v>0</v>
      </c>
      <c r="AC8" s="391">
        <f t="shared" ca="1" si="3"/>
        <v>2</v>
      </c>
      <c r="AD8" s="392">
        <f t="shared" ca="1" si="3"/>
        <v>3</v>
      </c>
      <c r="AE8" s="392">
        <f t="shared" ca="1" si="3"/>
        <v>9</v>
      </c>
      <c r="AF8" s="392">
        <f t="shared" ca="1" si="3"/>
        <v>3</v>
      </c>
      <c r="AG8" s="393">
        <f t="shared" ca="1" si="3"/>
        <v>0</v>
      </c>
      <c r="AH8" s="393">
        <f t="shared" ca="1" si="3"/>
        <v>0</v>
      </c>
      <c r="AI8" s="393">
        <f t="shared" ca="1" si="3"/>
        <v>0</v>
      </c>
    </row>
    <row r="9" spans="1:45">
      <c r="A9" s="154">
        <v>8</v>
      </c>
      <c r="B9" s="158" t="str">
        <f t="shared" si="0"/>
        <v>Engeland-Italië</v>
      </c>
      <c r="C9" s="405" t="str">
        <f t="shared" ca="1" si="1"/>
        <v>1 - 1</v>
      </c>
      <c r="D9" s="405" t="str">
        <f t="shared" ca="1" si="1"/>
        <v>1 - 1</v>
      </c>
      <c r="E9" s="405" t="str">
        <f t="shared" ca="1" si="1"/>
        <v>1 - 2</v>
      </c>
      <c r="F9" s="405" t="str">
        <f t="shared" ca="1" si="1"/>
        <v>1 - 1</v>
      </c>
      <c r="G9" s="405" t="str">
        <f t="shared" ca="1" si="1"/>
        <v>1 - 1</v>
      </c>
      <c r="H9" s="405" t="str">
        <f t="shared" ca="1" si="1"/>
        <v>1 - 1</v>
      </c>
      <c r="I9" s="405" t="str">
        <f t="shared" ca="1" si="1"/>
        <v>0 - 0</v>
      </c>
      <c r="J9" s="405" t="str">
        <f t="shared" ca="1" si="1"/>
        <v>1 - 2</v>
      </c>
      <c r="K9" s="405" t="str">
        <f t="shared" ca="1" si="1"/>
        <v>1 - 5</v>
      </c>
      <c r="L9" s="405" t="str">
        <f t="shared" ca="1" si="1"/>
        <v>1 - 1</v>
      </c>
      <c r="M9" s="405" t="str">
        <f t="shared" ca="1" si="1"/>
        <v>0 - 0</v>
      </c>
      <c r="N9" s="405" t="str">
        <f t="shared" ca="1" si="2"/>
        <v>1 - 1</v>
      </c>
      <c r="O9" s="405" t="str">
        <f t="shared" ca="1" si="2"/>
        <v>1 - 2</v>
      </c>
      <c r="P9" s="405" t="str">
        <f t="shared" ca="1" si="2"/>
        <v>1 - 2</v>
      </c>
      <c r="Q9" s="405" t="str">
        <f t="shared" ca="1" si="2"/>
        <v>2 - 2</v>
      </c>
      <c r="R9" s="405" t="str">
        <f t="shared" ca="1" si="2"/>
        <v>1 - 1</v>
      </c>
      <c r="S9" s="405" t="str">
        <f t="shared" ca="1" si="2"/>
        <v>2 - 1</v>
      </c>
      <c r="T9" s="405" t="str">
        <f t="shared" ca="1" si="2"/>
        <v>1 - 2</v>
      </c>
      <c r="U9" s="405" t="str">
        <f t="shared" ca="1" si="2"/>
        <v>1 - 2</v>
      </c>
      <c r="V9" s="405" t="str">
        <f t="shared" ca="1" si="2"/>
        <v>0 - 0</v>
      </c>
      <c r="W9" s="405" t="str">
        <f t="shared" ca="1" si="2"/>
        <v>1 - 1</v>
      </c>
      <c r="X9" s="405" t="str">
        <f t="shared" ca="1" si="2"/>
        <v>0 - 1</v>
      </c>
      <c r="Y9" s="405" t="str">
        <f t="shared" ca="1" si="2"/>
        <v>1 - 3</v>
      </c>
      <c r="Z9" s="405" t="str">
        <f t="shared" ca="1" si="2"/>
        <v>1 - 1</v>
      </c>
      <c r="AB9" s="391">
        <f t="shared" ca="1" si="4"/>
        <v>3</v>
      </c>
      <c r="AC9" s="391">
        <f t="shared" ca="1" si="3"/>
        <v>10</v>
      </c>
      <c r="AD9" s="392">
        <f t="shared" ca="1" si="3"/>
        <v>0</v>
      </c>
      <c r="AE9" s="392">
        <f t="shared" ca="1" si="3"/>
        <v>0</v>
      </c>
      <c r="AF9" s="392">
        <f t="shared" ca="1" si="3"/>
        <v>1</v>
      </c>
      <c r="AG9" s="393">
        <f t="shared" ca="1" si="3"/>
        <v>6</v>
      </c>
      <c r="AH9" s="393">
        <f t="shared" ca="1" si="3"/>
        <v>0</v>
      </c>
      <c r="AI9" s="393">
        <f t="shared" ca="1" si="3"/>
        <v>1</v>
      </c>
    </row>
    <row r="10" spans="1:45">
      <c r="A10" s="154">
        <v>9</v>
      </c>
      <c r="B10" s="157" t="str">
        <f t="shared" si="0"/>
        <v>Zwitserland-Ecuador</v>
      </c>
      <c r="C10" s="404" t="str">
        <f t="shared" ca="1" si="1"/>
        <v>1 - 0</v>
      </c>
      <c r="D10" s="404" t="str">
        <f t="shared" ca="1" si="1"/>
        <v>0 - 1</v>
      </c>
      <c r="E10" s="404" t="str">
        <f t="shared" ca="1" si="1"/>
        <v>1 - 2</v>
      </c>
      <c r="F10" s="404" t="str">
        <f t="shared" ca="1" si="1"/>
        <v>2 - 0</v>
      </c>
      <c r="G10" s="404" t="str">
        <f t="shared" ca="1" si="1"/>
        <v>0 - 1</v>
      </c>
      <c r="H10" s="404" t="str">
        <f t="shared" ca="1" si="1"/>
        <v>2 - 0</v>
      </c>
      <c r="I10" s="404" t="str">
        <f t="shared" ca="1" si="1"/>
        <v>0 - 0</v>
      </c>
      <c r="J10" s="404" t="str">
        <f t="shared" ca="1" si="1"/>
        <v>1 - 0</v>
      </c>
      <c r="K10" s="404" t="str">
        <f t="shared" ca="1" si="1"/>
        <v>2 - 0</v>
      </c>
      <c r="L10" s="404" t="str">
        <f t="shared" ca="1" si="1"/>
        <v>2 - 1</v>
      </c>
      <c r="M10" s="404" t="str">
        <f t="shared" ca="1" si="1"/>
        <v>0 - 0</v>
      </c>
      <c r="N10" s="404" t="str">
        <f t="shared" ca="1" si="2"/>
        <v>0 - 1</v>
      </c>
      <c r="O10" s="404" t="str">
        <f t="shared" ca="1" si="2"/>
        <v>0 - 1</v>
      </c>
      <c r="P10" s="404" t="str">
        <f t="shared" ca="1" si="2"/>
        <v>4 - 0</v>
      </c>
      <c r="Q10" s="404" t="str">
        <f t="shared" ca="1" si="2"/>
        <v>0 - 0</v>
      </c>
      <c r="R10" s="404" t="str">
        <f t="shared" ca="1" si="2"/>
        <v>0 - 1</v>
      </c>
      <c r="S10" s="404" t="str">
        <f t="shared" ca="1" si="2"/>
        <v>4 - 0</v>
      </c>
      <c r="T10" s="404" t="str">
        <f t="shared" ca="1" si="2"/>
        <v>1 - 0</v>
      </c>
      <c r="U10" s="404" t="str">
        <f t="shared" ca="1" si="2"/>
        <v>2 - 2</v>
      </c>
      <c r="V10" s="404" t="str">
        <f t="shared" ca="1" si="2"/>
        <v>1 - 0</v>
      </c>
      <c r="W10" s="404" t="str">
        <f t="shared" ca="1" si="2"/>
        <v>1 - 0</v>
      </c>
      <c r="X10" s="404" t="str">
        <f t="shared" ca="1" si="2"/>
        <v>0 - 0</v>
      </c>
      <c r="Y10" s="404" t="str">
        <f t="shared" ca="1" si="2"/>
        <v>2 - 3</v>
      </c>
      <c r="Z10" s="404" t="str">
        <f t="shared" ca="1" si="2"/>
        <v>2 - 1</v>
      </c>
      <c r="AB10" s="391">
        <f t="shared" ca="1" si="4"/>
        <v>4</v>
      </c>
      <c r="AC10" s="391">
        <f t="shared" ca="1" si="3"/>
        <v>0</v>
      </c>
      <c r="AD10" s="392">
        <f t="shared" ca="1" si="3"/>
        <v>5</v>
      </c>
      <c r="AE10" s="392">
        <f t="shared" ca="1" si="3"/>
        <v>3</v>
      </c>
      <c r="AF10" s="392">
        <f t="shared" ca="1" si="3"/>
        <v>2</v>
      </c>
      <c r="AG10" s="393">
        <f t="shared" ca="1" si="3"/>
        <v>1</v>
      </c>
      <c r="AH10" s="393">
        <f t="shared" ca="1" si="3"/>
        <v>0</v>
      </c>
      <c r="AI10" s="393">
        <f t="shared" ca="1" si="3"/>
        <v>5</v>
      </c>
    </row>
    <row r="11" spans="1:45">
      <c r="A11" s="154">
        <v>10</v>
      </c>
      <c r="B11" s="158" t="str">
        <f t="shared" si="0"/>
        <v>Frankrijk-Honduras</v>
      </c>
      <c r="C11" s="405" t="str">
        <f t="shared" ca="1" si="1"/>
        <v>2 - 0</v>
      </c>
      <c r="D11" s="405" t="str">
        <f t="shared" ca="1" si="1"/>
        <v>1 - 0</v>
      </c>
      <c r="E11" s="405" t="str">
        <f t="shared" ca="1" si="1"/>
        <v>2 - 1</v>
      </c>
      <c r="F11" s="405" t="str">
        <f t="shared" ca="1" si="1"/>
        <v>2 - 0</v>
      </c>
      <c r="G11" s="405" t="str">
        <f t="shared" ca="1" si="1"/>
        <v>3 - 0</v>
      </c>
      <c r="H11" s="405" t="str">
        <f t="shared" ca="1" si="1"/>
        <v>2 - 1</v>
      </c>
      <c r="I11" s="405" t="str">
        <f t="shared" ca="1" si="1"/>
        <v>2 - 0</v>
      </c>
      <c r="J11" s="405" t="str">
        <f t="shared" ca="1" si="1"/>
        <v>3 - 0</v>
      </c>
      <c r="K11" s="405" t="str">
        <f t="shared" ca="1" si="1"/>
        <v>2 - 0</v>
      </c>
      <c r="L11" s="405" t="str">
        <f t="shared" ca="1" si="1"/>
        <v>2 - 0</v>
      </c>
      <c r="M11" s="405" t="str">
        <f t="shared" ca="1" si="1"/>
        <v>2 - 0</v>
      </c>
      <c r="N11" s="405" t="str">
        <f t="shared" ca="1" si="2"/>
        <v>1 - 0</v>
      </c>
      <c r="O11" s="405" t="str">
        <f t="shared" ca="1" si="2"/>
        <v>4 - 0</v>
      </c>
      <c r="P11" s="405" t="str">
        <f t="shared" ca="1" si="2"/>
        <v>3 - 0</v>
      </c>
      <c r="Q11" s="405" t="str">
        <f t="shared" ca="1" si="2"/>
        <v>1 - 1</v>
      </c>
      <c r="R11" s="405" t="str">
        <f t="shared" ca="1" si="2"/>
        <v>2 - 1</v>
      </c>
      <c r="S11" s="405" t="str">
        <f t="shared" ca="1" si="2"/>
        <v>3 - 0</v>
      </c>
      <c r="T11" s="405" t="str">
        <f t="shared" ca="1" si="2"/>
        <v>1 - 0</v>
      </c>
      <c r="U11" s="405" t="str">
        <f t="shared" ca="1" si="2"/>
        <v>3 - 1</v>
      </c>
      <c r="V11" s="405" t="str">
        <f t="shared" ca="1" si="2"/>
        <v>2 - 0</v>
      </c>
      <c r="W11" s="405" t="str">
        <f t="shared" ca="1" si="2"/>
        <v>1 - 0</v>
      </c>
      <c r="X11" s="405" t="str">
        <f t="shared" ca="1" si="2"/>
        <v>2 - 1</v>
      </c>
      <c r="Y11" s="405" t="str">
        <f t="shared" ca="1" si="2"/>
        <v>3 - 1</v>
      </c>
      <c r="Z11" s="405" t="str">
        <f t="shared" ca="1" si="2"/>
        <v>3 - 0</v>
      </c>
      <c r="AB11" s="391">
        <f t="shared" ca="1" si="4"/>
        <v>0</v>
      </c>
      <c r="AC11" s="391">
        <f t="shared" ca="1" si="3"/>
        <v>1</v>
      </c>
      <c r="AD11" s="392">
        <f t="shared" ca="1" si="3"/>
        <v>4</v>
      </c>
      <c r="AE11" s="392">
        <f t="shared" ca="1" si="3"/>
        <v>7</v>
      </c>
      <c r="AF11" s="392">
        <f t="shared" ca="1" si="3"/>
        <v>4</v>
      </c>
      <c r="AG11" s="393">
        <f t="shared" ca="1" si="3"/>
        <v>0</v>
      </c>
      <c r="AH11" s="393">
        <f t="shared" ca="1" si="3"/>
        <v>0</v>
      </c>
      <c r="AI11" s="393">
        <f t="shared" ca="1" si="3"/>
        <v>0</v>
      </c>
    </row>
    <row r="12" spans="1:45">
      <c r="A12" s="154">
        <v>11</v>
      </c>
      <c r="B12" s="157" t="str">
        <f t="shared" si="0"/>
        <v>Argentinië-Bosnië-Herzegovina</v>
      </c>
      <c r="C12" s="404" t="str">
        <f t="shared" ref="C12:M21" ca="1" si="5">VLOOKUP($A12,INDIRECT(C$1&amp;loc_voorspell),7,0)&amp;" - "&amp;VLOOKUP($A12,INDIRECT(C$1&amp;loc_voorspell),9,0)</f>
        <v>2 - 0</v>
      </c>
      <c r="D12" s="404" t="str">
        <f t="shared" ca="1" si="5"/>
        <v>1 - 0</v>
      </c>
      <c r="E12" s="404" t="str">
        <f t="shared" ca="1" si="5"/>
        <v>2 - 1</v>
      </c>
      <c r="F12" s="404" t="str">
        <f t="shared" ca="1" si="5"/>
        <v>2 - 0</v>
      </c>
      <c r="G12" s="404" t="str">
        <f t="shared" ca="1" si="5"/>
        <v>2 - 2</v>
      </c>
      <c r="H12" s="404" t="str">
        <f t="shared" ca="1" si="5"/>
        <v>2 - 1</v>
      </c>
      <c r="I12" s="404" t="str">
        <f t="shared" ca="1" si="5"/>
        <v>2 - 0</v>
      </c>
      <c r="J12" s="404" t="str">
        <f t="shared" ca="1" si="5"/>
        <v>1 - 1</v>
      </c>
      <c r="K12" s="404" t="str">
        <f t="shared" ca="1" si="5"/>
        <v>2 - 1</v>
      </c>
      <c r="L12" s="404" t="str">
        <f t="shared" ca="1" si="5"/>
        <v>3 - 1</v>
      </c>
      <c r="M12" s="404" t="str">
        <f t="shared" ca="1" si="5"/>
        <v>2 - 1</v>
      </c>
      <c r="N12" s="404" t="str">
        <f t="shared" ref="N12:Z21" ca="1" si="6">VLOOKUP($A12,INDIRECT(N$1&amp;loc_voorspell),7,0)&amp;" - "&amp;VLOOKUP($A12,INDIRECT(N$1&amp;loc_voorspell),9,0)</f>
        <v>2 - 0</v>
      </c>
      <c r="O12" s="404" t="str">
        <f t="shared" ca="1" si="6"/>
        <v>3 - 0</v>
      </c>
      <c r="P12" s="404" t="str">
        <f t="shared" ca="1" si="6"/>
        <v>2 - 0</v>
      </c>
      <c r="Q12" s="404" t="str">
        <f t="shared" ca="1" si="6"/>
        <v>2 - 0</v>
      </c>
      <c r="R12" s="404" t="str">
        <f t="shared" ca="1" si="6"/>
        <v>2 - 0</v>
      </c>
      <c r="S12" s="404" t="str">
        <f t="shared" ca="1" si="6"/>
        <v>3 - 1</v>
      </c>
      <c r="T12" s="404" t="str">
        <f t="shared" ca="1" si="6"/>
        <v>2 - 0</v>
      </c>
      <c r="U12" s="404" t="str">
        <f t="shared" ca="1" si="6"/>
        <v>3 - 2</v>
      </c>
      <c r="V12" s="404" t="str">
        <f t="shared" ca="1" si="6"/>
        <v>1 - 1</v>
      </c>
      <c r="W12" s="404" t="str">
        <f t="shared" ca="1" si="6"/>
        <v>1 - 0</v>
      </c>
      <c r="X12" s="404" t="str">
        <f t="shared" ca="1" si="6"/>
        <v>2 - 0</v>
      </c>
      <c r="Y12" s="404" t="str">
        <f t="shared" ca="1" si="6"/>
        <v>6 - 1</v>
      </c>
      <c r="Z12" s="404" t="str">
        <f t="shared" ca="1" si="6"/>
        <v>4 - 1</v>
      </c>
      <c r="AB12" s="391">
        <f t="shared" ca="1" si="4"/>
        <v>0</v>
      </c>
      <c r="AC12" s="391">
        <f t="shared" ca="1" si="3"/>
        <v>2</v>
      </c>
      <c r="AD12" s="392">
        <f t="shared" ca="1" si="3"/>
        <v>2</v>
      </c>
      <c r="AE12" s="392">
        <f t="shared" ca="1" si="3"/>
        <v>9</v>
      </c>
      <c r="AF12" s="392">
        <f t="shared" ca="1" si="3"/>
        <v>4</v>
      </c>
      <c r="AG12" s="393">
        <f t="shared" ca="1" si="3"/>
        <v>0</v>
      </c>
      <c r="AH12" s="393">
        <f t="shared" ca="1" si="3"/>
        <v>0</v>
      </c>
      <c r="AI12" s="393">
        <f t="shared" ca="1" si="3"/>
        <v>0</v>
      </c>
    </row>
    <row r="13" spans="1:45">
      <c r="A13" s="154">
        <v>12</v>
      </c>
      <c r="B13" s="158" t="str">
        <f t="shared" si="0"/>
        <v>Iran-Nigeria</v>
      </c>
      <c r="C13" s="405" t="str">
        <f t="shared" ca="1" si="5"/>
        <v>0 - 1</v>
      </c>
      <c r="D13" s="405" t="str">
        <f t="shared" ca="1" si="5"/>
        <v>0 - 0</v>
      </c>
      <c r="E13" s="405" t="str">
        <f t="shared" ca="1" si="5"/>
        <v>1 - 2</v>
      </c>
      <c r="F13" s="405" t="str">
        <f t="shared" ca="1" si="5"/>
        <v>1 - 3</v>
      </c>
      <c r="G13" s="405" t="str">
        <f t="shared" ca="1" si="5"/>
        <v>1 - 1</v>
      </c>
      <c r="H13" s="405" t="str">
        <f t="shared" ca="1" si="5"/>
        <v>1 - 1</v>
      </c>
      <c r="I13" s="405" t="str">
        <f t="shared" ca="1" si="5"/>
        <v>0 - 1</v>
      </c>
      <c r="J13" s="405" t="str">
        <f t="shared" ca="1" si="5"/>
        <v>1 - 0</v>
      </c>
      <c r="K13" s="405" t="str">
        <f t="shared" ca="1" si="5"/>
        <v>0 - 2</v>
      </c>
      <c r="L13" s="405" t="str">
        <f t="shared" ca="1" si="5"/>
        <v>0 - 2</v>
      </c>
      <c r="M13" s="405" t="str">
        <f t="shared" ca="1" si="5"/>
        <v>0 - 1</v>
      </c>
      <c r="N13" s="405" t="str">
        <f t="shared" ca="1" si="6"/>
        <v>1 - 1</v>
      </c>
      <c r="O13" s="405" t="str">
        <f t="shared" ca="1" si="6"/>
        <v>1 - 2</v>
      </c>
      <c r="P13" s="405" t="str">
        <f t="shared" ca="1" si="6"/>
        <v>1 - 3</v>
      </c>
      <c r="Q13" s="405" t="str">
        <f t="shared" ca="1" si="6"/>
        <v>0 - 0</v>
      </c>
      <c r="R13" s="405" t="str">
        <f t="shared" ca="1" si="6"/>
        <v>0 - 1</v>
      </c>
      <c r="S13" s="405" t="str">
        <f t="shared" ca="1" si="6"/>
        <v>0 - 4</v>
      </c>
      <c r="T13" s="405" t="str">
        <f t="shared" ca="1" si="6"/>
        <v>0 - 1</v>
      </c>
      <c r="U13" s="405" t="str">
        <f t="shared" ca="1" si="6"/>
        <v>0 - 2</v>
      </c>
      <c r="V13" s="405" t="str">
        <f t="shared" ca="1" si="6"/>
        <v>0 - 1</v>
      </c>
      <c r="W13" s="405" t="str">
        <f t="shared" ca="1" si="6"/>
        <v>0 - 1</v>
      </c>
      <c r="X13" s="405" t="str">
        <f t="shared" ca="1" si="6"/>
        <v>0 - 2</v>
      </c>
      <c r="Y13" s="405" t="str">
        <f t="shared" ca="1" si="6"/>
        <v>1 - 2</v>
      </c>
      <c r="Z13" s="405" t="str">
        <f t="shared" ca="1" si="6"/>
        <v>0 - 2</v>
      </c>
      <c r="AB13" s="391">
        <f t="shared" ca="1" si="4"/>
        <v>2</v>
      </c>
      <c r="AC13" s="391">
        <f t="shared" ca="1" si="3"/>
        <v>3</v>
      </c>
      <c r="AD13" s="392">
        <f t="shared" ca="1" si="3"/>
        <v>1</v>
      </c>
      <c r="AE13" s="392">
        <f t="shared" ca="1" si="3"/>
        <v>0</v>
      </c>
      <c r="AF13" s="392">
        <f t="shared" ca="1" si="3"/>
        <v>0</v>
      </c>
      <c r="AG13" s="393">
        <f t="shared" ca="1" si="3"/>
        <v>3</v>
      </c>
      <c r="AH13" s="393">
        <f t="shared" ca="1" si="3"/>
        <v>5</v>
      </c>
      <c r="AI13" s="393">
        <f t="shared" ca="1" si="3"/>
        <v>7</v>
      </c>
    </row>
    <row r="14" spans="1:45">
      <c r="A14" s="154">
        <v>13</v>
      </c>
      <c r="B14" s="157" t="str">
        <f t="shared" si="0"/>
        <v>Duitsland-Portugal</v>
      </c>
      <c r="C14" s="404" t="str">
        <f t="shared" ca="1" si="5"/>
        <v>2 - 1</v>
      </c>
      <c r="D14" s="404" t="str">
        <f t="shared" ca="1" si="5"/>
        <v>2 - 1</v>
      </c>
      <c r="E14" s="404" t="str">
        <f t="shared" ca="1" si="5"/>
        <v>2 - 1</v>
      </c>
      <c r="F14" s="404" t="str">
        <f t="shared" ca="1" si="5"/>
        <v>3 - 0</v>
      </c>
      <c r="G14" s="404" t="str">
        <f t="shared" ca="1" si="5"/>
        <v>1 - 1</v>
      </c>
      <c r="H14" s="404" t="str">
        <f t="shared" ca="1" si="5"/>
        <v>1 - 1</v>
      </c>
      <c r="I14" s="404" t="str">
        <f t="shared" ca="1" si="5"/>
        <v>0 - 0</v>
      </c>
      <c r="J14" s="404" t="str">
        <f t="shared" ca="1" si="5"/>
        <v>1 - 1</v>
      </c>
      <c r="K14" s="404" t="str">
        <f t="shared" ca="1" si="5"/>
        <v>0 - 2</v>
      </c>
      <c r="L14" s="404" t="str">
        <f t="shared" ca="1" si="5"/>
        <v>3 - 2</v>
      </c>
      <c r="M14" s="404" t="str">
        <f t="shared" ca="1" si="5"/>
        <v>1 - 1</v>
      </c>
      <c r="N14" s="404" t="str">
        <f t="shared" ca="1" si="6"/>
        <v>1 - 2</v>
      </c>
      <c r="O14" s="404" t="str">
        <f t="shared" ca="1" si="6"/>
        <v>2 - 1</v>
      </c>
      <c r="P14" s="404" t="str">
        <f t="shared" ca="1" si="6"/>
        <v>1 - 0</v>
      </c>
      <c r="Q14" s="404" t="str">
        <f t="shared" ca="1" si="6"/>
        <v>0 - 0</v>
      </c>
      <c r="R14" s="404" t="str">
        <f t="shared" ca="1" si="6"/>
        <v>0 - 0</v>
      </c>
      <c r="S14" s="404" t="str">
        <f t="shared" ca="1" si="6"/>
        <v>1 - 0</v>
      </c>
      <c r="T14" s="404" t="str">
        <f t="shared" ca="1" si="6"/>
        <v>1 - 1</v>
      </c>
      <c r="U14" s="404" t="str">
        <f t="shared" ca="1" si="6"/>
        <v>2 - 2</v>
      </c>
      <c r="V14" s="404" t="str">
        <f t="shared" ca="1" si="6"/>
        <v>0 - 0</v>
      </c>
      <c r="W14" s="404" t="str">
        <f t="shared" ca="1" si="6"/>
        <v>1 - 0</v>
      </c>
      <c r="X14" s="404" t="str">
        <f t="shared" ca="1" si="6"/>
        <v>1 - 1</v>
      </c>
      <c r="Y14" s="404" t="str">
        <f t="shared" ca="1" si="6"/>
        <v>1 - 1</v>
      </c>
      <c r="Z14" s="404" t="str">
        <f t="shared" ca="1" si="6"/>
        <v>1 - 1</v>
      </c>
      <c r="AB14" s="391">
        <f t="shared" ca="1" si="4"/>
        <v>4</v>
      </c>
      <c r="AC14" s="391">
        <f t="shared" ca="1" si="3"/>
        <v>8</v>
      </c>
      <c r="AD14" s="392">
        <f t="shared" ca="1" si="3"/>
        <v>3</v>
      </c>
      <c r="AE14" s="392">
        <f t="shared" ca="1" si="3"/>
        <v>0</v>
      </c>
      <c r="AF14" s="392">
        <f t="shared" ca="1" si="3"/>
        <v>4</v>
      </c>
      <c r="AG14" s="393">
        <f t="shared" ca="1" si="3"/>
        <v>1</v>
      </c>
      <c r="AH14" s="393">
        <f t="shared" ca="1" si="3"/>
        <v>1</v>
      </c>
      <c r="AI14" s="393">
        <f t="shared" ca="1" si="3"/>
        <v>0</v>
      </c>
    </row>
    <row r="15" spans="1:45">
      <c r="A15" s="154">
        <v>14</v>
      </c>
      <c r="B15" s="158" t="str">
        <f t="shared" si="0"/>
        <v>Ghana-USA</v>
      </c>
      <c r="C15" s="405" t="str">
        <f t="shared" ca="1" si="5"/>
        <v>1 - 2</v>
      </c>
      <c r="D15" s="405" t="str">
        <f t="shared" ca="1" si="5"/>
        <v>1 - 0</v>
      </c>
      <c r="E15" s="405" t="str">
        <f t="shared" ca="1" si="5"/>
        <v>2 - 1</v>
      </c>
      <c r="F15" s="405" t="str">
        <f t="shared" ca="1" si="5"/>
        <v>1 - 2</v>
      </c>
      <c r="G15" s="405" t="str">
        <f t="shared" ca="1" si="5"/>
        <v>1 - 2</v>
      </c>
      <c r="H15" s="405" t="str">
        <f t="shared" ca="1" si="5"/>
        <v>1 - 2</v>
      </c>
      <c r="I15" s="405" t="str">
        <f t="shared" ca="1" si="5"/>
        <v>0 - 1</v>
      </c>
      <c r="J15" s="405" t="str">
        <f t="shared" ca="1" si="5"/>
        <v>0 - 0</v>
      </c>
      <c r="K15" s="405" t="str">
        <f t="shared" ca="1" si="5"/>
        <v>0 - 0</v>
      </c>
      <c r="L15" s="405" t="str">
        <f t="shared" ca="1" si="5"/>
        <v>2 - 2</v>
      </c>
      <c r="M15" s="405" t="str">
        <f t="shared" ca="1" si="5"/>
        <v>2 - 1</v>
      </c>
      <c r="N15" s="405" t="str">
        <f t="shared" ca="1" si="6"/>
        <v>1 - 1</v>
      </c>
      <c r="O15" s="405" t="str">
        <f t="shared" ca="1" si="6"/>
        <v>1 - 2</v>
      </c>
      <c r="P15" s="405" t="str">
        <f t="shared" ca="1" si="6"/>
        <v>2 - 0</v>
      </c>
      <c r="Q15" s="405" t="str">
        <f t="shared" ca="1" si="6"/>
        <v>1 - 0</v>
      </c>
      <c r="R15" s="405" t="str">
        <f t="shared" ca="1" si="6"/>
        <v>0 - 2</v>
      </c>
      <c r="S15" s="405" t="str">
        <f t="shared" ca="1" si="6"/>
        <v>3 - 1</v>
      </c>
      <c r="T15" s="405" t="str">
        <f t="shared" ca="1" si="6"/>
        <v>2 - 1</v>
      </c>
      <c r="U15" s="405" t="str">
        <f t="shared" ca="1" si="6"/>
        <v>2 - 2</v>
      </c>
      <c r="V15" s="405" t="str">
        <f t="shared" ca="1" si="6"/>
        <v>1 - 0</v>
      </c>
      <c r="W15" s="405" t="str">
        <f t="shared" ca="1" si="6"/>
        <v>0 - 1</v>
      </c>
      <c r="X15" s="405" t="str">
        <f t="shared" ca="1" si="6"/>
        <v>1 - 2</v>
      </c>
      <c r="Y15" s="405" t="str">
        <f t="shared" ca="1" si="6"/>
        <v>1 - 2</v>
      </c>
      <c r="Z15" s="405" t="str">
        <f t="shared" ca="1" si="6"/>
        <v>2 - 0</v>
      </c>
      <c r="AB15" s="391">
        <f t="shared" ca="1" si="4"/>
        <v>2</v>
      </c>
      <c r="AC15" s="391">
        <f t="shared" ca="1" si="3"/>
        <v>1</v>
      </c>
      <c r="AD15" s="392">
        <f t="shared" ca="1" si="3"/>
        <v>3</v>
      </c>
      <c r="AE15" s="392">
        <f t="shared" ca="1" si="3"/>
        <v>2</v>
      </c>
      <c r="AF15" s="392">
        <f t="shared" ca="1" si="3"/>
        <v>3</v>
      </c>
      <c r="AG15" s="393">
        <f t="shared" ca="1" si="3"/>
        <v>7</v>
      </c>
      <c r="AH15" s="393">
        <f t="shared" ca="1" si="3"/>
        <v>1</v>
      </c>
      <c r="AI15" s="393">
        <f t="shared" ca="1" si="3"/>
        <v>2</v>
      </c>
    </row>
    <row r="16" spans="1:45">
      <c r="A16" s="154">
        <v>15</v>
      </c>
      <c r="B16" s="157" t="str">
        <f t="shared" si="0"/>
        <v>België-Algerije</v>
      </c>
      <c r="C16" s="404" t="str">
        <f t="shared" ca="1" si="5"/>
        <v>1 - 0</v>
      </c>
      <c r="D16" s="404" t="str">
        <f t="shared" ca="1" si="5"/>
        <v>2 - 0</v>
      </c>
      <c r="E16" s="404" t="str">
        <f t="shared" ca="1" si="5"/>
        <v>2 - 1</v>
      </c>
      <c r="F16" s="404" t="str">
        <f t="shared" ca="1" si="5"/>
        <v>2 - 0</v>
      </c>
      <c r="G16" s="404" t="str">
        <f t="shared" ca="1" si="5"/>
        <v>2 - 0</v>
      </c>
      <c r="H16" s="404" t="str">
        <f t="shared" ca="1" si="5"/>
        <v>2 - 1</v>
      </c>
      <c r="I16" s="404" t="str">
        <f t="shared" ca="1" si="5"/>
        <v>2 - 1</v>
      </c>
      <c r="J16" s="404" t="str">
        <f t="shared" ca="1" si="5"/>
        <v>2 - 0</v>
      </c>
      <c r="K16" s="404" t="str">
        <f t="shared" ca="1" si="5"/>
        <v>0 - 0</v>
      </c>
      <c r="L16" s="404" t="str">
        <f t="shared" ca="1" si="5"/>
        <v>2 - 1</v>
      </c>
      <c r="M16" s="404" t="str">
        <f t="shared" ca="1" si="5"/>
        <v>2 - 0</v>
      </c>
      <c r="N16" s="404" t="str">
        <f t="shared" ca="1" si="6"/>
        <v>1 - 0</v>
      </c>
      <c r="O16" s="404" t="str">
        <f t="shared" ca="1" si="6"/>
        <v>0 - 0</v>
      </c>
      <c r="P16" s="404" t="str">
        <f t="shared" ca="1" si="6"/>
        <v>2 - 0</v>
      </c>
      <c r="Q16" s="404" t="str">
        <f t="shared" ca="1" si="6"/>
        <v>3 - 0</v>
      </c>
      <c r="R16" s="404" t="str">
        <f t="shared" ca="1" si="6"/>
        <v>1 - 0</v>
      </c>
      <c r="S16" s="404" t="str">
        <f t="shared" ca="1" si="6"/>
        <v>3 - 1</v>
      </c>
      <c r="T16" s="404" t="str">
        <f t="shared" ca="1" si="6"/>
        <v>1 - 0</v>
      </c>
      <c r="U16" s="404" t="str">
        <f t="shared" ca="1" si="6"/>
        <v>2 - 0</v>
      </c>
      <c r="V16" s="404" t="str">
        <f t="shared" ca="1" si="6"/>
        <v>2 - 0</v>
      </c>
      <c r="W16" s="404" t="str">
        <f t="shared" ca="1" si="6"/>
        <v>1 - 0</v>
      </c>
      <c r="X16" s="404" t="str">
        <f t="shared" ca="1" si="6"/>
        <v>0 - 2</v>
      </c>
      <c r="Y16" s="404" t="str">
        <f t="shared" ca="1" si="6"/>
        <v>4 - 0</v>
      </c>
      <c r="Z16" s="404" t="str">
        <f t="shared" ca="1" si="6"/>
        <v>3 - 0</v>
      </c>
      <c r="AB16" s="391">
        <f t="shared" ca="1" si="4"/>
        <v>2</v>
      </c>
      <c r="AC16" s="391">
        <f t="shared" ca="1" si="3"/>
        <v>0</v>
      </c>
      <c r="AD16" s="392">
        <f t="shared" ca="1" si="3"/>
        <v>5</v>
      </c>
      <c r="AE16" s="392">
        <f t="shared" ca="1" si="3"/>
        <v>8</v>
      </c>
      <c r="AF16" s="392">
        <f t="shared" ca="1" si="3"/>
        <v>4</v>
      </c>
      <c r="AG16" s="393">
        <f t="shared" ca="1" si="3"/>
        <v>0</v>
      </c>
      <c r="AH16" s="393">
        <f t="shared" ca="1" si="3"/>
        <v>1</v>
      </c>
      <c r="AI16" s="393">
        <f t="shared" ca="1" si="3"/>
        <v>0</v>
      </c>
    </row>
    <row r="17" spans="1:35" s="432" customFormat="1">
      <c r="A17" s="429">
        <v>16</v>
      </c>
      <c r="B17" s="430" t="str">
        <f t="shared" si="0"/>
        <v>Rusland-Zuid-Korea</v>
      </c>
      <c r="C17" s="431" t="str">
        <f t="shared" ca="1" si="5"/>
        <v>1 - 0</v>
      </c>
      <c r="D17" s="431" t="str">
        <f t="shared" ca="1" si="5"/>
        <v>2 - 0</v>
      </c>
      <c r="E17" s="431" t="str">
        <f t="shared" ca="1" si="5"/>
        <v>2 - 1</v>
      </c>
      <c r="F17" s="431" t="str">
        <f t="shared" ca="1" si="5"/>
        <v>2 - 0</v>
      </c>
      <c r="G17" s="431" t="str">
        <f t="shared" ca="1" si="5"/>
        <v>3 - 1</v>
      </c>
      <c r="H17" s="431" t="str">
        <f t="shared" ca="1" si="5"/>
        <v>2 - 1</v>
      </c>
      <c r="I17" s="431" t="str">
        <f t="shared" ca="1" si="5"/>
        <v>1 - 0</v>
      </c>
      <c r="J17" s="431" t="str">
        <f t="shared" ca="1" si="5"/>
        <v>1 - 0</v>
      </c>
      <c r="K17" s="431" t="str">
        <f t="shared" ca="1" si="5"/>
        <v>0 - 1</v>
      </c>
      <c r="L17" s="431" t="str">
        <f t="shared" ca="1" si="5"/>
        <v>2 - 0</v>
      </c>
      <c r="M17" s="431" t="str">
        <f t="shared" ca="1" si="5"/>
        <v>1 - 0</v>
      </c>
      <c r="N17" s="431" t="str">
        <f t="shared" ca="1" si="6"/>
        <v>0 - 0</v>
      </c>
      <c r="O17" s="431" t="str">
        <f t="shared" ca="1" si="6"/>
        <v>1 - 0</v>
      </c>
      <c r="P17" s="431" t="str">
        <f t="shared" ca="1" si="6"/>
        <v>2 - 0</v>
      </c>
      <c r="Q17" s="431" t="str">
        <f t="shared" ca="1" si="6"/>
        <v>0 - 0</v>
      </c>
      <c r="R17" s="431" t="str">
        <f t="shared" ca="1" si="6"/>
        <v>0 - 0</v>
      </c>
      <c r="S17" s="431" t="str">
        <f t="shared" ca="1" si="6"/>
        <v>3 - 2</v>
      </c>
      <c r="T17" s="431" t="str">
        <f t="shared" ca="1" si="6"/>
        <v>0 - 1</v>
      </c>
      <c r="U17" s="431" t="str">
        <f t="shared" ca="1" si="6"/>
        <v>2 - 2</v>
      </c>
      <c r="V17" s="431" t="str">
        <f t="shared" ca="1" si="6"/>
        <v>1 - 0</v>
      </c>
      <c r="W17" s="431" t="str">
        <f t="shared" ca="1" si="6"/>
        <v>1 - 0</v>
      </c>
      <c r="X17" s="431" t="str">
        <f t="shared" ca="1" si="6"/>
        <v>1 - 1</v>
      </c>
      <c r="Y17" s="431" t="str">
        <f t="shared" ca="1" si="6"/>
        <v>2 - 0</v>
      </c>
      <c r="Z17" s="431" t="str">
        <f t="shared" ca="1" si="6"/>
        <v>2 - 1</v>
      </c>
      <c r="AB17" s="433">
        <f t="shared" ca="1" si="4"/>
        <v>3</v>
      </c>
      <c r="AC17" s="433">
        <f t="shared" ca="1" si="3"/>
        <v>1</v>
      </c>
      <c r="AD17" s="434">
        <f t="shared" ca="1" si="3"/>
        <v>7</v>
      </c>
      <c r="AE17" s="434">
        <f t="shared" ca="1" si="3"/>
        <v>5</v>
      </c>
      <c r="AF17" s="434">
        <f t="shared" ca="1" si="3"/>
        <v>3</v>
      </c>
      <c r="AG17" s="435">
        <f t="shared" ca="1" si="3"/>
        <v>0</v>
      </c>
      <c r="AH17" s="435">
        <f t="shared" ca="1" si="3"/>
        <v>0</v>
      </c>
      <c r="AI17" s="435">
        <f t="shared" ca="1" si="3"/>
        <v>2</v>
      </c>
    </row>
    <row r="18" spans="1:35">
      <c r="A18" s="154">
        <v>17</v>
      </c>
      <c r="B18" s="157" t="str">
        <f t="shared" si="0"/>
        <v>Brazilië-Mexico</v>
      </c>
      <c r="C18" s="404" t="str">
        <f t="shared" ca="1" si="5"/>
        <v>3 - 1</v>
      </c>
      <c r="D18" s="404" t="str">
        <f t="shared" ca="1" si="5"/>
        <v>1 - 0</v>
      </c>
      <c r="E18" s="404" t="str">
        <f t="shared" ca="1" si="5"/>
        <v>2 - 1</v>
      </c>
      <c r="F18" s="404" t="str">
        <f t="shared" ca="1" si="5"/>
        <v>2 - 0</v>
      </c>
      <c r="G18" s="404" t="str">
        <f t="shared" ca="1" si="5"/>
        <v>2 - 1</v>
      </c>
      <c r="H18" s="404" t="str">
        <f t="shared" ca="1" si="5"/>
        <v>2 - 1</v>
      </c>
      <c r="I18" s="404" t="str">
        <f t="shared" ca="1" si="5"/>
        <v>3 - 0</v>
      </c>
      <c r="J18" s="404" t="str">
        <f t="shared" ca="1" si="5"/>
        <v>1 - 1</v>
      </c>
      <c r="K18" s="404" t="str">
        <f t="shared" ca="1" si="5"/>
        <v>1 - 1</v>
      </c>
      <c r="L18" s="404" t="str">
        <f t="shared" ca="1" si="5"/>
        <v>2 - 0</v>
      </c>
      <c r="M18" s="404" t="str">
        <f t="shared" ca="1" si="5"/>
        <v>1 - 1</v>
      </c>
      <c r="N18" s="404" t="str">
        <f t="shared" ca="1" si="6"/>
        <v>2 - 1</v>
      </c>
      <c r="O18" s="404" t="str">
        <f t="shared" ca="1" si="6"/>
        <v>3 - 1</v>
      </c>
      <c r="P18" s="404" t="str">
        <f t="shared" ca="1" si="6"/>
        <v>2 - 0</v>
      </c>
      <c r="Q18" s="404" t="str">
        <f t="shared" ca="1" si="6"/>
        <v>2 - 1</v>
      </c>
      <c r="R18" s="404" t="str">
        <f t="shared" ca="1" si="6"/>
        <v>1 - 0</v>
      </c>
      <c r="S18" s="404" t="str">
        <f t="shared" ca="1" si="6"/>
        <v>2 - 0</v>
      </c>
      <c r="T18" s="404" t="str">
        <f t="shared" ca="1" si="6"/>
        <v>1 - 0</v>
      </c>
      <c r="U18" s="404" t="str">
        <f t="shared" ca="1" si="6"/>
        <v>3 - 1</v>
      </c>
      <c r="V18" s="404" t="str">
        <f t="shared" ca="1" si="6"/>
        <v>2 - 1</v>
      </c>
      <c r="W18" s="404" t="str">
        <f t="shared" ca="1" si="6"/>
        <v>1 - 0</v>
      </c>
      <c r="X18" s="404" t="str">
        <f t="shared" ca="1" si="6"/>
        <v>1 - 0</v>
      </c>
      <c r="Y18" s="404" t="str">
        <f t="shared" ca="1" si="6"/>
        <v>2 - 2</v>
      </c>
      <c r="Z18" s="404" t="str">
        <f t="shared" ca="1" si="6"/>
        <v>2 - 0</v>
      </c>
      <c r="AB18" s="391">
        <f t="shared" ca="1" si="4"/>
        <v>0</v>
      </c>
      <c r="AC18" s="391">
        <f t="shared" ca="1" si="4"/>
        <v>3</v>
      </c>
      <c r="AD18" s="392">
        <f t="shared" ca="1" si="4"/>
        <v>5</v>
      </c>
      <c r="AE18" s="392">
        <f t="shared" ca="1" si="4"/>
        <v>5</v>
      </c>
      <c r="AF18" s="392">
        <f t="shared" ca="1" si="4"/>
        <v>6</v>
      </c>
      <c r="AG18" s="393">
        <f t="shared" ca="1" si="4"/>
        <v>0</v>
      </c>
      <c r="AH18" s="393">
        <f t="shared" ca="1" si="4"/>
        <v>0</v>
      </c>
      <c r="AI18" s="393">
        <f t="shared" ca="1" si="4"/>
        <v>0</v>
      </c>
    </row>
    <row r="19" spans="1:35">
      <c r="A19" s="154">
        <v>18</v>
      </c>
      <c r="B19" s="158" t="str">
        <f t="shared" si="0"/>
        <v>Kameroen-Kroatië</v>
      </c>
      <c r="C19" s="405" t="str">
        <f t="shared" ca="1" si="5"/>
        <v>0 - 1</v>
      </c>
      <c r="D19" s="405" t="str">
        <f t="shared" ca="1" si="5"/>
        <v>0 - 1</v>
      </c>
      <c r="E19" s="405" t="str">
        <f t="shared" ca="1" si="5"/>
        <v>1 - 2</v>
      </c>
      <c r="F19" s="405" t="str">
        <f t="shared" ca="1" si="5"/>
        <v>0 - 1</v>
      </c>
      <c r="G19" s="405" t="str">
        <f t="shared" ca="1" si="5"/>
        <v>0 - 1</v>
      </c>
      <c r="H19" s="405" t="str">
        <f t="shared" ca="1" si="5"/>
        <v>1 - 2</v>
      </c>
      <c r="I19" s="405" t="str">
        <f t="shared" ca="1" si="5"/>
        <v>1 - 0</v>
      </c>
      <c r="J19" s="405" t="str">
        <f t="shared" ca="1" si="5"/>
        <v>0 - 0</v>
      </c>
      <c r="K19" s="405" t="str">
        <f t="shared" ca="1" si="5"/>
        <v>2 - 4</v>
      </c>
      <c r="L19" s="405" t="str">
        <f t="shared" ca="1" si="5"/>
        <v>0 - 1</v>
      </c>
      <c r="M19" s="405" t="str">
        <f t="shared" ca="1" si="5"/>
        <v>1 - 2</v>
      </c>
      <c r="N19" s="405" t="str">
        <f t="shared" ca="1" si="6"/>
        <v>0 - 1</v>
      </c>
      <c r="O19" s="405" t="str">
        <f t="shared" ca="1" si="6"/>
        <v>2 - 1</v>
      </c>
      <c r="P19" s="405" t="str">
        <f t="shared" ca="1" si="6"/>
        <v>1 - 2</v>
      </c>
      <c r="Q19" s="405" t="str">
        <f t="shared" ca="1" si="6"/>
        <v>0 - 0</v>
      </c>
      <c r="R19" s="405" t="str">
        <f t="shared" ca="1" si="6"/>
        <v>0 - 0</v>
      </c>
      <c r="S19" s="405" t="str">
        <f t="shared" ca="1" si="6"/>
        <v>1 - 2</v>
      </c>
      <c r="T19" s="405" t="str">
        <f t="shared" ca="1" si="6"/>
        <v>1 - 2</v>
      </c>
      <c r="U19" s="405" t="str">
        <f t="shared" ca="1" si="6"/>
        <v>0 - 2</v>
      </c>
      <c r="V19" s="405" t="str">
        <f t="shared" ca="1" si="6"/>
        <v>0 - 2</v>
      </c>
      <c r="W19" s="405" t="str">
        <f t="shared" ca="1" si="6"/>
        <v>0 - 1</v>
      </c>
      <c r="X19" s="405" t="str">
        <f t="shared" ca="1" si="6"/>
        <v>0 - 0</v>
      </c>
      <c r="Y19" s="405" t="str">
        <f t="shared" ca="1" si="6"/>
        <v>3 - 3</v>
      </c>
      <c r="Z19" s="405" t="str">
        <f t="shared" ca="1" si="6"/>
        <v>2 - 1</v>
      </c>
      <c r="AB19" s="391">
        <f t="shared" ca="1" si="4"/>
        <v>4</v>
      </c>
      <c r="AC19" s="391">
        <f t="shared" ca="1" si="4"/>
        <v>0</v>
      </c>
      <c r="AD19" s="392">
        <f t="shared" ca="1" si="4"/>
        <v>1</v>
      </c>
      <c r="AE19" s="392">
        <f t="shared" ca="1" si="4"/>
        <v>0</v>
      </c>
      <c r="AF19" s="392">
        <f t="shared" ca="1" si="4"/>
        <v>2</v>
      </c>
      <c r="AG19" s="393">
        <f t="shared" ca="1" si="4"/>
        <v>6</v>
      </c>
      <c r="AH19" s="393">
        <f t="shared" ca="1" si="4"/>
        <v>2</v>
      </c>
      <c r="AI19" s="393">
        <f t="shared" ca="1" si="4"/>
        <v>7</v>
      </c>
    </row>
    <row r="20" spans="1:35">
      <c r="A20" s="154">
        <v>19</v>
      </c>
      <c r="B20" s="157" t="str">
        <f t="shared" si="0"/>
        <v>Spanje-Chili</v>
      </c>
      <c r="C20" s="404" t="str">
        <f t="shared" ca="1" si="5"/>
        <v>1 - 0</v>
      </c>
      <c r="D20" s="404" t="str">
        <f t="shared" ca="1" si="5"/>
        <v>2 - 0</v>
      </c>
      <c r="E20" s="404" t="str">
        <f t="shared" ca="1" si="5"/>
        <v>2 - 1</v>
      </c>
      <c r="F20" s="404" t="str">
        <f t="shared" ca="1" si="5"/>
        <v>1 - 0</v>
      </c>
      <c r="G20" s="404" t="str">
        <f t="shared" ca="1" si="5"/>
        <v>1 - 1</v>
      </c>
      <c r="H20" s="404" t="str">
        <f t="shared" ca="1" si="5"/>
        <v>3 - 1</v>
      </c>
      <c r="I20" s="404" t="str">
        <f t="shared" ca="1" si="5"/>
        <v>1 - 0</v>
      </c>
      <c r="J20" s="404" t="str">
        <f t="shared" ca="1" si="5"/>
        <v>1 - 1</v>
      </c>
      <c r="K20" s="404" t="str">
        <f t="shared" ca="1" si="5"/>
        <v>5 - 2</v>
      </c>
      <c r="L20" s="404" t="str">
        <f t="shared" ca="1" si="5"/>
        <v>3 - 1</v>
      </c>
      <c r="M20" s="404" t="str">
        <f t="shared" ca="1" si="5"/>
        <v>2 - 1</v>
      </c>
      <c r="N20" s="404" t="str">
        <f t="shared" ca="1" si="6"/>
        <v>1 - 0</v>
      </c>
      <c r="O20" s="404" t="str">
        <f t="shared" ca="1" si="6"/>
        <v>2 - 1</v>
      </c>
      <c r="P20" s="404" t="str">
        <f t="shared" ca="1" si="6"/>
        <v>3 - 1</v>
      </c>
      <c r="Q20" s="404" t="str">
        <f t="shared" ca="1" si="6"/>
        <v>2 - 0</v>
      </c>
      <c r="R20" s="404" t="str">
        <f t="shared" ca="1" si="6"/>
        <v>2 - 0</v>
      </c>
      <c r="S20" s="404" t="str">
        <f t="shared" ca="1" si="6"/>
        <v>2 - 1</v>
      </c>
      <c r="T20" s="404" t="str">
        <f t="shared" ca="1" si="6"/>
        <v>2 - 0</v>
      </c>
      <c r="U20" s="404" t="str">
        <f t="shared" ca="1" si="6"/>
        <v>1 - 1</v>
      </c>
      <c r="V20" s="404" t="str">
        <f t="shared" ca="1" si="6"/>
        <v>1 - 0</v>
      </c>
      <c r="W20" s="404" t="str">
        <f t="shared" ca="1" si="6"/>
        <v>1 - 1</v>
      </c>
      <c r="X20" s="404" t="str">
        <f t="shared" ca="1" si="6"/>
        <v>1 - 0</v>
      </c>
      <c r="Y20" s="404" t="str">
        <f t="shared" ca="1" si="6"/>
        <v>1 - 1</v>
      </c>
      <c r="Z20" s="404" t="str">
        <f t="shared" ca="1" si="6"/>
        <v>2 - 1</v>
      </c>
      <c r="AB20" s="391">
        <f t="shared" ca="1" si="4"/>
        <v>0</v>
      </c>
      <c r="AC20" s="391">
        <f t="shared" ca="1" si="4"/>
        <v>5</v>
      </c>
      <c r="AD20" s="392">
        <f t="shared" ca="1" si="4"/>
        <v>6</v>
      </c>
      <c r="AE20" s="392">
        <f t="shared" ca="1" si="4"/>
        <v>4</v>
      </c>
      <c r="AF20" s="392">
        <f t="shared" ca="1" si="4"/>
        <v>5</v>
      </c>
      <c r="AG20" s="393">
        <f t="shared" ca="1" si="4"/>
        <v>0</v>
      </c>
      <c r="AH20" s="393">
        <f t="shared" ca="1" si="4"/>
        <v>0</v>
      </c>
      <c r="AI20" s="393">
        <f t="shared" ca="1" si="4"/>
        <v>0</v>
      </c>
    </row>
    <row r="21" spans="1:35">
      <c r="A21" s="154">
        <v>20</v>
      </c>
      <c r="B21" s="158" t="str">
        <f t="shared" si="0"/>
        <v>Australië-Nederland</v>
      </c>
      <c r="C21" s="405" t="str">
        <f t="shared" ca="1" si="5"/>
        <v>0 - 2</v>
      </c>
      <c r="D21" s="405" t="str">
        <f t="shared" ca="1" si="5"/>
        <v>1 - 2</v>
      </c>
      <c r="E21" s="405" t="str">
        <f t="shared" ca="1" si="5"/>
        <v>1 - 2</v>
      </c>
      <c r="F21" s="405" t="str">
        <f t="shared" ca="1" si="5"/>
        <v>0 - 2</v>
      </c>
      <c r="G21" s="405" t="str">
        <f t="shared" ca="1" si="5"/>
        <v>0 - 2</v>
      </c>
      <c r="H21" s="405" t="str">
        <f t="shared" ca="1" si="5"/>
        <v>1 - 3</v>
      </c>
      <c r="I21" s="405" t="str">
        <f t="shared" ca="1" si="5"/>
        <v>0 - 2</v>
      </c>
      <c r="J21" s="405" t="str">
        <f t="shared" ca="1" si="5"/>
        <v>0 - 2</v>
      </c>
      <c r="K21" s="405" t="str">
        <f t="shared" ca="1" si="5"/>
        <v>1 - 3</v>
      </c>
      <c r="L21" s="405" t="str">
        <f t="shared" ca="1" si="5"/>
        <v>0 - 2</v>
      </c>
      <c r="M21" s="405" t="str">
        <f t="shared" ca="1" si="5"/>
        <v>1 - 1</v>
      </c>
      <c r="N21" s="405" t="str">
        <f t="shared" ca="1" si="6"/>
        <v>1 - 1</v>
      </c>
      <c r="O21" s="405" t="str">
        <f t="shared" ca="1" si="6"/>
        <v>1 - 3</v>
      </c>
      <c r="P21" s="405" t="str">
        <f t="shared" ca="1" si="6"/>
        <v>0 - 3</v>
      </c>
      <c r="Q21" s="405" t="str">
        <f t="shared" ca="1" si="6"/>
        <v>0 - 2</v>
      </c>
      <c r="R21" s="405" t="str">
        <f t="shared" ca="1" si="6"/>
        <v>0 - 1</v>
      </c>
      <c r="S21" s="405" t="str">
        <f t="shared" ca="1" si="6"/>
        <v>0 - 3</v>
      </c>
      <c r="T21" s="405" t="str">
        <f t="shared" ca="1" si="6"/>
        <v>0 - 1</v>
      </c>
      <c r="U21" s="405" t="str">
        <f t="shared" ca="1" si="6"/>
        <v>0 - 2</v>
      </c>
      <c r="V21" s="405" t="str">
        <f t="shared" ca="1" si="6"/>
        <v>0 - 2</v>
      </c>
      <c r="W21" s="405" t="str">
        <f t="shared" ca="1" si="6"/>
        <v>0 - 1</v>
      </c>
      <c r="X21" s="405" t="str">
        <f t="shared" ca="1" si="6"/>
        <v>0 - 3</v>
      </c>
      <c r="Y21" s="405" t="str">
        <f t="shared" ca="1" si="6"/>
        <v>1 - 1</v>
      </c>
      <c r="Z21" s="405" t="str">
        <f t="shared" ca="1" si="6"/>
        <v>1 - 2</v>
      </c>
      <c r="AB21" s="391">
        <f t="shared" ca="1" si="4"/>
        <v>0</v>
      </c>
      <c r="AC21" s="391">
        <f t="shared" ca="1" si="4"/>
        <v>3</v>
      </c>
      <c r="AD21" s="392">
        <f t="shared" ca="1" si="4"/>
        <v>0</v>
      </c>
      <c r="AE21" s="392">
        <f t="shared" ca="1" si="4"/>
        <v>0</v>
      </c>
      <c r="AF21" s="392">
        <f t="shared" ca="1" si="4"/>
        <v>0</v>
      </c>
      <c r="AG21" s="393">
        <f t="shared" ca="1" si="4"/>
        <v>3</v>
      </c>
      <c r="AH21" s="393">
        <f t="shared" ca="1" si="4"/>
        <v>9</v>
      </c>
      <c r="AI21" s="393">
        <f t="shared" ca="1" si="4"/>
        <v>3</v>
      </c>
    </row>
    <row r="22" spans="1:35">
      <c r="A22" s="154">
        <v>21</v>
      </c>
      <c r="B22" s="157" t="str">
        <f t="shared" si="0"/>
        <v>Colombia-Ivoorkust</v>
      </c>
      <c r="C22" s="404" t="str">
        <f t="shared" ref="C22:M31" ca="1" si="7">VLOOKUP($A22,INDIRECT(C$1&amp;loc_voorspell),7,0)&amp;" - "&amp;VLOOKUP($A22,INDIRECT(C$1&amp;loc_voorspell),9,0)</f>
        <v>1 - 0</v>
      </c>
      <c r="D22" s="404" t="str">
        <f t="shared" ca="1" si="7"/>
        <v>1 - 0</v>
      </c>
      <c r="E22" s="404" t="str">
        <f t="shared" ca="1" si="7"/>
        <v>1 - 2</v>
      </c>
      <c r="F22" s="404" t="str">
        <f t="shared" ca="1" si="7"/>
        <v>1 - 0</v>
      </c>
      <c r="G22" s="404" t="str">
        <f t="shared" ca="1" si="7"/>
        <v>2 - 2</v>
      </c>
      <c r="H22" s="404" t="str">
        <f t="shared" ca="1" si="7"/>
        <v>2 - 1</v>
      </c>
      <c r="I22" s="404" t="str">
        <f t="shared" ca="1" si="7"/>
        <v>2 - 0</v>
      </c>
      <c r="J22" s="404" t="str">
        <f t="shared" ca="1" si="7"/>
        <v>2 - 0</v>
      </c>
      <c r="K22" s="404" t="str">
        <f t="shared" ca="1" si="7"/>
        <v>1 - 2</v>
      </c>
      <c r="L22" s="404" t="str">
        <f t="shared" ca="1" si="7"/>
        <v>1 - 2</v>
      </c>
      <c r="M22" s="404" t="str">
        <f t="shared" ca="1" si="7"/>
        <v>1 - 1</v>
      </c>
      <c r="N22" s="404" t="str">
        <f t="shared" ref="N22:Z31" ca="1" si="8">VLOOKUP($A22,INDIRECT(N$1&amp;loc_voorspell),7,0)&amp;" - "&amp;VLOOKUP($A22,INDIRECT(N$1&amp;loc_voorspell),9,0)</f>
        <v>3 - 0</v>
      </c>
      <c r="O22" s="404" t="str">
        <f t="shared" ca="1" si="8"/>
        <v>1 - 3</v>
      </c>
      <c r="P22" s="404" t="str">
        <f t="shared" ca="1" si="8"/>
        <v>1 - 2</v>
      </c>
      <c r="Q22" s="404" t="str">
        <f t="shared" ca="1" si="8"/>
        <v>1 - 1</v>
      </c>
      <c r="R22" s="404" t="str">
        <f t="shared" ca="1" si="8"/>
        <v>1 - 1</v>
      </c>
      <c r="S22" s="404" t="str">
        <f t="shared" ca="1" si="8"/>
        <v>0 - 1</v>
      </c>
      <c r="T22" s="404" t="str">
        <f t="shared" ca="1" si="8"/>
        <v>1 - 0</v>
      </c>
      <c r="U22" s="404" t="str">
        <f t="shared" ca="1" si="8"/>
        <v>2 - 1</v>
      </c>
      <c r="V22" s="404" t="str">
        <f t="shared" ca="1" si="8"/>
        <v>0 - 1</v>
      </c>
      <c r="W22" s="404" t="str">
        <f t="shared" ca="1" si="8"/>
        <v>1 - 0</v>
      </c>
      <c r="X22" s="404" t="str">
        <f t="shared" ca="1" si="8"/>
        <v>1 - 1</v>
      </c>
      <c r="Y22" s="404" t="str">
        <f t="shared" ca="1" si="8"/>
        <v>4 - 1</v>
      </c>
      <c r="Z22" s="404" t="str">
        <f t="shared" ca="1" si="8"/>
        <v>0 - 1</v>
      </c>
      <c r="AB22" s="391">
        <f t="shared" ca="1" si="4"/>
        <v>0</v>
      </c>
      <c r="AC22" s="391">
        <f t="shared" ca="1" si="4"/>
        <v>4</v>
      </c>
      <c r="AD22" s="392">
        <f t="shared" ca="1" si="4"/>
        <v>5</v>
      </c>
      <c r="AE22" s="392">
        <f t="shared" ca="1" si="4"/>
        <v>2</v>
      </c>
      <c r="AF22" s="392">
        <f t="shared" ca="1" si="4"/>
        <v>2</v>
      </c>
      <c r="AG22" s="393">
        <f t="shared" ca="1" si="4"/>
        <v>4</v>
      </c>
      <c r="AH22" s="393">
        <f t="shared" ca="1" si="4"/>
        <v>0</v>
      </c>
      <c r="AI22" s="393">
        <f t="shared" ca="1" si="4"/>
        <v>3</v>
      </c>
    </row>
    <row r="23" spans="1:35">
      <c r="A23" s="154">
        <v>22</v>
      </c>
      <c r="B23" s="158" t="str">
        <f t="shared" si="0"/>
        <v>Japan-Griekenland</v>
      </c>
      <c r="C23" s="405" t="str">
        <f t="shared" ca="1" si="7"/>
        <v>1 - 0</v>
      </c>
      <c r="D23" s="405" t="str">
        <f t="shared" ca="1" si="7"/>
        <v>0 - 0</v>
      </c>
      <c r="E23" s="405" t="str">
        <f t="shared" ca="1" si="7"/>
        <v>2 - 1</v>
      </c>
      <c r="F23" s="405" t="str">
        <f t="shared" ca="1" si="7"/>
        <v>1 - 0</v>
      </c>
      <c r="G23" s="405" t="str">
        <f t="shared" ca="1" si="7"/>
        <v>0 - 1</v>
      </c>
      <c r="H23" s="405" t="str">
        <f t="shared" ca="1" si="7"/>
        <v>0 - 2</v>
      </c>
      <c r="I23" s="405" t="str">
        <f t="shared" ca="1" si="7"/>
        <v>1 - 0</v>
      </c>
      <c r="J23" s="405" t="str">
        <f t="shared" ca="1" si="7"/>
        <v>2 - 1</v>
      </c>
      <c r="K23" s="405" t="str">
        <f t="shared" ca="1" si="7"/>
        <v>0 - 1</v>
      </c>
      <c r="L23" s="405" t="str">
        <f t="shared" ca="1" si="7"/>
        <v>1 - 0</v>
      </c>
      <c r="M23" s="405" t="str">
        <f t="shared" ca="1" si="7"/>
        <v>0 - 1</v>
      </c>
      <c r="N23" s="405" t="str">
        <f t="shared" ca="1" si="8"/>
        <v>1 - 1</v>
      </c>
      <c r="O23" s="405" t="str">
        <f t="shared" ca="1" si="8"/>
        <v>2 - 0</v>
      </c>
      <c r="P23" s="405" t="str">
        <f t="shared" ca="1" si="8"/>
        <v>1 - 0</v>
      </c>
      <c r="Q23" s="405" t="str">
        <f t="shared" ca="1" si="8"/>
        <v>0 - 1</v>
      </c>
      <c r="R23" s="405" t="str">
        <f t="shared" ca="1" si="8"/>
        <v>0 - 2</v>
      </c>
      <c r="S23" s="405" t="str">
        <f t="shared" ca="1" si="8"/>
        <v>1 - 0</v>
      </c>
      <c r="T23" s="405" t="str">
        <f t="shared" ca="1" si="8"/>
        <v>2 - 1</v>
      </c>
      <c r="U23" s="405" t="str">
        <f t="shared" ca="1" si="8"/>
        <v>2 - 1</v>
      </c>
      <c r="V23" s="405" t="str">
        <f t="shared" ca="1" si="8"/>
        <v>2 - 0</v>
      </c>
      <c r="W23" s="405" t="str">
        <f t="shared" ca="1" si="8"/>
        <v>0 - 1</v>
      </c>
      <c r="X23" s="405" t="str">
        <f t="shared" ca="1" si="8"/>
        <v>1 - 1</v>
      </c>
      <c r="Y23" s="405" t="str">
        <f t="shared" ca="1" si="8"/>
        <v>1 - 0</v>
      </c>
      <c r="Z23" s="405" t="str">
        <f t="shared" ca="1" si="8"/>
        <v>3 - 0</v>
      </c>
      <c r="AB23" s="391">
        <f t="shared" ca="1" si="4"/>
        <v>1</v>
      </c>
      <c r="AC23" s="391">
        <f t="shared" ca="1" si="4"/>
        <v>2</v>
      </c>
      <c r="AD23" s="392">
        <f t="shared" ca="1" si="4"/>
        <v>7</v>
      </c>
      <c r="AE23" s="392">
        <f t="shared" ca="1" si="4"/>
        <v>2</v>
      </c>
      <c r="AF23" s="392">
        <f t="shared" ca="1" si="4"/>
        <v>4</v>
      </c>
      <c r="AG23" s="393">
        <f t="shared" ca="1" si="4"/>
        <v>0</v>
      </c>
      <c r="AH23" s="393">
        <f t="shared" ca="1" si="4"/>
        <v>2</v>
      </c>
      <c r="AI23" s="393">
        <f t="shared" ca="1" si="4"/>
        <v>5</v>
      </c>
    </row>
    <row r="24" spans="1:35">
      <c r="A24" s="154">
        <v>23</v>
      </c>
      <c r="B24" s="157" t="str">
        <f t="shared" si="0"/>
        <v>Uruguay-Engeland</v>
      </c>
      <c r="C24" s="404" t="str">
        <f t="shared" ca="1" si="7"/>
        <v>1 - 1</v>
      </c>
      <c r="D24" s="404" t="str">
        <f t="shared" ca="1" si="7"/>
        <v>2 - 1</v>
      </c>
      <c r="E24" s="404" t="str">
        <f t="shared" ca="1" si="7"/>
        <v>2 - 1</v>
      </c>
      <c r="F24" s="404" t="str">
        <f t="shared" ca="1" si="7"/>
        <v>2 - 2</v>
      </c>
      <c r="G24" s="404" t="str">
        <f t="shared" ca="1" si="7"/>
        <v>2 - 1</v>
      </c>
      <c r="H24" s="404" t="str">
        <f t="shared" ca="1" si="7"/>
        <v>2 - 2</v>
      </c>
      <c r="I24" s="404" t="str">
        <f t="shared" ca="1" si="7"/>
        <v>1 - 0</v>
      </c>
      <c r="J24" s="404" t="str">
        <f t="shared" ca="1" si="7"/>
        <v>1 - 1</v>
      </c>
      <c r="K24" s="404" t="str">
        <f t="shared" ca="1" si="7"/>
        <v>0 - 1</v>
      </c>
      <c r="L24" s="404" t="str">
        <f t="shared" ca="1" si="7"/>
        <v>1 - 0</v>
      </c>
      <c r="M24" s="404" t="str">
        <f t="shared" ca="1" si="7"/>
        <v>1 - 0</v>
      </c>
      <c r="N24" s="404" t="str">
        <f t="shared" ca="1" si="8"/>
        <v>1 - 1</v>
      </c>
      <c r="O24" s="404" t="str">
        <f t="shared" ca="1" si="8"/>
        <v>2 - 0</v>
      </c>
      <c r="P24" s="404" t="str">
        <f t="shared" ca="1" si="8"/>
        <v>1 - 0</v>
      </c>
      <c r="Q24" s="404" t="str">
        <f t="shared" ca="1" si="8"/>
        <v>1 - 3</v>
      </c>
      <c r="R24" s="404" t="str">
        <f t="shared" ca="1" si="8"/>
        <v>0 - 0</v>
      </c>
      <c r="S24" s="404" t="str">
        <f t="shared" ca="1" si="8"/>
        <v>0 - 2</v>
      </c>
      <c r="T24" s="404" t="str">
        <f t="shared" ca="1" si="8"/>
        <v>2 - 0</v>
      </c>
      <c r="U24" s="404" t="str">
        <f t="shared" ca="1" si="8"/>
        <v>1 - 1</v>
      </c>
      <c r="V24" s="404" t="str">
        <f t="shared" ca="1" si="8"/>
        <v>1 - 0</v>
      </c>
      <c r="W24" s="404" t="str">
        <f t="shared" ca="1" si="8"/>
        <v>1 - 0</v>
      </c>
      <c r="X24" s="404" t="str">
        <f t="shared" ca="1" si="8"/>
        <v>0 - 0</v>
      </c>
      <c r="Y24" s="404" t="str">
        <f t="shared" ca="1" si="8"/>
        <v>3 - 0</v>
      </c>
      <c r="Z24" s="404" t="str">
        <f t="shared" ca="1" si="8"/>
        <v>0 - 2</v>
      </c>
      <c r="AB24" s="391">
        <f t="shared" ca="1" si="4"/>
        <v>2</v>
      </c>
      <c r="AC24" s="391">
        <f t="shared" ca="1" si="4"/>
        <v>4</v>
      </c>
      <c r="AD24" s="392">
        <f t="shared" ca="1" si="4"/>
        <v>6</v>
      </c>
      <c r="AE24" s="392">
        <f t="shared" ca="1" si="4"/>
        <v>2</v>
      </c>
      <c r="AF24" s="392">
        <f t="shared" ca="1" si="4"/>
        <v>3</v>
      </c>
      <c r="AG24" s="393">
        <f t="shared" ca="1" si="4"/>
        <v>0</v>
      </c>
      <c r="AH24" s="393">
        <f t="shared" ca="1" si="4"/>
        <v>2</v>
      </c>
      <c r="AI24" s="393">
        <f t="shared" ca="1" si="4"/>
        <v>1</v>
      </c>
    </row>
    <row r="25" spans="1:35">
      <c r="A25" s="154">
        <v>24</v>
      </c>
      <c r="B25" s="158" t="str">
        <f t="shared" si="0"/>
        <v>Italië-Costa Rica</v>
      </c>
      <c r="C25" s="405" t="str">
        <f t="shared" ca="1" si="7"/>
        <v>1 - 0</v>
      </c>
      <c r="D25" s="405" t="str">
        <f t="shared" ca="1" si="7"/>
        <v>2 - 0</v>
      </c>
      <c r="E25" s="405" t="str">
        <f t="shared" ca="1" si="7"/>
        <v>2 - 1</v>
      </c>
      <c r="F25" s="405" t="str">
        <f t="shared" ca="1" si="7"/>
        <v>2 - 0</v>
      </c>
      <c r="G25" s="405" t="str">
        <f t="shared" ca="1" si="7"/>
        <v>2 - 0</v>
      </c>
      <c r="H25" s="405" t="str">
        <f t="shared" ca="1" si="7"/>
        <v>2 - 0</v>
      </c>
      <c r="I25" s="405" t="str">
        <f t="shared" ca="1" si="7"/>
        <v>1 - 1</v>
      </c>
      <c r="J25" s="405" t="str">
        <f t="shared" ca="1" si="7"/>
        <v>1 - 0</v>
      </c>
      <c r="K25" s="405" t="str">
        <f t="shared" ca="1" si="7"/>
        <v>2 - 0</v>
      </c>
      <c r="L25" s="405" t="str">
        <f t="shared" ca="1" si="7"/>
        <v>1 - 0</v>
      </c>
      <c r="M25" s="405" t="str">
        <f t="shared" ca="1" si="7"/>
        <v>1 - 0</v>
      </c>
      <c r="N25" s="405" t="str">
        <f t="shared" ca="1" si="8"/>
        <v>2 - 0</v>
      </c>
      <c r="O25" s="405" t="str">
        <f t="shared" ca="1" si="8"/>
        <v>2 - 0</v>
      </c>
      <c r="P25" s="405" t="str">
        <f t="shared" ca="1" si="8"/>
        <v>2 - 0</v>
      </c>
      <c r="Q25" s="405" t="str">
        <f t="shared" ca="1" si="8"/>
        <v>2 - 0</v>
      </c>
      <c r="R25" s="405" t="str">
        <f t="shared" ca="1" si="8"/>
        <v>2 - 0</v>
      </c>
      <c r="S25" s="405" t="str">
        <f t="shared" ca="1" si="8"/>
        <v>2 - 0</v>
      </c>
      <c r="T25" s="405" t="str">
        <f t="shared" ca="1" si="8"/>
        <v>2 - 0</v>
      </c>
      <c r="U25" s="405" t="str">
        <f t="shared" ca="1" si="8"/>
        <v>3 - 0</v>
      </c>
      <c r="V25" s="405" t="str">
        <f t="shared" ca="1" si="8"/>
        <v>1 - 0</v>
      </c>
      <c r="W25" s="405" t="str">
        <f t="shared" ca="1" si="8"/>
        <v>1 - 0</v>
      </c>
      <c r="X25" s="405" t="str">
        <f t="shared" ca="1" si="8"/>
        <v>2 - 0</v>
      </c>
      <c r="Y25" s="405" t="str">
        <f t="shared" ca="1" si="8"/>
        <v>4 - 0</v>
      </c>
      <c r="Z25" s="405" t="str">
        <f t="shared" ca="1" si="8"/>
        <v>1 - 0</v>
      </c>
      <c r="AB25" s="391">
        <f t="shared" ca="1" si="4"/>
        <v>0</v>
      </c>
      <c r="AC25" s="391">
        <f t="shared" ca="1" si="4"/>
        <v>1</v>
      </c>
      <c r="AD25" s="392">
        <f t="shared" ca="1" si="4"/>
        <v>7</v>
      </c>
      <c r="AE25" s="392">
        <f t="shared" ca="1" si="4"/>
        <v>13</v>
      </c>
      <c r="AF25" s="392">
        <f t="shared" ca="1" si="4"/>
        <v>1</v>
      </c>
      <c r="AG25" s="393">
        <f t="shared" ca="1" si="4"/>
        <v>0</v>
      </c>
      <c r="AH25" s="393">
        <f t="shared" ca="1" si="4"/>
        <v>0</v>
      </c>
      <c r="AI25" s="393">
        <f t="shared" ca="1" si="4"/>
        <v>0</v>
      </c>
    </row>
    <row r="26" spans="1:35">
      <c r="A26" s="154">
        <v>25</v>
      </c>
      <c r="B26" s="157" t="str">
        <f t="shared" si="0"/>
        <v>Zwitserland-Frankrijk</v>
      </c>
      <c r="C26" s="404" t="str">
        <f t="shared" ca="1" si="7"/>
        <v>0 - 1</v>
      </c>
      <c r="D26" s="404" t="str">
        <f t="shared" ca="1" si="7"/>
        <v>0 - 2</v>
      </c>
      <c r="E26" s="404" t="str">
        <f t="shared" ca="1" si="7"/>
        <v>1 - 2</v>
      </c>
      <c r="F26" s="404" t="str">
        <f t="shared" ca="1" si="7"/>
        <v>0 - 0</v>
      </c>
      <c r="G26" s="404" t="str">
        <f t="shared" ca="1" si="7"/>
        <v>0 - 2</v>
      </c>
      <c r="H26" s="404" t="str">
        <f t="shared" ca="1" si="7"/>
        <v>2 - 1</v>
      </c>
      <c r="I26" s="404" t="str">
        <f t="shared" ca="1" si="7"/>
        <v>1 - 2</v>
      </c>
      <c r="J26" s="404" t="str">
        <f t="shared" ca="1" si="7"/>
        <v>1 - 1</v>
      </c>
      <c r="K26" s="404" t="str">
        <f t="shared" ca="1" si="7"/>
        <v>2 - 2</v>
      </c>
      <c r="L26" s="404" t="str">
        <f t="shared" ca="1" si="7"/>
        <v>1 - 1</v>
      </c>
      <c r="M26" s="404" t="str">
        <f t="shared" ca="1" si="7"/>
        <v>1 - 2</v>
      </c>
      <c r="N26" s="404" t="str">
        <f t="shared" ca="1" si="8"/>
        <v>1 - 1</v>
      </c>
      <c r="O26" s="404" t="str">
        <f t="shared" ca="1" si="8"/>
        <v>0 - 3</v>
      </c>
      <c r="P26" s="404" t="str">
        <f t="shared" ca="1" si="8"/>
        <v>1 - 2</v>
      </c>
      <c r="Q26" s="404" t="str">
        <f t="shared" ca="1" si="8"/>
        <v>0 - 2</v>
      </c>
      <c r="R26" s="404" t="str">
        <f t="shared" ca="1" si="8"/>
        <v>0 - 2</v>
      </c>
      <c r="S26" s="404" t="str">
        <f t="shared" ca="1" si="8"/>
        <v>2 - 2</v>
      </c>
      <c r="T26" s="404" t="str">
        <f t="shared" ca="1" si="8"/>
        <v>0 - 1</v>
      </c>
      <c r="U26" s="404" t="str">
        <f t="shared" ca="1" si="8"/>
        <v>2 - 1</v>
      </c>
      <c r="V26" s="404" t="str">
        <f t="shared" ca="1" si="8"/>
        <v>1 - 0</v>
      </c>
      <c r="W26" s="404" t="str">
        <f t="shared" ca="1" si="8"/>
        <v>1 - 0</v>
      </c>
      <c r="X26" s="404" t="str">
        <f t="shared" ca="1" si="8"/>
        <v>1 - 1</v>
      </c>
      <c r="Y26" s="404" t="str">
        <f t="shared" ca="1" si="8"/>
        <v>0 - 3</v>
      </c>
      <c r="Z26" s="404" t="str">
        <f t="shared" ca="1" si="8"/>
        <v>1 - 1</v>
      </c>
      <c r="AB26" s="391">
        <f t="shared" ca="1" si="4"/>
        <v>1</v>
      </c>
      <c r="AC26" s="391">
        <f t="shared" ca="1" si="4"/>
        <v>5</v>
      </c>
      <c r="AD26" s="392">
        <f t="shared" ca="1" si="4"/>
        <v>2</v>
      </c>
      <c r="AE26" s="392">
        <f t="shared" ca="1" si="4"/>
        <v>0</v>
      </c>
      <c r="AF26" s="392">
        <f t="shared" ca="1" si="4"/>
        <v>2</v>
      </c>
      <c r="AG26" s="393">
        <f t="shared" ca="1" si="4"/>
        <v>4</v>
      </c>
      <c r="AH26" s="393">
        <f t="shared" ca="1" si="4"/>
        <v>4</v>
      </c>
      <c r="AI26" s="393">
        <f t="shared" ca="1" si="4"/>
        <v>2</v>
      </c>
    </row>
    <row r="27" spans="1:35">
      <c r="A27" s="154">
        <v>26</v>
      </c>
      <c r="B27" s="158" t="str">
        <f t="shared" si="0"/>
        <v>Honduras-Ecuador</v>
      </c>
      <c r="C27" s="405" t="str">
        <f t="shared" ca="1" si="7"/>
        <v>0 - 1</v>
      </c>
      <c r="D27" s="405" t="str">
        <f t="shared" ca="1" si="7"/>
        <v>1 - 2</v>
      </c>
      <c r="E27" s="405" t="str">
        <f t="shared" ca="1" si="7"/>
        <v>1 - 2</v>
      </c>
      <c r="F27" s="405" t="str">
        <f t="shared" ca="1" si="7"/>
        <v>0 - 1</v>
      </c>
      <c r="G27" s="405" t="str">
        <f t="shared" ca="1" si="7"/>
        <v>1 - 3</v>
      </c>
      <c r="H27" s="405" t="str">
        <f t="shared" ca="1" si="7"/>
        <v>1 - 1</v>
      </c>
      <c r="I27" s="405" t="str">
        <f t="shared" ca="1" si="7"/>
        <v>0 - 2</v>
      </c>
      <c r="J27" s="405" t="str">
        <f t="shared" ca="1" si="7"/>
        <v>2 - 2</v>
      </c>
      <c r="K27" s="405" t="str">
        <f t="shared" ca="1" si="7"/>
        <v>0 - 2</v>
      </c>
      <c r="L27" s="405" t="str">
        <f t="shared" ca="1" si="7"/>
        <v>0 - 2</v>
      </c>
      <c r="M27" s="405" t="str">
        <f t="shared" ca="1" si="7"/>
        <v>0 - 1</v>
      </c>
      <c r="N27" s="405" t="str">
        <f t="shared" ca="1" si="8"/>
        <v>1 - 2</v>
      </c>
      <c r="O27" s="405" t="str">
        <f t="shared" ca="1" si="8"/>
        <v>0 - 2</v>
      </c>
      <c r="P27" s="405" t="str">
        <f t="shared" ca="1" si="8"/>
        <v>1 - 0</v>
      </c>
      <c r="Q27" s="405" t="str">
        <f t="shared" ca="1" si="8"/>
        <v>2 - 2</v>
      </c>
      <c r="R27" s="405" t="str">
        <f t="shared" ca="1" si="8"/>
        <v>1 - 1</v>
      </c>
      <c r="S27" s="405" t="str">
        <f t="shared" ca="1" si="8"/>
        <v>1 - 0</v>
      </c>
      <c r="T27" s="405" t="str">
        <f t="shared" ca="1" si="8"/>
        <v>1 - 2</v>
      </c>
      <c r="U27" s="405" t="str">
        <f t="shared" ca="1" si="8"/>
        <v>0 - 2</v>
      </c>
      <c r="V27" s="405" t="str">
        <f t="shared" ca="1" si="8"/>
        <v>2 - 2</v>
      </c>
      <c r="W27" s="405" t="str">
        <f t="shared" ca="1" si="8"/>
        <v>0 - 1</v>
      </c>
      <c r="X27" s="405" t="str">
        <f t="shared" ca="1" si="8"/>
        <v>1 - 0</v>
      </c>
      <c r="Y27" s="405" t="str">
        <f t="shared" ca="1" si="8"/>
        <v>3 - 3</v>
      </c>
      <c r="Z27" s="405" t="str">
        <f t="shared" ca="1" si="8"/>
        <v>0 - 2</v>
      </c>
      <c r="AB27" s="391">
        <f t="shared" ca="1" si="4"/>
        <v>0</v>
      </c>
      <c r="AC27" s="391">
        <f t="shared" ca="1" si="4"/>
        <v>2</v>
      </c>
      <c r="AD27" s="392">
        <f t="shared" ca="1" si="4"/>
        <v>3</v>
      </c>
      <c r="AE27" s="392">
        <f t="shared" ca="1" si="4"/>
        <v>0</v>
      </c>
      <c r="AF27" s="392">
        <f t="shared" ca="1" si="4"/>
        <v>0</v>
      </c>
      <c r="AG27" s="393">
        <f t="shared" ca="1" si="4"/>
        <v>4</v>
      </c>
      <c r="AH27" s="393">
        <f t="shared" ca="1" si="4"/>
        <v>6</v>
      </c>
      <c r="AI27" s="393">
        <f t="shared" ca="1" si="4"/>
        <v>4</v>
      </c>
    </row>
    <row r="28" spans="1:35">
      <c r="A28" s="154">
        <v>27</v>
      </c>
      <c r="B28" s="157" t="str">
        <f t="shared" si="0"/>
        <v>Argentinië-Iran</v>
      </c>
      <c r="C28" s="404" t="str">
        <f t="shared" ca="1" si="7"/>
        <v>2 - 0</v>
      </c>
      <c r="D28" s="404" t="str">
        <f t="shared" ca="1" si="7"/>
        <v>3 - 0</v>
      </c>
      <c r="E28" s="404" t="str">
        <f t="shared" ca="1" si="7"/>
        <v>2 - 1</v>
      </c>
      <c r="F28" s="404" t="str">
        <f t="shared" ca="1" si="7"/>
        <v>4 - 0</v>
      </c>
      <c r="G28" s="404" t="str">
        <f t="shared" ca="1" si="7"/>
        <v>3 - 1</v>
      </c>
      <c r="H28" s="404" t="str">
        <f t="shared" ca="1" si="7"/>
        <v>2 - 0</v>
      </c>
      <c r="I28" s="404" t="str">
        <f t="shared" ca="1" si="7"/>
        <v>3 - 0</v>
      </c>
      <c r="J28" s="404" t="str">
        <f t="shared" ca="1" si="7"/>
        <v>3 - 1</v>
      </c>
      <c r="K28" s="404" t="str">
        <f t="shared" ca="1" si="7"/>
        <v>0 - 0</v>
      </c>
      <c r="L28" s="404" t="str">
        <f t="shared" ca="1" si="7"/>
        <v>4 - 0</v>
      </c>
      <c r="M28" s="404" t="str">
        <f t="shared" ca="1" si="7"/>
        <v>2 - 0</v>
      </c>
      <c r="N28" s="404" t="str">
        <f t="shared" ca="1" si="8"/>
        <v>3 - 0</v>
      </c>
      <c r="O28" s="404" t="str">
        <f t="shared" ca="1" si="8"/>
        <v>4 - 0</v>
      </c>
      <c r="P28" s="404" t="str">
        <f t="shared" ca="1" si="8"/>
        <v>2 - 0</v>
      </c>
      <c r="Q28" s="404" t="str">
        <f t="shared" ca="1" si="8"/>
        <v>2 - 0</v>
      </c>
      <c r="R28" s="404" t="str">
        <f t="shared" ca="1" si="8"/>
        <v>3 - 0</v>
      </c>
      <c r="S28" s="404" t="str">
        <f t="shared" ca="1" si="8"/>
        <v>5 - 0</v>
      </c>
      <c r="T28" s="404" t="str">
        <f t="shared" ca="1" si="8"/>
        <v>2 - 0</v>
      </c>
      <c r="U28" s="404" t="str">
        <f t="shared" ca="1" si="8"/>
        <v>4 - 0</v>
      </c>
      <c r="V28" s="404" t="str">
        <f t="shared" ca="1" si="8"/>
        <v>4 - 0</v>
      </c>
      <c r="W28" s="404" t="str">
        <f t="shared" ca="1" si="8"/>
        <v>1 - 0</v>
      </c>
      <c r="X28" s="404" t="str">
        <f t="shared" ca="1" si="8"/>
        <v>2 - 1</v>
      </c>
      <c r="Y28" s="404" t="str">
        <f t="shared" ca="1" si="8"/>
        <v>4 - 0</v>
      </c>
      <c r="Z28" s="404" t="str">
        <f t="shared" ca="1" si="8"/>
        <v>5 - 0</v>
      </c>
      <c r="AB28" s="391">
        <f t="shared" ca="1" si="4"/>
        <v>1</v>
      </c>
      <c r="AC28" s="391">
        <f t="shared" ca="1" si="4"/>
        <v>0</v>
      </c>
      <c r="AD28" s="392">
        <f t="shared" ca="1" si="4"/>
        <v>1</v>
      </c>
      <c r="AE28" s="392">
        <f t="shared" ca="1" si="4"/>
        <v>6</v>
      </c>
      <c r="AF28" s="392">
        <f t="shared" ca="1" si="4"/>
        <v>2</v>
      </c>
      <c r="AG28" s="393">
        <f t="shared" ca="1" si="4"/>
        <v>0</v>
      </c>
      <c r="AH28" s="393">
        <f t="shared" ca="1" si="4"/>
        <v>0</v>
      </c>
      <c r="AI28" s="393">
        <f t="shared" ca="1" si="4"/>
        <v>0</v>
      </c>
    </row>
    <row r="29" spans="1:35">
      <c r="A29" s="154">
        <v>28</v>
      </c>
      <c r="B29" s="158" t="str">
        <f t="shared" si="0"/>
        <v>Nigeria-Bosnië-Herzegovina</v>
      </c>
      <c r="C29" s="405" t="str">
        <f t="shared" ca="1" si="7"/>
        <v>1 - 1</v>
      </c>
      <c r="D29" s="405" t="str">
        <f t="shared" ca="1" si="7"/>
        <v>0 - 2</v>
      </c>
      <c r="E29" s="405" t="str">
        <f t="shared" ca="1" si="7"/>
        <v>1 - 2</v>
      </c>
      <c r="F29" s="405" t="str">
        <f t="shared" ca="1" si="7"/>
        <v>1 - 0</v>
      </c>
      <c r="G29" s="405" t="str">
        <f t="shared" ca="1" si="7"/>
        <v>2 - 2</v>
      </c>
      <c r="H29" s="405" t="str">
        <f t="shared" ca="1" si="7"/>
        <v>1 - 2</v>
      </c>
      <c r="I29" s="405" t="str">
        <f t="shared" ca="1" si="7"/>
        <v>1 - 1</v>
      </c>
      <c r="J29" s="405" t="str">
        <f t="shared" ca="1" si="7"/>
        <v>0 - 2</v>
      </c>
      <c r="K29" s="405" t="str">
        <f t="shared" ca="1" si="7"/>
        <v>0 - 1</v>
      </c>
      <c r="L29" s="405" t="str">
        <f t="shared" ca="1" si="7"/>
        <v>2 - 2</v>
      </c>
      <c r="M29" s="405" t="str">
        <f t="shared" ca="1" si="7"/>
        <v>0 - 1</v>
      </c>
      <c r="N29" s="405" t="str">
        <f t="shared" ca="1" si="8"/>
        <v>1 - 1</v>
      </c>
      <c r="O29" s="405" t="str">
        <f t="shared" ca="1" si="8"/>
        <v>1 - 0</v>
      </c>
      <c r="P29" s="405" t="str">
        <f t="shared" ca="1" si="8"/>
        <v>1 - 2</v>
      </c>
      <c r="Q29" s="405" t="str">
        <f t="shared" ca="1" si="8"/>
        <v>1 - 1</v>
      </c>
      <c r="R29" s="405" t="str">
        <f t="shared" ca="1" si="8"/>
        <v>1 - 1</v>
      </c>
      <c r="S29" s="405" t="str">
        <f t="shared" ca="1" si="8"/>
        <v>1 - 1</v>
      </c>
      <c r="T29" s="405" t="str">
        <f t="shared" ca="1" si="8"/>
        <v>1 - 2</v>
      </c>
      <c r="U29" s="405" t="str">
        <f t="shared" ca="1" si="8"/>
        <v>1 - 2</v>
      </c>
      <c r="V29" s="405" t="str">
        <f t="shared" ca="1" si="8"/>
        <v>0 - 1</v>
      </c>
      <c r="W29" s="405" t="str">
        <f t="shared" ca="1" si="8"/>
        <v>0 - 1</v>
      </c>
      <c r="X29" s="405" t="str">
        <f t="shared" ca="1" si="8"/>
        <v>1 - 1</v>
      </c>
      <c r="Y29" s="405" t="str">
        <f t="shared" ca="1" si="8"/>
        <v>3 - 4</v>
      </c>
      <c r="Z29" s="405" t="str">
        <f t="shared" ca="1" si="8"/>
        <v>1 - 0</v>
      </c>
      <c r="AB29" s="391">
        <f t="shared" ca="1" si="4"/>
        <v>0</v>
      </c>
      <c r="AC29" s="391">
        <f t="shared" ca="1" si="4"/>
        <v>7</v>
      </c>
      <c r="AD29" s="392">
        <f t="shared" ca="1" si="4"/>
        <v>3</v>
      </c>
      <c r="AE29" s="392">
        <f t="shared" ca="1" si="4"/>
        <v>0</v>
      </c>
      <c r="AF29" s="392">
        <f t="shared" ca="1" si="4"/>
        <v>0</v>
      </c>
      <c r="AG29" s="393">
        <f t="shared" ca="1" si="4"/>
        <v>5</v>
      </c>
      <c r="AH29" s="393">
        <f t="shared" ca="1" si="4"/>
        <v>2</v>
      </c>
      <c r="AI29" s="393">
        <f t="shared" ca="1" si="4"/>
        <v>4</v>
      </c>
    </row>
    <row r="30" spans="1:35">
      <c r="A30" s="154">
        <v>29</v>
      </c>
      <c r="B30" s="157" t="str">
        <f t="shared" si="0"/>
        <v>Duitsland-Ghana</v>
      </c>
      <c r="C30" s="404" t="str">
        <f t="shared" ca="1" si="7"/>
        <v>2 - 1</v>
      </c>
      <c r="D30" s="404" t="str">
        <f t="shared" ca="1" si="7"/>
        <v>2 - 0</v>
      </c>
      <c r="E30" s="404" t="str">
        <f t="shared" ca="1" si="7"/>
        <v>2 - 1</v>
      </c>
      <c r="F30" s="404" t="str">
        <f t="shared" ca="1" si="7"/>
        <v>2 - 0</v>
      </c>
      <c r="G30" s="404" t="str">
        <f t="shared" ca="1" si="7"/>
        <v>3 - 1</v>
      </c>
      <c r="H30" s="404" t="str">
        <f t="shared" ca="1" si="7"/>
        <v>3 - 0</v>
      </c>
      <c r="I30" s="404" t="str">
        <f t="shared" ca="1" si="7"/>
        <v>2 - 0</v>
      </c>
      <c r="J30" s="404" t="str">
        <f t="shared" ca="1" si="7"/>
        <v>2 - 1</v>
      </c>
      <c r="K30" s="404" t="str">
        <f t="shared" ca="1" si="7"/>
        <v>3 - 0</v>
      </c>
      <c r="L30" s="404" t="str">
        <f t="shared" ca="1" si="7"/>
        <v>2 - 0</v>
      </c>
      <c r="M30" s="404" t="str">
        <f t="shared" ca="1" si="7"/>
        <v>2 - 0</v>
      </c>
      <c r="N30" s="404" t="str">
        <f t="shared" ca="1" si="8"/>
        <v>2 - 0</v>
      </c>
      <c r="O30" s="404" t="str">
        <f t="shared" ca="1" si="8"/>
        <v>2 - 0</v>
      </c>
      <c r="P30" s="404" t="str">
        <f t="shared" ca="1" si="8"/>
        <v>2 - 0</v>
      </c>
      <c r="Q30" s="404" t="str">
        <f t="shared" ca="1" si="8"/>
        <v>2 - 0</v>
      </c>
      <c r="R30" s="404" t="str">
        <f t="shared" ca="1" si="8"/>
        <v>2 - 0</v>
      </c>
      <c r="S30" s="404" t="str">
        <f t="shared" ca="1" si="8"/>
        <v>2 - 1</v>
      </c>
      <c r="T30" s="404" t="str">
        <f t="shared" ca="1" si="8"/>
        <v>2 - 0</v>
      </c>
      <c r="U30" s="404" t="str">
        <f t="shared" ca="1" si="8"/>
        <v>2 - 0</v>
      </c>
      <c r="V30" s="404" t="str">
        <f t="shared" ca="1" si="8"/>
        <v>2 - 0</v>
      </c>
      <c r="W30" s="404" t="str">
        <f t="shared" ca="1" si="8"/>
        <v>1 - 0</v>
      </c>
      <c r="X30" s="404" t="str">
        <f t="shared" ca="1" si="8"/>
        <v>1 - 0</v>
      </c>
      <c r="Y30" s="404" t="str">
        <f t="shared" ca="1" si="8"/>
        <v>3 - 1</v>
      </c>
      <c r="Z30" s="404" t="str">
        <f t="shared" ca="1" si="8"/>
        <v>2 - 2</v>
      </c>
      <c r="AB30" s="391">
        <f t="shared" ca="1" si="4"/>
        <v>0</v>
      </c>
      <c r="AC30" s="391">
        <f t="shared" ca="1" si="4"/>
        <v>0</v>
      </c>
      <c r="AD30" s="392">
        <f t="shared" ca="1" si="4"/>
        <v>2</v>
      </c>
      <c r="AE30" s="392">
        <f t="shared" ca="1" si="4"/>
        <v>13</v>
      </c>
      <c r="AF30" s="392">
        <f t="shared" ca="1" si="4"/>
        <v>4</v>
      </c>
      <c r="AG30" s="393">
        <f t="shared" ca="1" si="4"/>
        <v>0</v>
      </c>
      <c r="AH30" s="393">
        <f t="shared" ca="1" si="4"/>
        <v>0</v>
      </c>
      <c r="AI30" s="393">
        <f t="shared" ca="1" si="4"/>
        <v>0</v>
      </c>
    </row>
    <row r="31" spans="1:35">
      <c r="A31" s="154">
        <v>30</v>
      </c>
      <c r="B31" s="158" t="str">
        <f t="shared" si="0"/>
        <v>USA-Portugal</v>
      </c>
      <c r="C31" s="405" t="str">
        <f t="shared" ca="1" si="7"/>
        <v>0 - 1</v>
      </c>
      <c r="D31" s="405" t="str">
        <f t="shared" ca="1" si="7"/>
        <v>0 - 2</v>
      </c>
      <c r="E31" s="405" t="str">
        <f t="shared" ca="1" si="7"/>
        <v>1 - 2</v>
      </c>
      <c r="F31" s="405" t="str">
        <f t="shared" ca="1" si="7"/>
        <v>1 - 1</v>
      </c>
      <c r="G31" s="405" t="str">
        <f t="shared" ca="1" si="7"/>
        <v>2 - 2</v>
      </c>
      <c r="H31" s="405" t="str">
        <f t="shared" ca="1" si="7"/>
        <v>1 - 2</v>
      </c>
      <c r="I31" s="405" t="str">
        <f t="shared" ca="1" si="7"/>
        <v>0 - 1</v>
      </c>
      <c r="J31" s="405" t="str">
        <f t="shared" ca="1" si="7"/>
        <v>0 - 1</v>
      </c>
      <c r="K31" s="405" t="str">
        <f t="shared" ca="1" si="7"/>
        <v>3 - 1</v>
      </c>
      <c r="L31" s="405" t="str">
        <f t="shared" ca="1" si="7"/>
        <v>1 - 2</v>
      </c>
      <c r="M31" s="405" t="str">
        <f t="shared" ca="1" si="7"/>
        <v>0 - 0</v>
      </c>
      <c r="N31" s="405" t="str">
        <f t="shared" ca="1" si="8"/>
        <v>0 - 3</v>
      </c>
      <c r="O31" s="405" t="str">
        <f t="shared" ca="1" si="8"/>
        <v>3 - 2</v>
      </c>
      <c r="P31" s="405" t="str">
        <f t="shared" ca="1" si="8"/>
        <v>0 - 3</v>
      </c>
      <c r="Q31" s="405" t="str">
        <f t="shared" ca="1" si="8"/>
        <v>1 - 2</v>
      </c>
      <c r="R31" s="405" t="str">
        <f t="shared" ca="1" si="8"/>
        <v>1 - 1</v>
      </c>
      <c r="S31" s="405" t="str">
        <f t="shared" ca="1" si="8"/>
        <v>0 - 3</v>
      </c>
      <c r="T31" s="405" t="str">
        <f t="shared" ca="1" si="8"/>
        <v>0 - 1</v>
      </c>
      <c r="U31" s="405" t="str">
        <f t="shared" ca="1" si="8"/>
        <v>0 - 3</v>
      </c>
      <c r="V31" s="405" t="str">
        <f t="shared" ca="1" si="8"/>
        <v>1 - 1</v>
      </c>
      <c r="W31" s="405" t="str">
        <f t="shared" ca="1" si="8"/>
        <v>0 - 1</v>
      </c>
      <c r="X31" s="405" t="str">
        <f t="shared" ca="1" si="8"/>
        <v>1 - 2</v>
      </c>
      <c r="Y31" s="405" t="str">
        <f t="shared" ca="1" si="8"/>
        <v>2 - 4</v>
      </c>
      <c r="Z31" s="405" t="str">
        <f t="shared" ca="1" si="8"/>
        <v>0 - 1</v>
      </c>
      <c r="AB31" s="391">
        <f t="shared" ca="1" si="4"/>
        <v>1</v>
      </c>
      <c r="AC31" s="391">
        <f t="shared" ca="1" si="4"/>
        <v>3</v>
      </c>
      <c r="AD31" s="392">
        <f t="shared" ca="1" si="4"/>
        <v>0</v>
      </c>
      <c r="AE31" s="392">
        <f t="shared" ca="1" si="4"/>
        <v>0</v>
      </c>
      <c r="AF31" s="392">
        <f t="shared" ca="1" si="4"/>
        <v>0</v>
      </c>
      <c r="AG31" s="393">
        <f t="shared" ca="1" si="4"/>
        <v>5</v>
      </c>
      <c r="AH31" s="393">
        <f t="shared" ca="1" si="4"/>
        <v>1</v>
      </c>
      <c r="AI31" s="393">
        <f t="shared" ca="1" si="4"/>
        <v>6</v>
      </c>
    </row>
    <row r="32" spans="1:35">
      <c r="A32" s="154">
        <v>31</v>
      </c>
      <c r="B32" s="157" t="str">
        <f t="shared" si="0"/>
        <v>België-Rusland</v>
      </c>
      <c r="C32" s="404" t="str">
        <f t="shared" ref="C32:M41" ca="1" si="9">VLOOKUP($A32,INDIRECT(C$1&amp;loc_voorspell),7,0)&amp;" - "&amp;VLOOKUP($A32,INDIRECT(C$1&amp;loc_voorspell),9,0)</f>
        <v>1 - 1</v>
      </c>
      <c r="D32" s="404" t="str">
        <f t="shared" ca="1" si="9"/>
        <v>1 - 1</v>
      </c>
      <c r="E32" s="404" t="str">
        <f t="shared" ca="1" si="9"/>
        <v>2 - 1</v>
      </c>
      <c r="F32" s="404" t="str">
        <f t="shared" ca="1" si="9"/>
        <v>0 - 1</v>
      </c>
      <c r="G32" s="404" t="str">
        <f t="shared" ca="1" si="9"/>
        <v>2 - 2</v>
      </c>
      <c r="H32" s="404" t="str">
        <f t="shared" ca="1" si="9"/>
        <v>2 - 1</v>
      </c>
      <c r="I32" s="404" t="str">
        <f t="shared" ca="1" si="9"/>
        <v>2 - 0</v>
      </c>
      <c r="J32" s="404" t="str">
        <f t="shared" ca="1" si="9"/>
        <v>1 - 1</v>
      </c>
      <c r="K32" s="404" t="str">
        <f t="shared" ca="1" si="9"/>
        <v>2 - 0</v>
      </c>
      <c r="L32" s="404" t="str">
        <f t="shared" ca="1" si="9"/>
        <v>0 - 0</v>
      </c>
      <c r="M32" s="404" t="str">
        <f t="shared" ca="1" si="9"/>
        <v>1 - 1</v>
      </c>
      <c r="N32" s="404" t="str">
        <f t="shared" ref="N32:Z41" ca="1" si="10">VLOOKUP($A32,INDIRECT(N$1&amp;loc_voorspell),7,0)&amp;" - "&amp;VLOOKUP($A32,INDIRECT(N$1&amp;loc_voorspell),9,0)</f>
        <v>1 - 0</v>
      </c>
      <c r="O32" s="404" t="str">
        <f t="shared" ca="1" si="10"/>
        <v>0 - 2</v>
      </c>
      <c r="P32" s="404" t="str">
        <f t="shared" ca="1" si="10"/>
        <v>2 - 0</v>
      </c>
      <c r="Q32" s="404" t="str">
        <f t="shared" ca="1" si="10"/>
        <v>0 - 1</v>
      </c>
      <c r="R32" s="404" t="str">
        <f t="shared" ca="1" si="10"/>
        <v>0 - 2</v>
      </c>
      <c r="S32" s="404" t="str">
        <f t="shared" ca="1" si="10"/>
        <v>1 - 0</v>
      </c>
      <c r="T32" s="404" t="str">
        <f t="shared" ca="1" si="10"/>
        <v>1 - 1</v>
      </c>
      <c r="U32" s="404" t="str">
        <f t="shared" ca="1" si="10"/>
        <v>2 - 1</v>
      </c>
      <c r="V32" s="404" t="str">
        <f t="shared" ca="1" si="10"/>
        <v>0 - 0</v>
      </c>
      <c r="W32" s="404" t="str">
        <f t="shared" ca="1" si="10"/>
        <v>1 - 0</v>
      </c>
      <c r="X32" s="404" t="str">
        <f t="shared" ca="1" si="10"/>
        <v>0 - 2</v>
      </c>
      <c r="Y32" s="404" t="str">
        <f t="shared" ca="1" si="10"/>
        <v>2 - 1</v>
      </c>
      <c r="Z32" s="404" t="str">
        <f t="shared" ca="1" si="10"/>
        <v>3 - 2</v>
      </c>
      <c r="AB32" s="391">
        <f t="shared" ca="1" si="4"/>
        <v>2</v>
      </c>
      <c r="AC32" s="391">
        <f t="shared" ca="1" si="4"/>
        <v>5</v>
      </c>
      <c r="AD32" s="392">
        <f t="shared" ca="1" si="4"/>
        <v>3</v>
      </c>
      <c r="AE32" s="392">
        <f t="shared" ca="1" si="4"/>
        <v>3</v>
      </c>
      <c r="AF32" s="392">
        <f t="shared" ca="1" si="4"/>
        <v>4</v>
      </c>
      <c r="AG32" s="393">
        <f t="shared" ca="1" si="4"/>
        <v>0</v>
      </c>
      <c r="AH32" s="393">
        <f t="shared" ca="1" si="4"/>
        <v>3</v>
      </c>
      <c r="AI32" s="393">
        <f t="shared" ca="1" si="4"/>
        <v>2</v>
      </c>
    </row>
    <row r="33" spans="1:35" s="432" customFormat="1">
      <c r="A33" s="429">
        <v>32</v>
      </c>
      <c r="B33" s="430" t="str">
        <f t="shared" si="0"/>
        <v>Zuid-Korea-Algerije</v>
      </c>
      <c r="C33" s="431" t="str">
        <f t="shared" ca="1" si="9"/>
        <v>1 - 0</v>
      </c>
      <c r="D33" s="431" t="str">
        <f t="shared" ca="1" si="9"/>
        <v>2 - 0</v>
      </c>
      <c r="E33" s="431" t="str">
        <f t="shared" ca="1" si="9"/>
        <v>1 - 2</v>
      </c>
      <c r="F33" s="431" t="str">
        <f t="shared" ca="1" si="9"/>
        <v>0 - 0</v>
      </c>
      <c r="G33" s="431" t="str">
        <f t="shared" ca="1" si="9"/>
        <v>0 - 1</v>
      </c>
      <c r="H33" s="431" t="str">
        <f t="shared" ca="1" si="9"/>
        <v>1 - 2</v>
      </c>
      <c r="I33" s="431" t="str">
        <f t="shared" ca="1" si="9"/>
        <v>0 - 1</v>
      </c>
      <c r="J33" s="431" t="str">
        <f t="shared" ca="1" si="9"/>
        <v>0 - 0</v>
      </c>
      <c r="K33" s="431" t="str">
        <f t="shared" ca="1" si="9"/>
        <v>1 - 0</v>
      </c>
      <c r="L33" s="431" t="str">
        <f t="shared" ca="1" si="9"/>
        <v>1 - 0</v>
      </c>
      <c r="M33" s="431" t="str">
        <f t="shared" ca="1" si="9"/>
        <v>1 - 1</v>
      </c>
      <c r="N33" s="431" t="str">
        <f t="shared" ca="1" si="10"/>
        <v>1 - 1</v>
      </c>
      <c r="O33" s="431" t="str">
        <f t="shared" ca="1" si="10"/>
        <v>0 - 0</v>
      </c>
      <c r="P33" s="431" t="str">
        <f t="shared" ca="1" si="10"/>
        <v>0 - 1</v>
      </c>
      <c r="Q33" s="431" t="str">
        <f t="shared" ca="1" si="10"/>
        <v>1 - 0</v>
      </c>
      <c r="R33" s="431" t="str">
        <f t="shared" ca="1" si="10"/>
        <v>1 - 0</v>
      </c>
      <c r="S33" s="431" t="str">
        <f t="shared" ca="1" si="10"/>
        <v>2 - 1</v>
      </c>
      <c r="T33" s="431" t="str">
        <f t="shared" ca="1" si="10"/>
        <v>2 - 1</v>
      </c>
      <c r="U33" s="431" t="str">
        <f t="shared" ca="1" si="10"/>
        <v>2 - 0</v>
      </c>
      <c r="V33" s="431" t="str">
        <f t="shared" ca="1" si="10"/>
        <v>2 - 2</v>
      </c>
      <c r="W33" s="431" t="str">
        <f t="shared" ca="1" si="10"/>
        <v>0 - 1</v>
      </c>
      <c r="X33" s="431" t="str">
        <f t="shared" ca="1" si="10"/>
        <v>1 - 0</v>
      </c>
      <c r="Y33" s="431" t="str">
        <f t="shared" ca="1" si="10"/>
        <v>2 - 1</v>
      </c>
      <c r="Z33" s="431" t="str">
        <f t="shared" ca="1" si="10"/>
        <v>3 - 0</v>
      </c>
      <c r="AB33" s="433">
        <f t="shared" ca="1" si="4"/>
        <v>3</v>
      </c>
      <c r="AC33" s="433">
        <f t="shared" ca="1" si="4"/>
        <v>2</v>
      </c>
      <c r="AD33" s="434">
        <f t="shared" ca="1" si="4"/>
        <v>6</v>
      </c>
      <c r="AE33" s="434">
        <f t="shared" ca="1" si="4"/>
        <v>2</v>
      </c>
      <c r="AF33" s="434">
        <f t="shared" ca="1" si="4"/>
        <v>3</v>
      </c>
      <c r="AG33" s="435">
        <f t="shared" ca="1" si="4"/>
        <v>2</v>
      </c>
      <c r="AH33" s="435">
        <f t="shared" ca="1" si="4"/>
        <v>0</v>
      </c>
      <c r="AI33" s="435">
        <f t="shared" ca="1" si="4"/>
        <v>4</v>
      </c>
    </row>
    <row r="34" spans="1:35" s="161" customFormat="1">
      <c r="A34" s="159">
        <v>33</v>
      </c>
      <c r="B34" s="160" t="str">
        <f t="shared" si="0"/>
        <v>Kameroen-Brazilië</v>
      </c>
      <c r="C34" s="404" t="str">
        <f t="shared" ca="1" si="9"/>
        <v>0 - 2</v>
      </c>
      <c r="D34" s="404" t="str">
        <f t="shared" ca="1" si="9"/>
        <v>0 - 2</v>
      </c>
      <c r="E34" s="404" t="str">
        <f t="shared" ca="1" si="9"/>
        <v>1 - 3</v>
      </c>
      <c r="F34" s="404" t="str">
        <f t="shared" ca="1" si="9"/>
        <v>0 - 3</v>
      </c>
      <c r="G34" s="404" t="str">
        <f t="shared" ca="1" si="9"/>
        <v>0 - 4</v>
      </c>
      <c r="H34" s="404" t="str">
        <f t="shared" ca="1" si="9"/>
        <v>0 - 3</v>
      </c>
      <c r="I34" s="404" t="str">
        <f t="shared" ca="1" si="9"/>
        <v>1 - 2</v>
      </c>
      <c r="J34" s="404" t="str">
        <f t="shared" ca="1" si="9"/>
        <v>0 - 3</v>
      </c>
      <c r="K34" s="404" t="str">
        <f t="shared" ca="1" si="9"/>
        <v>1 - 2</v>
      </c>
      <c r="L34" s="404" t="str">
        <f t="shared" ca="1" si="9"/>
        <v>0 - 3</v>
      </c>
      <c r="M34" s="404" t="str">
        <f t="shared" ca="1" si="9"/>
        <v>1 - 2</v>
      </c>
      <c r="N34" s="404" t="str">
        <f t="shared" ca="1" si="10"/>
        <v>1 - 1</v>
      </c>
      <c r="O34" s="404" t="str">
        <f t="shared" ca="1" si="10"/>
        <v>1 - 5</v>
      </c>
      <c r="P34" s="404" t="str">
        <f t="shared" ca="1" si="10"/>
        <v>0 - 3</v>
      </c>
      <c r="Q34" s="404" t="str">
        <f t="shared" ca="1" si="10"/>
        <v>0 - 2</v>
      </c>
      <c r="R34" s="404" t="str">
        <f t="shared" ca="1" si="10"/>
        <v>0 - 2</v>
      </c>
      <c r="S34" s="404" t="str">
        <f t="shared" ca="1" si="10"/>
        <v>0 - 2</v>
      </c>
      <c r="T34" s="404" t="str">
        <f t="shared" ca="1" si="10"/>
        <v>0 - 2</v>
      </c>
      <c r="U34" s="404" t="str">
        <f t="shared" ca="1" si="10"/>
        <v>0 - 3</v>
      </c>
      <c r="V34" s="404" t="str">
        <f t="shared" ca="1" si="10"/>
        <v>0 - 3</v>
      </c>
      <c r="W34" s="404" t="str">
        <f t="shared" ca="1" si="10"/>
        <v>0 - 1</v>
      </c>
      <c r="X34" s="404" t="str">
        <f t="shared" ca="1" si="10"/>
        <v>0 - 1</v>
      </c>
      <c r="Y34" s="404" t="str">
        <f t="shared" ca="1" si="10"/>
        <v>1 - 3</v>
      </c>
      <c r="Z34" s="404" t="str">
        <f t="shared" ca="1" si="10"/>
        <v>1 - 1</v>
      </c>
      <c r="AB34" s="391">
        <f t="shared" ca="1" si="4"/>
        <v>0</v>
      </c>
      <c r="AC34" s="391">
        <f t="shared" ca="1" si="4"/>
        <v>2</v>
      </c>
      <c r="AD34" s="392">
        <f t="shared" ca="1" si="4"/>
        <v>0</v>
      </c>
      <c r="AE34" s="392">
        <f t="shared" ca="1" si="4"/>
        <v>0</v>
      </c>
      <c r="AF34" s="392">
        <f t="shared" ca="1" si="4"/>
        <v>0</v>
      </c>
      <c r="AG34" s="393">
        <f t="shared" ca="1" si="4"/>
        <v>3</v>
      </c>
      <c r="AH34" s="393">
        <f t="shared" ca="1" si="4"/>
        <v>6</v>
      </c>
      <c r="AI34" s="393">
        <f t="shared" ca="1" si="4"/>
        <v>2</v>
      </c>
    </row>
    <row r="35" spans="1:35" s="161" customFormat="1">
      <c r="A35" s="159">
        <v>34</v>
      </c>
      <c r="B35" s="162" t="str">
        <f t="shared" si="0"/>
        <v>Kroatië-Mexico</v>
      </c>
      <c r="C35" s="405" t="str">
        <f t="shared" ca="1" si="9"/>
        <v>1 - 1</v>
      </c>
      <c r="D35" s="405" t="str">
        <f t="shared" ca="1" si="9"/>
        <v>1 - 2</v>
      </c>
      <c r="E35" s="405" t="str">
        <f t="shared" ca="1" si="9"/>
        <v>2 - 1</v>
      </c>
      <c r="F35" s="405" t="str">
        <f t="shared" ca="1" si="9"/>
        <v>1 - 2</v>
      </c>
      <c r="G35" s="405" t="str">
        <f t="shared" ca="1" si="9"/>
        <v>2 - 2</v>
      </c>
      <c r="H35" s="405" t="str">
        <f t="shared" ca="1" si="9"/>
        <v>2 - 2</v>
      </c>
      <c r="I35" s="405" t="str">
        <f t="shared" ca="1" si="9"/>
        <v>1 - 0</v>
      </c>
      <c r="J35" s="405" t="str">
        <f t="shared" ca="1" si="9"/>
        <v>0 - 2</v>
      </c>
      <c r="K35" s="405" t="str">
        <f t="shared" ca="1" si="9"/>
        <v>4 - 1</v>
      </c>
      <c r="L35" s="405" t="str">
        <f t="shared" ca="1" si="9"/>
        <v>2 - 1</v>
      </c>
      <c r="M35" s="405" t="str">
        <f t="shared" ca="1" si="9"/>
        <v>1 - 1</v>
      </c>
      <c r="N35" s="405" t="str">
        <f t="shared" ca="1" si="10"/>
        <v>1 - 2</v>
      </c>
      <c r="O35" s="405" t="str">
        <f t="shared" ca="1" si="10"/>
        <v>2 - 2</v>
      </c>
      <c r="P35" s="405" t="str">
        <f t="shared" ca="1" si="10"/>
        <v>2 - 1</v>
      </c>
      <c r="Q35" s="405" t="str">
        <f t="shared" ca="1" si="10"/>
        <v>1 - 1</v>
      </c>
      <c r="R35" s="405" t="str">
        <f t="shared" ca="1" si="10"/>
        <v>1 - 0</v>
      </c>
      <c r="S35" s="405" t="str">
        <f t="shared" ca="1" si="10"/>
        <v>1 - 2</v>
      </c>
      <c r="T35" s="405" t="str">
        <f t="shared" ca="1" si="10"/>
        <v>2 - 0</v>
      </c>
      <c r="U35" s="405" t="str">
        <f t="shared" ca="1" si="10"/>
        <v>2 - 2</v>
      </c>
      <c r="V35" s="405" t="str">
        <f t="shared" ca="1" si="10"/>
        <v>1 - 1</v>
      </c>
      <c r="W35" s="405" t="str">
        <f t="shared" ca="1" si="10"/>
        <v>0 - 0</v>
      </c>
      <c r="X35" s="405" t="str">
        <f t="shared" ca="1" si="10"/>
        <v>2 - 0</v>
      </c>
      <c r="Y35" s="405" t="str">
        <f t="shared" ca="1" si="10"/>
        <v>2 - 4</v>
      </c>
      <c r="Z35" s="405" t="str">
        <f t="shared" ca="1" si="10"/>
        <v>2 - 1</v>
      </c>
      <c r="AB35" s="391">
        <f t="shared" ca="1" si="4"/>
        <v>1</v>
      </c>
      <c r="AC35" s="391">
        <f t="shared" ca="1" si="4"/>
        <v>4</v>
      </c>
      <c r="AD35" s="392">
        <f t="shared" ca="1" si="4"/>
        <v>2</v>
      </c>
      <c r="AE35" s="392">
        <f t="shared" ca="1" si="4"/>
        <v>2</v>
      </c>
      <c r="AF35" s="392">
        <f t="shared" ca="1" si="4"/>
        <v>4</v>
      </c>
      <c r="AG35" s="393">
        <f t="shared" ca="1" si="4"/>
        <v>4</v>
      </c>
      <c r="AH35" s="393">
        <f t="shared" ca="1" si="4"/>
        <v>1</v>
      </c>
      <c r="AI35" s="393">
        <f t="shared" ca="1" si="4"/>
        <v>0</v>
      </c>
    </row>
    <row r="36" spans="1:35" s="161" customFormat="1">
      <c r="A36" s="159">
        <v>35</v>
      </c>
      <c r="B36" s="160" t="str">
        <f t="shared" si="0"/>
        <v>Australië-Spanje</v>
      </c>
      <c r="C36" s="404" t="str">
        <f t="shared" ca="1" si="9"/>
        <v>0 - 2</v>
      </c>
      <c r="D36" s="404" t="str">
        <f t="shared" ca="1" si="9"/>
        <v>0 - 2</v>
      </c>
      <c r="E36" s="404" t="str">
        <f t="shared" ca="1" si="9"/>
        <v>1 - 2</v>
      </c>
      <c r="F36" s="404" t="str">
        <f t="shared" ca="1" si="9"/>
        <v>0 - 2</v>
      </c>
      <c r="G36" s="404" t="str">
        <f t="shared" ca="1" si="9"/>
        <v>1 - 3</v>
      </c>
      <c r="H36" s="404" t="str">
        <f t="shared" ca="1" si="9"/>
        <v>0 - 4</v>
      </c>
      <c r="I36" s="404" t="str">
        <f t="shared" ca="1" si="9"/>
        <v>0 - 2</v>
      </c>
      <c r="J36" s="404" t="str">
        <f t="shared" ca="1" si="9"/>
        <v>1 - 2</v>
      </c>
      <c r="K36" s="404" t="str">
        <f t="shared" ca="1" si="9"/>
        <v>0 - 1</v>
      </c>
      <c r="L36" s="404" t="str">
        <f t="shared" ca="1" si="9"/>
        <v>1 - 3</v>
      </c>
      <c r="M36" s="404" t="str">
        <f t="shared" ca="1" si="9"/>
        <v>0 - 2</v>
      </c>
      <c r="N36" s="404" t="str">
        <f t="shared" ca="1" si="10"/>
        <v>1 - 2</v>
      </c>
      <c r="O36" s="404" t="str">
        <f t="shared" ca="1" si="10"/>
        <v>0 - 2</v>
      </c>
      <c r="P36" s="404" t="str">
        <f t="shared" ca="1" si="10"/>
        <v>0 - 2</v>
      </c>
      <c r="Q36" s="404" t="str">
        <f t="shared" ca="1" si="10"/>
        <v>0 - 1</v>
      </c>
      <c r="R36" s="404" t="str">
        <f t="shared" ca="1" si="10"/>
        <v>0 - 1</v>
      </c>
      <c r="S36" s="404" t="str">
        <f t="shared" ca="1" si="10"/>
        <v>0 - 2</v>
      </c>
      <c r="T36" s="404" t="str">
        <f t="shared" ca="1" si="10"/>
        <v>1 - 2</v>
      </c>
      <c r="U36" s="404" t="str">
        <f t="shared" ca="1" si="10"/>
        <v>0 - 2</v>
      </c>
      <c r="V36" s="404" t="str">
        <f t="shared" ca="1" si="10"/>
        <v>0 - 1</v>
      </c>
      <c r="W36" s="404" t="str">
        <f t="shared" ca="1" si="10"/>
        <v>0 - 1</v>
      </c>
      <c r="X36" s="404" t="str">
        <f t="shared" ca="1" si="10"/>
        <v>0 - 2</v>
      </c>
      <c r="Y36" s="404" t="str">
        <f t="shared" ca="1" si="10"/>
        <v>0 - 3</v>
      </c>
      <c r="Z36" s="404" t="str">
        <f t="shared" ca="1" si="10"/>
        <v>1 - 1</v>
      </c>
      <c r="AB36" s="391">
        <f t="shared" ca="1" si="4"/>
        <v>0</v>
      </c>
      <c r="AC36" s="391">
        <f t="shared" ca="1" si="4"/>
        <v>1</v>
      </c>
      <c r="AD36" s="392">
        <f t="shared" ca="1" si="4"/>
        <v>0</v>
      </c>
      <c r="AE36" s="392">
        <f t="shared" ca="1" si="4"/>
        <v>0</v>
      </c>
      <c r="AF36" s="392">
        <f t="shared" ca="1" si="4"/>
        <v>0</v>
      </c>
      <c r="AG36" s="393">
        <f t="shared" ca="1" si="4"/>
        <v>4</v>
      </c>
      <c r="AH36" s="393">
        <f t="shared" ca="1" si="4"/>
        <v>10</v>
      </c>
      <c r="AI36" s="393">
        <f t="shared" ca="1" si="4"/>
        <v>5</v>
      </c>
    </row>
    <row r="37" spans="1:35" s="161" customFormat="1">
      <c r="A37" s="159">
        <v>36</v>
      </c>
      <c r="B37" s="162" t="str">
        <f t="shared" si="0"/>
        <v>Nederland-Chili</v>
      </c>
      <c r="C37" s="405" t="str">
        <f t="shared" ca="1" si="9"/>
        <v>2 - 1</v>
      </c>
      <c r="D37" s="405" t="str">
        <f t="shared" ca="1" si="9"/>
        <v>2 - 0</v>
      </c>
      <c r="E37" s="405" t="str">
        <f t="shared" ca="1" si="9"/>
        <v>1 - 2</v>
      </c>
      <c r="F37" s="405" t="str">
        <f t="shared" ca="1" si="9"/>
        <v>1 - 1</v>
      </c>
      <c r="G37" s="405" t="str">
        <f t="shared" ca="1" si="9"/>
        <v>2 - 1</v>
      </c>
      <c r="H37" s="405" t="str">
        <f t="shared" ca="1" si="9"/>
        <v>2 - 2</v>
      </c>
      <c r="I37" s="405" t="str">
        <f t="shared" ca="1" si="9"/>
        <v>1 - 1</v>
      </c>
      <c r="J37" s="405" t="str">
        <f t="shared" ca="1" si="9"/>
        <v>1 - 0</v>
      </c>
      <c r="K37" s="405" t="str">
        <f t="shared" ca="1" si="9"/>
        <v>2 - 2</v>
      </c>
      <c r="L37" s="405" t="str">
        <f t="shared" ca="1" si="9"/>
        <v>2 - 1</v>
      </c>
      <c r="M37" s="405" t="str">
        <f t="shared" ca="1" si="9"/>
        <v>1 - 1</v>
      </c>
      <c r="N37" s="405" t="str">
        <f t="shared" ca="1" si="10"/>
        <v>2 - 0</v>
      </c>
      <c r="O37" s="405" t="str">
        <f t="shared" ca="1" si="10"/>
        <v>1 - 0</v>
      </c>
      <c r="P37" s="405" t="str">
        <f t="shared" ca="1" si="10"/>
        <v>3 - 0</v>
      </c>
      <c r="Q37" s="405" t="str">
        <f t="shared" ca="1" si="10"/>
        <v>1 - 1</v>
      </c>
      <c r="R37" s="405" t="str">
        <f t="shared" ca="1" si="10"/>
        <v>0 - 0</v>
      </c>
      <c r="S37" s="405" t="str">
        <f t="shared" ca="1" si="10"/>
        <v>1 - 0</v>
      </c>
      <c r="T37" s="405" t="str">
        <f t="shared" ca="1" si="10"/>
        <v>1 - 0</v>
      </c>
      <c r="U37" s="405" t="str">
        <f t="shared" ca="1" si="10"/>
        <v>1 - 1</v>
      </c>
      <c r="V37" s="405" t="str">
        <f t="shared" ca="1" si="10"/>
        <v>2 - 0</v>
      </c>
      <c r="W37" s="405" t="str">
        <f t="shared" ca="1" si="10"/>
        <v>1 - 1</v>
      </c>
      <c r="X37" s="405" t="str">
        <f t="shared" ca="1" si="10"/>
        <v>1 - 0</v>
      </c>
      <c r="Y37" s="405" t="str">
        <f t="shared" ca="1" si="10"/>
        <v>0 - 2</v>
      </c>
      <c r="Z37" s="405" t="str">
        <f t="shared" ca="1" si="10"/>
        <v>2 - 1</v>
      </c>
      <c r="AB37" s="391">
        <f t="shared" ca="1" si="4"/>
        <v>1</v>
      </c>
      <c r="AC37" s="391">
        <f t="shared" ca="1" si="4"/>
        <v>6</v>
      </c>
      <c r="AD37" s="392">
        <f t="shared" ca="1" si="4"/>
        <v>5</v>
      </c>
      <c r="AE37" s="392">
        <f t="shared" ca="1" si="4"/>
        <v>3</v>
      </c>
      <c r="AF37" s="392">
        <f t="shared" ca="1" si="4"/>
        <v>4</v>
      </c>
      <c r="AG37" s="393">
        <f t="shared" ca="1" si="4"/>
        <v>1</v>
      </c>
      <c r="AH37" s="393">
        <f t="shared" ca="1" si="4"/>
        <v>1</v>
      </c>
      <c r="AI37" s="393">
        <f t="shared" ca="1" si="4"/>
        <v>0</v>
      </c>
    </row>
    <row r="38" spans="1:35" s="161" customFormat="1">
      <c r="A38" s="159">
        <v>37</v>
      </c>
      <c r="B38" s="160" t="str">
        <f t="shared" si="0"/>
        <v>Japan-Colombia</v>
      </c>
      <c r="C38" s="404" t="str">
        <f t="shared" ca="1" si="9"/>
        <v>0 - 0</v>
      </c>
      <c r="D38" s="404" t="str">
        <f t="shared" ca="1" si="9"/>
        <v>0 - 2</v>
      </c>
      <c r="E38" s="404" t="str">
        <f t="shared" ca="1" si="9"/>
        <v>2 - 1</v>
      </c>
      <c r="F38" s="404" t="str">
        <f t="shared" ca="1" si="9"/>
        <v>2 - 1</v>
      </c>
      <c r="G38" s="404" t="str">
        <f t="shared" ca="1" si="9"/>
        <v>0 - 3</v>
      </c>
      <c r="H38" s="404" t="str">
        <f t="shared" ca="1" si="9"/>
        <v>0 - 3</v>
      </c>
      <c r="I38" s="404" t="str">
        <f t="shared" ca="1" si="9"/>
        <v>1 - 1</v>
      </c>
      <c r="J38" s="404" t="str">
        <f t="shared" ca="1" si="9"/>
        <v>1 - 1</v>
      </c>
      <c r="K38" s="404" t="str">
        <f t="shared" ca="1" si="9"/>
        <v>0 - 2</v>
      </c>
      <c r="L38" s="404" t="str">
        <f t="shared" ca="1" si="9"/>
        <v>0 - 1</v>
      </c>
      <c r="M38" s="404" t="str">
        <f t="shared" ca="1" si="9"/>
        <v>1 - 0</v>
      </c>
      <c r="N38" s="404" t="str">
        <f t="shared" ca="1" si="10"/>
        <v>1 - 2</v>
      </c>
      <c r="O38" s="404" t="str">
        <f t="shared" ca="1" si="10"/>
        <v>1 - 2</v>
      </c>
      <c r="P38" s="404" t="str">
        <f t="shared" ca="1" si="10"/>
        <v>0 - 1</v>
      </c>
      <c r="Q38" s="404" t="str">
        <f t="shared" ca="1" si="10"/>
        <v>0 - 1</v>
      </c>
      <c r="R38" s="404" t="str">
        <f t="shared" ca="1" si="10"/>
        <v>0 - 1</v>
      </c>
      <c r="S38" s="404" t="str">
        <f t="shared" ca="1" si="10"/>
        <v>1 - 0</v>
      </c>
      <c r="T38" s="404" t="str">
        <f t="shared" ca="1" si="10"/>
        <v>1 - 1</v>
      </c>
      <c r="U38" s="404" t="str">
        <f t="shared" ca="1" si="10"/>
        <v>0 - 1</v>
      </c>
      <c r="V38" s="404" t="str">
        <f t="shared" ca="1" si="10"/>
        <v>1 - 1</v>
      </c>
      <c r="W38" s="404" t="str">
        <f t="shared" ca="1" si="10"/>
        <v>0 - 1</v>
      </c>
      <c r="X38" s="404" t="str">
        <f t="shared" ca="1" si="10"/>
        <v>1 - 0</v>
      </c>
      <c r="Y38" s="404" t="str">
        <f t="shared" ca="1" si="10"/>
        <v>2 - 3</v>
      </c>
      <c r="Z38" s="404" t="str">
        <f t="shared" ca="1" si="10"/>
        <v>1 - 1</v>
      </c>
      <c r="AB38" s="391">
        <f t="shared" ca="1" si="4"/>
        <v>1</v>
      </c>
      <c r="AC38" s="391">
        <f t="shared" ca="1" si="4"/>
        <v>5</v>
      </c>
      <c r="AD38" s="392">
        <f t="shared" ca="1" si="4"/>
        <v>3</v>
      </c>
      <c r="AE38" s="392">
        <f t="shared" ca="1" si="4"/>
        <v>0</v>
      </c>
      <c r="AF38" s="392">
        <f t="shared" ca="1" si="4"/>
        <v>2</v>
      </c>
      <c r="AG38" s="393">
        <f t="shared" ca="1" si="4"/>
        <v>2</v>
      </c>
      <c r="AH38" s="393">
        <f t="shared" ca="1" si="4"/>
        <v>2</v>
      </c>
      <c r="AI38" s="393">
        <f t="shared" ca="1" si="4"/>
        <v>6</v>
      </c>
    </row>
    <row r="39" spans="1:35" s="161" customFormat="1">
      <c r="A39" s="159">
        <v>38</v>
      </c>
      <c r="B39" s="162" t="str">
        <f t="shared" si="0"/>
        <v>Griekenland-Ivoorkust</v>
      </c>
      <c r="C39" s="405" t="str">
        <f t="shared" ca="1" si="9"/>
        <v>0 - 1</v>
      </c>
      <c r="D39" s="405" t="str">
        <f t="shared" ca="1" si="9"/>
        <v>0 - 2</v>
      </c>
      <c r="E39" s="405" t="str">
        <f t="shared" ca="1" si="9"/>
        <v>1 - 2</v>
      </c>
      <c r="F39" s="405" t="str">
        <f t="shared" ca="1" si="9"/>
        <v>1 - 0</v>
      </c>
      <c r="G39" s="405" t="str">
        <f t="shared" ca="1" si="9"/>
        <v>1 - 1</v>
      </c>
      <c r="H39" s="405" t="str">
        <f t="shared" ca="1" si="9"/>
        <v>2 - 0</v>
      </c>
      <c r="I39" s="405" t="str">
        <f t="shared" ca="1" si="9"/>
        <v>1 - 1</v>
      </c>
      <c r="J39" s="405" t="str">
        <f t="shared" ca="1" si="9"/>
        <v>1 - 0</v>
      </c>
      <c r="K39" s="405" t="str">
        <f t="shared" ca="1" si="9"/>
        <v>1 - 3</v>
      </c>
      <c r="L39" s="405" t="str">
        <f t="shared" ca="1" si="9"/>
        <v>1 - 2</v>
      </c>
      <c r="M39" s="405" t="str">
        <f t="shared" ca="1" si="9"/>
        <v>0 - 0</v>
      </c>
      <c r="N39" s="405" t="str">
        <f t="shared" ca="1" si="10"/>
        <v>1 - 0</v>
      </c>
      <c r="O39" s="405" t="str">
        <f t="shared" ca="1" si="10"/>
        <v>0 - 3</v>
      </c>
      <c r="P39" s="405" t="str">
        <f t="shared" ca="1" si="10"/>
        <v>0 - 2</v>
      </c>
      <c r="Q39" s="405" t="str">
        <f t="shared" ca="1" si="10"/>
        <v>2 - 1</v>
      </c>
      <c r="R39" s="405" t="str">
        <f t="shared" ca="1" si="10"/>
        <v>0 - 1</v>
      </c>
      <c r="S39" s="405" t="str">
        <f t="shared" ca="1" si="10"/>
        <v>1 - 1</v>
      </c>
      <c r="T39" s="405" t="str">
        <f t="shared" ca="1" si="10"/>
        <v>1 - 2</v>
      </c>
      <c r="U39" s="405" t="str">
        <f t="shared" ca="1" si="10"/>
        <v>2 - 2</v>
      </c>
      <c r="V39" s="405" t="str">
        <f t="shared" ca="1" si="10"/>
        <v>0 - 1</v>
      </c>
      <c r="W39" s="405" t="str">
        <f t="shared" ca="1" si="10"/>
        <v>0 - 0</v>
      </c>
      <c r="X39" s="405" t="str">
        <f t="shared" ca="1" si="10"/>
        <v>1 - 0</v>
      </c>
      <c r="Y39" s="405" t="str">
        <f t="shared" ca="1" si="10"/>
        <v>1 - 1</v>
      </c>
      <c r="Z39" s="405" t="str">
        <f t="shared" ca="1" si="10"/>
        <v>0 - 1</v>
      </c>
      <c r="AB39" s="391">
        <f t="shared" ca="1" si="4"/>
        <v>2</v>
      </c>
      <c r="AC39" s="391">
        <f t="shared" ca="1" si="4"/>
        <v>4</v>
      </c>
      <c r="AD39" s="392">
        <f t="shared" ca="1" si="4"/>
        <v>4</v>
      </c>
      <c r="AE39" s="392">
        <f t="shared" ca="1" si="4"/>
        <v>1</v>
      </c>
      <c r="AF39" s="392">
        <f t="shared" ca="1" si="4"/>
        <v>1</v>
      </c>
      <c r="AG39" s="393">
        <f t="shared" ca="1" si="4"/>
        <v>3</v>
      </c>
      <c r="AH39" s="393">
        <f t="shared" ca="1" si="4"/>
        <v>2</v>
      </c>
      <c r="AI39" s="393">
        <f t="shared" ca="1" si="4"/>
        <v>4</v>
      </c>
    </row>
    <row r="40" spans="1:35" s="161" customFormat="1">
      <c r="A40" s="159">
        <v>39</v>
      </c>
      <c r="B40" s="160" t="str">
        <f t="shared" si="0"/>
        <v>Italië-Uruguay</v>
      </c>
      <c r="C40" s="404" t="str">
        <f t="shared" ca="1" si="9"/>
        <v>1 - 1</v>
      </c>
      <c r="D40" s="404" t="str">
        <f t="shared" ca="1" si="9"/>
        <v>1 - 1</v>
      </c>
      <c r="E40" s="404" t="str">
        <f t="shared" ca="1" si="9"/>
        <v>2 - 1</v>
      </c>
      <c r="F40" s="404" t="str">
        <f t="shared" ca="1" si="9"/>
        <v>1 - 0</v>
      </c>
      <c r="G40" s="404" t="str">
        <f t="shared" ca="1" si="9"/>
        <v>3 - 2</v>
      </c>
      <c r="H40" s="404" t="str">
        <f t="shared" ca="1" si="9"/>
        <v>1 - 1</v>
      </c>
      <c r="I40" s="404" t="str">
        <f t="shared" ca="1" si="9"/>
        <v>1 - 2</v>
      </c>
      <c r="J40" s="404" t="str">
        <f t="shared" ca="1" si="9"/>
        <v>0 - 0</v>
      </c>
      <c r="K40" s="404" t="str">
        <f t="shared" ca="1" si="9"/>
        <v>3 - 1</v>
      </c>
      <c r="L40" s="404" t="str">
        <f t="shared" ca="1" si="9"/>
        <v>1 - 1</v>
      </c>
      <c r="M40" s="404" t="str">
        <f t="shared" ca="1" si="9"/>
        <v>0 - 0</v>
      </c>
      <c r="N40" s="404" t="str">
        <f t="shared" ca="1" si="10"/>
        <v>1 - 1</v>
      </c>
      <c r="O40" s="404" t="str">
        <f t="shared" ca="1" si="10"/>
        <v>2 - 3</v>
      </c>
      <c r="P40" s="404" t="str">
        <f t="shared" ca="1" si="10"/>
        <v>2 - 1</v>
      </c>
      <c r="Q40" s="404" t="str">
        <f t="shared" ca="1" si="10"/>
        <v>2 - 1</v>
      </c>
      <c r="R40" s="404" t="str">
        <f t="shared" ca="1" si="10"/>
        <v>1 - 1</v>
      </c>
      <c r="S40" s="404" t="str">
        <f t="shared" ca="1" si="10"/>
        <v>2 - 1</v>
      </c>
      <c r="T40" s="404" t="str">
        <f t="shared" ca="1" si="10"/>
        <v>1 - 0</v>
      </c>
      <c r="U40" s="404" t="str">
        <f t="shared" ca="1" si="10"/>
        <v>2 - 1</v>
      </c>
      <c r="V40" s="404" t="str">
        <f t="shared" ca="1" si="10"/>
        <v>0 - 0</v>
      </c>
      <c r="W40" s="404" t="str">
        <f t="shared" ca="1" si="10"/>
        <v>1 - 0</v>
      </c>
      <c r="X40" s="404" t="str">
        <f t="shared" ca="1" si="10"/>
        <v>2 - 0</v>
      </c>
      <c r="Y40" s="404" t="str">
        <f t="shared" ca="1" si="10"/>
        <v>0 - 0</v>
      </c>
      <c r="Z40" s="404" t="str">
        <f t="shared" ca="1" si="10"/>
        <v>0 - 0</v>
      </c>
      <c r="AB40" s="391">
        <f t="shared" ca="1" si="4"/>
        <v>5</v>
      </c>
      <c r="AC40" s="391">
        <f t="shared" ca="1" si="4"/>
        <v>6</v>
      </c>
      <c r="AD40" s="392">
        <f t="shared" ca="1" si="4"/>
        <v>3</v>
      </c>
      <c r="AE40" s="392">
        <f t="shared" ca="1" si="4"/>
        <v>1</v>
      </c>
      <c r="AF40" s="392">
        <f t="shared" ca="1" si="4"/>
        <v>5</v>
      </c>
      <c r="AG40" s="393">
        <f t="shared" ca="1" si="4"/>
        <v>1</v>
      </c>
      <c r="AH40" s="393">
        <f t="shared" ca="1" si="4"/>
        <v>0</v>
      </c>
      <c r="AI40" s="393">
        <f t="shared" ca="1" si="4"/>
        <v>0</v>
      </c>
    </row>
    <row r="41" spans="1:35" s="161" customFormat="1">
      <c r="A41" s="159">
        <v>40</v>
      </c>
      <c r="B41" s="162" t="str">
        <f t="shared" si="0"/>
        <v>Costa Rica-Engeland</v>
      </c>
      <c r="C41" s="405" t="str">
        <f t="shared" ca="1" si="9"/>
        <v>0 - 2</v>
      </c>
      <c r="D41" s="405" t="str">
        <f t="shared" ca="1" si="9"/>
        <v>0 - 2</v>
      </c>
      <c r="E41" s="405" t="str">
        <f t="shared" ca="1" si="9"/>
        <v>1 - 2</v>
      </c>
      <c r="F41" s="405" t="str">
        <f t="shared" ca="1" si="9"/>
        <v>0 - 3</v>
      </c>
      <c r="G41" s="405" t="str">
        <f t="shared" ca="1" si="9"/>
        <v>0 - 2</v>
      </c>
      <c r="H41" s="405" t="str">
        <f t="shared" ca="1" si="9"/>
        <v>1 - 2</v>
      </c>
      <c r="I41" s="405" t="str">
        <f t="shared" ca="1" si="9"/>
        <v>0 - 1</v>
      </c>
      <c r="J41" s="405" t="str">
        <f t="shared" ca="1" si="9"/>
        <v>1 - 3</v>
      </c>
      <c r="K41" s="405" t="str">
        <f t="shared" ca="1" si="9"/>
        <v>0 - 4</v>
      </c>
      <c r="L41" s="405" t="str">
        <f t="shared" ca="1" si="9"/>
        <v>1 - 2</v>
      </c>
      <c r="M41" s="405" t="str">
        <f t="shared" ca="1" si="9"/>
        <v>0 - 2</v>
      </c>
      <c r="N41" s="405" t="str">
        <f t="shared" ca="1" si="10"/>
        <v>1 - 1</v>
      </c>
      <c r="O41" s="405" t="str">
        <f t="shared" ca="1" si="10"/>
        <v>0 - 2</v>
      </c>
      <c r="P41" s="405" t="str">
        <f t="shared" ca="1" si="10"/>
        <v>1 - 2</v>
      </c>
      <c r="Q41" s="405" t="str">
        <f t="shared" ca="1" si="10"/>
        <v>0 - 2</v>
      </c>
      <c r="R41" s="405" t="str">
        <f t="shared" ca="1" si="10"/>
        <v>0 - 1</v>
      </c>
      <c r="S41" s="405" t="str">
        <f t="shared" ca="1" si="10"/>
        <v>0 - 2</v>
      </c>
      <c r="T41" s="405" t="str">
        <f t="shared" ca="1" si="10"/>
        <v>0 - 1</v>
      </c>
      <c r="U41" s="405" t="str">
        <f t="shared" ca="1" si="10"/>
        <v>0 - 2</v>
      </c>
      <c r="V41" s="405" t="str">
        <f t="shared" ca="1" si="10"/>
        <v>0 - 1</v>
      </c>
      <c r="W41" s="405" t="str">
        <f t="shared" ca="1" si="10"/>
        <v>0 - 1</v>
      </c>
      <c r="X41" s="405" t="str">
        <f t="shared" ca="1" si="10"/>
        <v>0 - 1</v>
      </c>
      <c r="Y41" s="405" t="str">
        <f t="shared" ca="1" si="10"/>
        <v>1 - 2</v>
      </c>
      <c r="Z41" s="405" t="str">
        <f t="shared" ca="1" si="10"/>
        <v>0 - 1</v>
      </c>
      <c r="AB41" s="391">
        <f t="shared" ca="1" si="4"/>
        <v>0</v>
      </c>
      <c r="AC41" s="391">
        <f t="shared" ca="1" si="4"/>
        <v>1</v>
      </c>
      <c r="AD41" s="392">
        <f t="shared" ca="1" si="4"/>
        <v>0</v>
      </c>
      <c r="AE41" s="392">
        <f t="shared" ca="1" si="4"/>
        <v>0</v>
      </c>
      <c r="AF41" s="392">
        <f t="shared" ca="1" si="4"/>
        <v>0</v>
      </c>
      <c r="AG41" s="393">
        <f t="shared" ca="1" si="4"/>
        <v>5</v>
      </c>
      <c r="AH41" s="393">
        <f t="shared" ca="1" si="4"/>
        <v>8</v>
      </c>
      <c r="AI41" s="393">
        <f t="shared" ca="1" si="4"/>
        <v>7</v>
      </c>
    </row>
    <row r="42" spans="1:35" s="161" customFormat="1">
      <c r="A42" s="159">
        <v>41</v>
      </c>
      <c r="B42" s="160" t="str">
        <f t="shared" si="0"/>
        <v>Honduras-Zwitserland</v>
      </c>
      <c r="C42" s="404" t="str">
        <f t="shared" ref="C42:M49" ca="1" si="11">VLOOKUP($A42,INDIRECT(C$1&amp;loc_voorspell),7,0)&amp;" - "&amp;VLOOKUP($A42,INDIRECT(C$1&amp;loc_voorspell),9,0)</f>
        <v>0 - 1</v>
      </c>
      <c r="D42" s="404" t="str">
        <f t="shared" ca="1" si="11"/>
        <v>0 - 0</v>
      </c>
      <c r="E42" s="404" t="str">
        <f t="shared" ca="1" si="11"/>
        <v>1 - 2</v>
      </c>
      <c r="F42" s="404" t="str">
        <f t="shared" ca="1" si="11"/>
        <v>1 - 4</v>
      </c>
      <c r="G42" s="404" t="str">
        <f t="shared" ca="1" si="11"/>
        <v>0 - 2</v>
      </c>
      <c r="H42" s="404" t="str">
        <f t="shared" ca="1" si="11"/>
        <v>0 - 2</v>
      </c>
      <c r="I42" s="404" t="str">
        <f t="shared" ca="1" si="11"/>
        <v>0 - 1</v>
      </c>
      <c r="J42" s="404" t="str">
        <f t="shared" ca="1" si="11"/>
        <v>0 - 1</v>
      </c>
      <c r="K42" s="404" t="str">
        <f t="shared" ca="1" si="11"/>
        <v>1 - 2</v>
      </c>
      <c r="L42" s="404" t="str">
        <f t="shared" ca="1" si="11"/>
        <v>1 - 3</v>
      </c>
      <c r="M42" s="404" t="str">
        <f t="shared" ca="1" si="11"/>
        <v>1 - 2</v>
      </c>
      <c r="N42" s="404" t="str">
        <f t="shared" ref="N42:Z49" ca="1" si="12">VLOOKUP($A42,INDIRECT(N$1&amp;loc_voorspell),7,0)&amp;" - "&amp;VLOOKUP($A42,INDIRECT(N$1&amp;loc_voorspell),9,0)</f>
        <v>1 - 2</v>
      </c>
      <c r="O42" s="404" t="str">
        <f t="shared" ca="1" si="12"/>
        <v>0 - 0</v>
      </c>
      <c r="P42" s="404" t="str">
        <f t="shared" ca="1" si="12"/>
        <v>0 - 2</v>
      </c>
      <c r="Q42" s="404" t="str">
        <f t="shared" ca="1" si="12"/>
        <v>1 - 0</v>
      </c>
      <c r="R42" s="404" t="str">
        <f t="shared" ca="1" si="12"/>
        <v>1 - 0</v>
      </c>
      <c r="S42" s="404" t="str">
        <f t="shared" ca="1" si="12"/>
        <v>0 - 2</v>
      </c>
      <c r="T42" s="404" t="str">
        <f t="shared" ca="1" si="12"/>
        <v>0 - 2</v>
      </c>
      <c r="U42" s="404" t="str">
        <f t="shared" ca="1" si="12"/>
        <v>0 - 1</v>
      </c>
      <c r="V42" s="404" t="str">
        <f t="shared" ca="1" si="12"/>
        <v>0 - 1</v>
      </c>
      <c r="W42" s="404" t="str">
        <f t="shared" ca="1" si="12"/>
        <v>0 - 1</v>
      </c>
      <c r="X42" s="404" t="str">
        <f t="shared" ca="1" si="12"/>
        <v>0 - 0</v>
      </c>
      <c r="Y42" s="404" t="str">
        <f t="shared" ca="1" si="12"/>
        <v>2 - 3</v>
      </c>
      <c r="Z42" s="404" t="str">
        <f t="shared" ca="1" si="12"/>
        <v>1 - 1</v>
      </c>
      <c r="AB42" s="391">
        <f t="shared" ca="1" si="4"/>
        <v>3</v>
      </c>
      <c r="AC42" s="391">
        <f t="shared" ca="1" si="4"/>
        <v>1</v>
      </c>
      <c r="AD42" s="392">
        <f t="shared" ca="1" si="4"/>
        <v>2</v>
      </c>
      <c r="AE42" s="392">
        <f t="shared" ca="1" si="4"/>
        <v>0</v>
      </c>
      <c r="AF42" s="392">
        <f t="shared" ca="1" si="4"/>
        <v>0</v>
      </c>
      <c r="AG42" s="393">
        <f t="shared" ca="1" si="4"/>
        <v>4</v>
      </c>
      <c r="AH42" s="393">
        <f t="shared" ca="1" si="4"/>
        <v>5</v>
      </c>
      <c r="AI42" s="393">
        <f t="shared" ca="1" si="4"/>
        <v>6</v>
      </c>
    </row>
    <row r="43" spans="1:35" s="161" customFormat="1">
      <c r="A43" s="159">
        <v>42</v>
      </c>
      <c r="B43" s="162" t="str">
        <f t="shared" si="0"/>
        <v>Ecuador-Frankrijk</v>
      </c>
      <c r="C43" s="405" t="str">
        <f t="shared" ca="1" si="11"/>
        <v>1 - 2</v>
      </c>
      <c r="D43" s="405" t="str">
        <f t="shared" ca="1" si="11"/>
        <v>1 - 1</v>
      </c>
      <c r="E43" s="405" t="str">
        <f t="shared" ca="1" si="11"/>
        <v>1 - 2</v>
      </c>
      <c r="F43" s="405" t="str">
        <f t="shared" ca="1" si="11"/>
        <v>1 - 1</v>
      </c>
      <c r="G43" s="405" t="str">
        <f t="shared" ca="1" si="11"/>
        <v>1 - 2</v>
      </c>
      <c r="H43" s="405" t="str">
        <f t="shared" ca="1" si="11"/>
        <v>1 - 2</v>
      </c>
      <c r="I43" s="405" t="str">
        <f t="shared" ca="1" si="11"/>
        <v>1 - 2</v>
      </c>
      <c r="J43" s="405" t="str">
        <f t="shared" ca="1" si="11"/>
        <v>0 - 2</v>
      </c>
      <c r="K43" s="405" t="str">
        <f t="shared" ca="1" si="11"/>
        <v>2 - 2</v>
      </c>
      <c r="L43" s="405" t="str">
        <f t="shared" ca="1" si="11"/>
        <v>0 - 1</v>
      </c>
      <c r="M43" s="405" t="str">
        <f t="shared" ca="1" si="11"/>
        <v>1 - 2</v>
      </c>
      <c r="N43" s="405" t="str">
        <f t="shared" ca="1" si="12"/>
        <v>1 - 2</v>
      </c>
      <c r="O43" s="405" t="str">
        <f t="shared" ca="1" si="12"/>
        <v>1 - 2</v>
      </c>
      <c r="P43" s="405" t="str">
        <f t="shared" ca="1" si="12"/>
        <v>0 - 5</v>
      </c>
      <c r="Q43" s="405" t="str">
        <f t="shared" ca="1" si="12"/>
        <v>0 - 1</v>
      </c>
      <c r="R43" s="405" t="str">
        <f t="shared" ca="1" si="12"/>
        <v>1 - 1</v>
      </c>
      <c r="S43" s="405" t="str">
        <f t="shared" ca="1" si="12"/>
        <v>0 - 2</v>
      </c>
      <c r="T43" s="405" t="str">
        <f t="shared" ca="1" si="12"/>
        <v>1 - 3</v>
      </c>
      <c r="U43" s="405" t="str">
        <f t="shared" ca="1" si="12"/>
        <v>1 - 1</v>
      </c>
      <c r="V43" s="405" t="str">
        <f t="shared" ca="1" si="12"/>
        <v>0 - 1</v>
      </c>
      <c r="W43" s="405" t="str">
        <f t="shared" ca="1" si="12"/>
        <v>0 - 0</v>
      </c>
      <c r="X43" s="405" t="str">
        <f t="shared" ca="1" si="12"/>
        <v>0 - 1</v>
      </c>
      <c r="Y43" s="405" t="str">
        <f t="shared" ca="1" si="12"/>
        <v>1 - 2</v>
      </c>
      <c r="Z43" s="405" t="str">
        <f t="shared" ca="1" si="12"/>
        <v>0 - 1</v>
      </c>
      <c r="AB43" s="391">
        <f t="shared" ca="1" si="4"/>
        <v>1</v>
      </c>
      <c r="AC43" s="391">
        <f t="shared" ca="1" si="4"/>
        <v>4</v>
      </c>
      <c r="AD43" s="392">
        <f t="shared" ca="1" si="4"/>
        <v>0</v>
      </c>
      <c r="AE43" s="392">
        <f t="shared" ca="1" si="4"/>
        <v>0</v>
      </c>
      <c r="AF43" s="392">
        <f t="shared" ca="1" si="4"/>
        <v>0</v>
      </c>
      <c r="AG43" s="393">
        <f t="shared" ca="1" si="4"/>
        <v>9</v>
      </c>
      <c r="AH43" s="393">
        <f t="shared" ca="1" si="4"/>
        <v>2</v>
      </c>
      <c r="AI43" s="393">
        <f t="shared" ca="1" si="4"/>
        <v>5</v>
      </c>
    </row>
    <row r="44" spans="1:35" s="161" customFormat="1">
      <c r="A44" s="159">
        <v>43</v>
      </c>
      <c r="B44" s="160" t="str">
        <f t="shared" si="0"/>
        <v>Nigeria-Argentinië</v>
      </c>
      <c r="C44" s="404" t="str">
        <f t="shared" ca="1" si="11"/>
        <v>1 - 3</v>
      </c>
      <c r="D44" s="404" t="str">
        <f t="shared" ca="1" si="11"/>
        <v>0 - 2</v>
      </c>
      <c r="E44" s="404" t="str">
        <f t="shared" ca="1" si="11"/>
        <v>1 - 2</v>
      </c>
      <c r="F44" s="404" t="str">
        <f t="shared" ca="1" si="11"/>
        <v>0 - 2</v>
      </c>
      <c r="G44" s="404" t="str">
        <f t="shared" ca="1" si="11"/>
        <v>1 - 2</v>
      </c>
      <c r="H44" s="404" t="str">
        <f t="shared" ca="1" si="11"/>
        <v>0 - 3</v>
      </c>
      <c r="I44" s="404" t="str">
        <f t="shared" ca="1" si="11"/>
        <v>0 - 2</v>
      </c>
      <c r="J44" s="404" t="str">
        <f t="shared" ca="1" si="11"/>
        <v>0 - 3</v>
      </c>
      <c r="K44" s="404" t="str">
        <f t="shared" ca="1" si="11"/>
        <v>2 - 3</v>
      </c>
      <c r="L44" s="404" t="str">
        <f t="shared" ca="1" si="11"/>
        <v>0 - 1</v>
      </c>
      <c r="M44" s="404" t="str">
        <f t="shared" ca="1" si="11"/>
        <v>1 - 2</v>
      </c>
      <c r="N44" s="404" t="str">
        <f t="shared" ca="1" si="12"/>
        <v>0 - 0</v>
      </c>
      <c r="O44" s="404" t="str">
        <f t="shared" ca="1" si="12"/>
        <v>1 - 3</v>
      </c>
      <c r="P44" s="404" t="str">
        <f t="shared" ca="1" si="12"/>
        <v>0 - 2</v>
      </c>
      <c r="Q44" s="404" t="str">
        <f t="shared" ca="1" si="12"/>
        <v>1 - 2</v>
      </c>
      <c r="R44" s="404" t="str">
        <f t="shared" ca="1" si="12"/>
        <v>0 - 1</v>
      </c>
      <c r="S44" s="404" t="str">
        <f t="shared" ca="1" si="12"/>
        <v>2 - 3</v>
      </c>
      <c r="T44" s="404" t="str">
        <f t="shared" ca="1" si="12"/>
        <v>0 - 2</v>
      </c>
      <c r="U44" s="404" t="str">
        <f t="shared" ca="1" si="12"/>
        <v>1 - 2</v>
      </c>
      <c r="V44" s="404" t="str">
        <f t="shared" ca="1" si="12"/>
        <v>0 - 2</v>
      </c>
      <c r="W44" s="404" t="str">
        <f t="shared" ca="1" si="12"/>
        <v>0 - 1</v>
      </c>
      <c r="X44" s="404" t="str">
        <f t="shared" ca="1" si="12"/>
        <v>1 - 2</v>
      </c>
      <c r="Y44" s="404" t="str">
        <f t="shared" ca="1" si="12"/>
        <v>0 - 4</v>
      </c>
      <c r="Z44" s="404" t="str">
        <f t="shared" ca="1" si="12"/>
        <v>2 - 2</v>
      </c>
      <c r="AB44" s="391">
        <f t="shared" ca="1" si="4"/>
        <v>1</v>
      </c>
      <c r="AC44" s="391">
        <f t="shared" ca="1" si="4"/>
        <v>0</v>
      </c>
      <c r="AD44" s="392">
        <f t="shared" ca="1" si="4"/>
        <v>0</v>
      </c>
      <c r="AE44" s="392">
        <f t="shared" ca="1" si="4"/>
        <v>0</v>
      </c>
      <c r="AF44" s="392">
        <f t="shared" ca="1" si="4"/>
        <v>0</v>
      </c>
      <c r="AG44" s="393">
        <f t="shared" ca="1" si="4"/>
        <v>6</v>
      </c>
      <c r="AH44" s="393">
        <f t="shared" ca="1" si="4"/>
        <v>6</v>
      </c>
      <c r="AI44" s="393">
        <f t="shared" ca="1" si="4"/>
        <v>3</v>
      </c>
    </row>
    <row r="45" spans="1:35" s="161" customFormat="1">
      <c r="A45" s="159">
        <v>44</v>
      </c>
      <c r="B45" s="162" t="str">
        <f t="shared" si="0"/>
        <v>Bosnië-Herzegovina-Iran</v>
      </c>
      <c r="C45" s="405" t="str">
        <f t="shared" ca="1" si="11"/>
        <v>1 - 0</v>
      </c>
      <c r="D45" s="405" t="str">
        <f t="shared" ca="1" si="11"/>
        <v>2 - 0</v>
      </c>
      <c r="E45" s="405" t="str">
        <f t="shared" ca="1" si="11"/>
        <v>2 - 1</v>
      </c>
      <c r="F45" s="405" t="str">
        <f t="shared" ca="1" si="11"/>
        <v>1 - 1</v>
      </c>
      <c r="G45" s="405" t="str">
        <f t="shared" ca="1" si="11"/>
        <v>1 - 0</v>
      </c>
      <c r="H45" s="405" t="str">
        <f t="shared" ca="1" si="11"/>
        <v>1 - 1</v>
      </c>
      <c r="I45" s="405" t="str">
        <f t="shared" ca="1" si="11"/>
        <v>2 - 1</v>
      </c>
      <c r="J45" s="405" t="str">
        <f t="shared" ca="1" si="11"/>
        <v>2 - 0</v>
      </c>
      <c r="K45" s="405" t="str">
        <f t="shared" ca="1" si="11"/>
        <v>1 - 1</v>
      </c>
      <c r="L45" s="405" t="str">
        <f t="shared" ca="1" si="11"/>
        <v>2 - 0</v>
      </c>
      <c r="M45" s="405" t="str">
        <f t="shared" ca="1" si="11"/>
        <v>2 - 1</v>
      </c>
      <c r="N45" s="405" t="str">
        <f t="shared" ca="1" si="12"/>
        <v>1 - 0</v>
      </c>
      <c r="O45" s="405" t="str">
        <f t="shared" ca="1" si="12"/>
        <v>0 - 1</v>
      </c>
      <c r="P45" s="405" t="str">
        <f t="shared" ca="1" si="12"/>
        <v>2 - 1</v>
      </c>
      <c r="Q45" s="405" t="str">
        <f t="shared" ca="1" si="12"/>
        <v>0 - 0</v>
      </c>
      <c r="R45" s="405" t="str">
        <f t="shared" ca="1" si="12"/>
        <v>0 - 0</v>
      </c>
      <c r="S45" s="405" t="str">
        <f t="shared" ca="1" si="12"/>
        <v>3 - 0</v>
      </c>
      <c r="T45" s="405" t="str">
        <f t="shared" ca="1" si="12"/>
        <v>2 - 1</v>
      </c>
      <c r="U45" s="405" t="str">
        <f t="shared" ca="1" si="12"/>
        <v>3 - 0</v>
      </c>
      <c r="V45" s="405" t="str">
        <f t="shared" ca="1" si="12"/>
        <v>1 - 0</v>
      </c>
      <c r="W45" s="405" t="str">
        <f t="shared" ca="1" si="12"/>
        <v>1 - 0</v>
      </c>
      <c r="X45" s="405" t="str">
        <f t="shared" ca="1" si="12"/>
        <v>2 - 0</v>
      </c>
      <c r="Y45" s="405" t="str">
        <f t="shared" ca="1" si="12"/>
        <v>3 - 2</v>
      </c>
      <c r="Z45" s="405" t="str">
        <f t="shared" ca="1" si="12"/>
        <v>0 - 0</v>
      </c>
      <c r="AB45" s="391">
        <f t="shared" ca="1" si="4"/>
        <v>3</v>
      </c>
      <c r="AC45" s="391">
        <f t="shared" ca="1" si="4"/>
        <v>3</v>
      </c>
      <c r="AD45" s="392">
        <f t="shared" ca="1" si="4"/>
        <v>5</v>
      </c>
      <c r="AE45" s="392">
        <f t="shared" ca="1" si="4"/>
        <v>4</v>
      </c>
      <c r="AF45" s="392">
        <f t="shared" ca="1" si="4"/>
        <v>5</v>
      </c>
      <c r="AG45" s="393">
        <f t="shared" ca="1" si="4"/>
        <v>0</v>
      </c>
      <c r="AH45" s="393">
        <f t="shared" ca="1" si="4"/>
        <v>0</v>
      </c>
      <c r="AI45" s="393">
        <f t="shared" ca="1" si="4"/>
        <v>1</v>
      </c>
    </row>
    <row r="46" spans="1:35" s="161" customFormat="1">
      <c r="A46" s="159">
        <v>45</v>
      </c>
      <c r="B46" s="160" t="str">
        <f t="shared" si="0"/>
        <v>USA-Duitsland</v>
      </c>
      <c r="C46" s="404" t="str">
        <f t="shared" ca="1" si="11"/>
        <v>0 - 1</v>
      </c>
      <c r="D46" s="404" t="str">
        <f t="shared" ca="1" si="11"/>
        <v>0 - 2</v>
      </c>
      <c r="E46" s="404" t="str">
        <f t="shared" ca="1" si="11"/>
        <v>1 - 2</v>
      </c>
      <c r="F46" s="404" t="str">
        <f t="shared" ca="1" si="11"/>
        <v>1 - 1</v>
      </c>
      <c r="G46" s="404" t="str">
        <f t="shared" ca="1" si="11"/>
        <v>1 - 4</v>
      </c>
      <c r="H46" s="404" t="str">
        <f t="shared" ca="1" si="11"/>
        <v>1 - 2</v>
      </c>
      <c r="I46" s="404" t="str">
        <f t="shared" ca="1" si="11"/>
        <v>0 - 1</v>
      </c>
      <c r="J46" s="404" t="str">
        <f t="shared" ca="1" si="11"/>
        <v>2 - 3</v>
      </c>
      <c r="K46" s="404" t="str">
        <f t="shared" ca="1" si="11"/>
        <v>1 - 2</v>
      </c>
      <c r="L46" s="404" t="str">
        <f t="shared" ca="1" si="11"/>
        <v>1 - 2</v>
      </c>
      <c r="M46" s="404" t="str">
        <f t="shared" ca="1" si="11"/>
        <v>1 - 2</v>
      </c>
      <c r="N46" s="404" t="str">
        <f t="shared" ca="1" si="12"/>
        <v>1 - 2</v>
      </c>
      <c r="O46" s="404" t="str">
        <f t="shared" ca="1" si="12"/>
        <v>1 - 2</v>
      </c>
      <c r="P46" s="404" t="str">
        <f t="shared" ca="1" si="12"/>
        <v>0 - 4</v>
      </c>
      <c r="Q46" s="404" t="str">
        <f t="shared" ca="1" si="12"/>
        <v>1 - 2</v>
      </c>
      <c r="R46" s="404" t="str">
        <f t="shared" ca="1" si="12"/>
        <v>0 - 2</v>
      </c>
      <c r="S46" s="404" t="str">
        <f t="shared" ca="1" si="12"/>
        <v>0 - 3</v>
      </c>
      <c r="T46" s="404" t="str">
        <f t="shared" ca="1" si="12"/>
        <v>1 - 1</v>
      </c>
      <c r="U46" s="404" t="str">
        <f t="shared" ca="1" si="12"/>
        <v>1 - 2</v>
      </c>
      <c r="V46" s="404" t="str">
        <f t="shared" ca="1" si="12"/>
        <v>0 - 3</v>
      </c>
      <c r="W46" s="404" t="str">
        <f t="shared" ca="1" si="12"/>
        <v>0 - 1</v>
      </c>
      <c r="X46" s="404" t="str">
        <f t="shared" ca="1" si="12"/>
        <v>1 - 2</v>
      </c>
      <c r="Y46" s="404" t="str">
        <f t="shared" ca="1" si="12"/>
        <v>0 - 2</v>
      </c>
      <c r="Z46" s="404" t="str">
        <f t="shared" ca="1" si="12"/>
        <v>1 - 2</v>
      </c>
      <c r="AB46" s="391">
        <f t="shared" ca="1" si="4"/>
        <v>0</v>
      </c>
      <c r="AC46" s="391">
        <f t="shared" ca="1" si="4"/>
        <v>2</v>
      </c>
      <c r="AD46" s="392">
        <f t="shared" ca="1" si="4"/>
        <v>0</v>
      </c>
      <c r="AE46" s="392">
        <f t="shared" ca="1" si="4"/>
        <v>0</v>
      </c>
      <c r="AF46" s="392">
        <f t="shared" ca="1" si="4"/>
        <v>0</v>
      </c>
      <c r="AG46" s="393">
        <f t="shared" ca="1" si="4"/>
        <v>11</v>
      </c>
      <c r="AH46" s="393">
        <f t="shared" ca="1" si="4"/>
        <v>3</v>
      </c>
      <c r="AI46" s="393">
        <f t="shared" ca="1" si="4"/>
        <v>3</v>
      </c>
    </row>
    <row r="47" spans="1:35" s="161" customFormat="1">
      <c r="A47" s="159">
        <v>46</v>
      </c>
      <c r="B47" s="162" t="str">
        <f t="shared" si="0"/>
        <v>Portugal-Ghana</v>
      </c>
      <c r="C47" s="405" t="str">
        <f t="shared" ca="1" si="11"/>
        <v>2 - 1</v>
      </c>
      <c r="D47" s="405" t="str">
        <f t="shared" ca="1" si="11"/>
        <v>1 - 1</v>
      </c>
      <c r="E47" s="405" t="str">
        <f t="shared" ca="1" si="11"/>
        <v>1 - 2</v>
      </c>
      <c r="F47" s="405" t="str">
        <f t="shared" ca="1" si="11"/>
        <v>2 - 0</v>
      </c>
      <c r="G47" s="405" t="str">
        <f t="shared" ca="1" si="11"/>
        <v>2 - 1</v>
      </c>
      <c r="H47" s="405" t="str">
        <f t="shared" ca="1" si="11"/>
        <v>2 - 0</v>
      </c>
      <c r="I47" s="405" t="str">
        <f t="shared" ca="1" si="11"/>
        <v>1 - 0</v>
      </c>
      <c r="J47" s="405" t="str">
        <f t="shared" ca="1" si="11"/>
        <v>2 - 1</v>
      </c>
      <c r="K47" s="405" t="str">
        <f t="shared" ca="1" si="11"/>
        <v>2 - 1</v>
      </c>
      <c r="L47" s="405" t="str">
        <f t="shared" ca="1" si="11"/>
        <v>1 - 1</v>
      </c>
      <c r="M47" s="405" t="str">
        <f t="shared" ca="1" si="11"/>
        <v>1 - 0</v>
      </c>
      <c r="N47" s="405" t="str">
        <f t="shared" ca="1" si="12"/>
        <v>2 - 0</v>
      </c>
      <c r="O47" s="405" t="str">
        <f t="shared" ca="1" si="12"/>
        <v>1 - 0</v>
      </c>
      <c r="P47" s="405" t="str">
        <f t="shared" ca="1" si="12"/>
        <v>1 - 0</v>
      </c>
      <c r="Q47" s="405" t="str">
        <f t="shared" ca="1" si="12"/>
        <v>2 - 0</v>
      </c>
      <c r="R47" s="405" t="str">
        <f t="shared" ca="1" si="12"/>
        <v>2 - 0</v>
      </c>
      <c r="S47" s="405" t="str">
        <f t="shared" ca="1" si="12"/>
        <v>0 - 1</v>
      </c>
      <c r="T47" s="405" t="str">
        <f t="shared" ca="1" si="12"/>
        <v>2 - 1</v>
      </c>
      <c r="U47" s="405" t="str">
        <f t="shared" ca="1" si="12"/>
        <v>2 - 1</v>
      </c>
      <c r="V47" s="405" t="str">
        <f t="shared" ca="1" si="12"/>
        <v>1 - 0</v>
      </c>
      <c r="W47" s="405" t="str">
        <f t="shared" ca="1" si="12"/>
        <v>1 - 0</v>
      </c>
      <c r="X47" s="405" t="str">
        <f t="shared" ca="1" si="12"/>
        <v>1 - 1</v>
      </c>
      <c r="Y47" s="405" t="str">
        <f t="shared" ca="1" si="12"/>
        <v>4 - 2</v>
      </c>
      <c r="Z47" s="405" t="str">
        <f t="shared" ca="1" si="12"/>
        <v>1 - 1</v>
      </c>
      <c r="AB47" s="391">
        <f t="shared" ca="1" si="4"/>
        <v>0</v>
      </c>
      <c r="AC47" s="391">
        <f t="shared" ca="1" si="4"/>
        <v>4</v>
      </c>
      <c r="AD47" s="392">
        <f t="shared" ca="1" si="4"/>
        <v>6</v>
      </c>
      <c r="AE47" s="392">
        <f t="shared" ca="1" si="4"/>
        <v>5</v>
      </c>
      <c r="AF47" s="392">
        <f t="shared" ca="1" si="4"/>
        <v>6</v>
      </c>
      <c r="AG47" s="393">
        <f t="shared" ca="1" si="4"/>
        <v>1</v>
      </c>
      <c r="AH47" s="393">
        <f t="shared" ca="1" si="4"/>
        <v>0</v>
      </c>
      <c r="AI47" s="393">
        <f t="shared" ca="1" si="4"/>
        <v>1</v>
      </c>
    </row>
    <row r="48" spans="1:35" s="161" customFormat="1">
      <c r="A48" s="159">
        <v>47</v>
      </c>
      <c r="B48" s="160" t="str">
        <f t="shared" si="0"/>
        <v>Zuid-Korea-België</v>
      </c>
      <c r="C48" s="404" t="str">
        <f t="shared" ca="1" si="11"/>
        <v>1 - 2</v>
      </c>
      <c r="D48" s="404" t="str">
        <f t="shared" ca="1" si="11"/>
        <v>1 - 2</v>
      </c>
      <c r="E48" s="404" t="str">
        <f t="shared" ca="1" si="11"/>
        <v>1 - 2</v>
      </c>
      <c r="F48" s="404" t="str">
        <f t="shared" ca="1" si="11"/>
        <v>1 - 1</v>
      </c>
      <c r="G48" s="404" t="str">
        <f t="shared" ca="1" si="11"/>
        <v>1 - 2</v>
      </c>
      <c r="H48" s="404" t="str">
        <f t="shared" ca="1" si="11"/>
        <v>0 - 2</v>
      </c>
      <c r="I48" s="404" t="str">
        <f t="shared" ca="1" si="11"/>
        <v>0 - 1</v>
      </c>
      <c r="J48" s="404" t="str">
        <f t="shared" ca="1" si="11"/>
        <v>0 - 1</v>
      </c>
      <c r="K48" s="404" t="str">
        <f t="shared" ca="1" si="11"/>
        <v>0 - 1</v>
      </c>
      <c r="L48" s="404" t="str">
        <f t="shared" ca="1" si="11"/>
        <v>0 - 2</v>
      </c>
      <c r="M48" s="404" t="str">
        <f t="shared" ca="1" si="11"/>
        <v>1 - 2</v>
      </c>
      <c r="N48" s="404" t="str">
        <f t="shared" ca="1" si="12"/>
        <v>1 - 2</v>
      </c>
      <c r="O48" s="404" t="str">
        <f t="shared" ca="1" si="12"/>
        <v>1 - 0</v>
      </c>
      <c r="P48" s="404" t="str">
        <f t="shared" ca="1" si="12"/>
        <v>0 - 2</v>
      </c>
      <c r="Q48" s="404" t="str">
        <f t="shared" ca="1" si="12"/>
        <v>1 - 2</v>
      </c>
      <c r="R48" s="404" t="str">
        <f t="shared" ca="1" si="12"/>
        <v>0 - 1</v>
      </c>
      <c r="S48" s="404" t="str">
        <f t="shared" ca="1" si="12"/>
        <v>1 - 2</v>
      </c>
      <c r="T48" s="404" t="str">
        <f t="shared" ca="1" si="12"/>
        <v>1 - 2</v>
      </c>
      <c r="U48" s="404" t="str">
        <f t="shared" ca="1" si="12"/>
        <v>1 - 2</v>
      </c>
      <c r="V48" s="404" t="str">
        <f t="shared" ca="1" si="12"/>
        <v>0 - 2</v>
      </c>
      <c r="W48" s="404" t="str">
        <f t="shared" ca="1" si="12"/>
        <v>0 - 1</v>
      </c>
      <c r="X48" s="404" t="str">
        <f t="shared" ca="1" si="12"/>
        <v>1 - 0</v>
      </c>
      <c r="Y48" s="404" t="str">
        <f t="shared" ca="1" si="12"/>
        <v>0 - 3</v>
      </c>
      <c r="Z48" s="404" t="str">
        <f t="shared" ca="1" si="12"/>
        <v>1 - 1</v>
      </c>
      <c r="AB48" s="391">
        <f t="shared" ref="AB48:AI49" ca="1" si="13">COUNTIF($C48:$AA48,AB$1)</f>
        <v>0</v>
      </c>
      <c r="AC48" s="391">
        <f t="shared" ca="1" si="13"/>
        <v>2</v>
      </c>
      <c r="AD48" s="392">
        <f t="shared" ca="1" si="13"/>
        <v>2</v>
      </c>
      <c r="AE48" s="392">
        <f t="shared" ca="1" si="13"/>
        <v>0</v>
      </c>
      <c r="AF48" s="392">
        <f t="shared" ca="1" si="13"/>
        <v>0</v>
      </c>
      <c r="AG48" s="393">
        <f t="shared" ca="1" si="13"/>
        <v>10</v>
      </c>
      <c r="AH48" s="393">
        <f t="shared" ca="1" si="13"/>
        <v>4</v>
      </c>
      <c r="AI48" s="393">
        <f t="shared" ca="1" si="13"/>
        <v>5</v>
      </c>
    </row>
    <row r="49" spans="1:35" s="161" customFormat="1">
      <c r="A49" s="159">
        <v>48</v>
      </c>
      <c r="B49" s="162" t="str">
        <f t="shared" si="0"/>
        <v>Algerije-Rusland</v>
      </c>
      <c r="C49" s="406" t="str">
        <f t="shared" ca="1" si="11"/>
        <v>0 - 1</v>
      </c>
      <c r="D49" s="406" t="str">
        <f t="shared" ca="1" si="11"/>
        <v>0 - 1</v>
      </c>
      <c r="E49" s="406" t="str">
        <f t="shared" ca="1" si="11"/>
        <v>1 - 2</v>
      </c>
      <c r="F49" s="406" t="str">
        <f t="shared" ca="1" si="11"/>
        <v>0 - 3</v>
      </c>
      <c r="G49" s="406" t="str">
        <f t="shared" ca="1" si="11"/>
        <v>2 - 3</v>
      </c>
      <c r="H49" s="406" t="str">
        <f t="shared" ca="1" si="11"/>
        <v>1 - 2</v>
      </c>
      <c r="I49" s="406" t="str">
        <f t="shared" ca="1" si="11"/>
        <v>0 - 0</v>
      </c>
      <c r="J49" s="406" t="str">
        <f t="shared" ca="1" si="11"/>
        <v>0 - 1</v>
      </c>
      <c r="K49" s="406" t="str">
        <f t="shared" ca="1" si="11"/>
        <v>0 - 1</v>
      </c>
      <c r="L49" s="406" t="str">
        <f t="shared" ca="1" si="11"/>
        <v>1 - 1</v>
      </c>
      <c r="M49" s="406" t="str">
        <f t="shared" ca="1" si="11"/>
        <v>1 - 1</v>
      </c>
      <c r="N49" s="406" t="str">
        <f t="shared" ca="1" si="12"/>
        <v>0 - 2</v>
      </c>
      <c r="O49" s="406" t="str">
        <f t="shared" ca="1" si="12"/>
        <v>1 - 2</v>
      </c>
      <c r="P49" s="406" t="str">
        <f t="shared" ca="1" si="12"/>
        <v>0 - 1</v>
      </c>
      <c r="Q49" s="406" t="str">
        <f t="shared" ca="1" si="12"/>
        <v>1 - 2</v>
      </c>
      <c r="R49" s="406" t="str">
        <f t="shared" ca="1" si="12"/>
        <v>0 - 2</v>
      </c>
      <c r="S49" s="406" t="str">
        <f t="shared" ca="1" si="12"/>
        <v>0 - 1</v>
      </c>
      <c r="T49" s="406" t="str">
        <f t="shared" ca="1" si="12"/>
        <v>0 - 1</v>
      </c>
      <c r="U49" s="406" t="str">
        <f t="shared" ca="1" si="12"/>
        <v>0 - 2</v>
      </c>
      <c r="V49" s="406" t="str">
        <f t="shared" ca="1" si="12"/>
        <v>0 - 1</v>
      </c>
      <c r="W49" s="406" t="str">
        <f t="shared" ca="1" si="12"/>
        <v>0 - 1</v>
      </c>
      <c r="X49" s="406" t="str">
        <f t="shared" ca="1" si="12"/>
        <v>0 - 3</v>
      </c>
      <c r="Y49" s="406" t="str">
        <f t="shared" ca="1" si="12"/>
        <v>0 - 2</v>
      </c>
      <c r="Z49" s="406" t="str">
        <f t="shared" ca="1" si="12"/>
        <v>1 - 1</v>
      </c>
      <c r="AB49" s="391">
        <f t="shared" ca="1" si="13"/>
        <v>1</v>
      </c>
      <c r="AC49" s="391">
        <f t="shared" ca="1" si="13"/>
        <v>3</v>
      </c>
      <c r="AD49" s="392">
        <f t="shared" ca="1" si="13"/>
        <v>0</v>
      </c>
      <c r="AE49" s="392">
        <f t="shared" ca="1" si="13"/>
        <v>0</v>
      </c>
      <c r="AF49" s="392">
        <f t="shared" ca="1" si="13"/>
        <v>0</v>
      </c>
      <c r="AG49" s="393">
        <f t="shared" ca="1" si="13"/>
        <v>4</v>
      </c>
      <c r="AH49" s="393">
        <f t="shared" ca="1" si="13"/>
        <v>4</v>
      </c>
      <c r="AI49" s="393">
        <f t="shared" ca="1" si="13"/>
        <v>9</v>
      </c>
    </row>
    <row r="50" spans="1:35" s="164" customFormat="1" ht="13.5" thickBot="1">
      <c r="A50" s="163" t="s">
        <v>65</v>
      </c>
      <c r="B50" s="350"/>
      <c r="C50" s="166" t="str">
        <f t="shared" ref="C50:C65" ca="1" si="14">(VLOOKUP($A50,INDIRECT(C$1&amp;"!$a$94:$d$292"),4,0))</f>
        <v>Brazilië</v>
      </c>
      <c r="D50" s="166" t="str">
        <f t="shared" ref="D50:Z62" ca="1" si="15">(VLOOKUP($A50,INDIRECT(D$1&amp;"!$a$94:$d$292"),4,0))</f>
        <v>Brazilië</v>
      </c>
      <c r="E50" s="166" t="str">
        <f t="shared" ca="1" si="15"/>
        <v>Brazilië</v>
      </c>
      <c r="F50" s="166" t="str">
        <f t="shared" ca="1" si="15"/>
        <v>Brazilië</v>
      </c>
      <c r="G50" s="166" t="str">
        <f t="shared" ca="1" si="15"/>
        <v>Brazilië</v>
      </c>
      <c r="H50" s="166" t="str">
        <f t="shared" ca="1" si="15"/>
        <v>Brazilië</v>
      </c>
      <c r="I50" s="166" t="str">
        <f t="shared" ca="1" si="15"/>
        <v>Brazilië</v>
      </c>
      <c r="J50" s="166" t="str">
        <f t="shared" ca="1" si="15"/>
        <v>Brazilië</v>
      </c>
      <c r="K50" s="166" t="str">
        <f t="shared" ref="K50:K61" ca="1" si="16">(VLOOKUP($A50,INDIRECT(K$1&amp;"!$a$94:$d$292"),4,0))</f>
        <v>Kroatië</v>
      </c>
      <c r="L50" s="166" t="str">
        <f t="shared" ca="1" si="15"/>
        <v>Brazilië</v>
      </c>
      <c r="M50" s="166" t="str">
        <f t="shared" ca="1" si="15"/>
        <v>Brazilië</v>
      </c>
      <c r="N50" s="166" t="str">
        <f t="shared" ca="1" si="15"/>
        <v>Brazilië</v>
      </c>
      <c r="O50" s="166" t="str">
        <f t="shared" ca="1" si="15"/>
        <v>Brazilië</v>
      </c>
      <c r="P50" s="166" t="str">
        <f t="shared" ca="1" si="15"/>
        <v>Brazilië</v>
      </c>
      <c r="Q50" s="166" t="str">
        <f t="shared" ca="1" si="15"/>
        <v>Brazilië</v>
      </c>
      <c r="R50" s="166" t="str">
        <f t="shared" ref="R50:R61" ca="1" si="17">(VLOOKUP($A50,INDIRECT(R$1&amp;"!$a$94:$d$292"),4,0))</f>
        <v>Brazilië</v>
      </c>
      <c r="S50" s="166" t="str">
        <f t="shared" ca="1" si="15"/>
        <v>Brazilië</v>
      </c>
      <c r="T50" s="166" t="str">
        <f t="shared" ca="1" si="15"/>
        <v>Brazilië</v>
      </c>
      <c r="U50" s="166" t="str">
        <f t="shared" ca="1" si="15"/>
        <v>Brazilië</v>
      </c>
      <c r="V50" s="166" t="str">
        <f t="shared" ca="1" si="15"/>
        <v>Kroatië</v>
      </c>
      <c r="W50" s="166" t="str">
        <f t="shared" ca="1" si="15"/>
        <v>Brazilië</v>
      </c>
      <c r="X50" s="166" t="str">
        <f t="shared" ca="1" si="15"/>
        <v>Brazilië</v>
      </c>
      <c r="Y50" s="166" t="str">
        <f t="shared" ca="1" si="15"/>
        <v>Mexico</v>
      </c>
      <c r="Z50" s="166" t="str">
        <f t="shared" ca="1" si="15"/>
        <v>Kameroen</v>
      </c>
      <c r="AB50" s="391"/>
      <c r="AC50" s="391"/>
      <c r="AD50" s="394"/>
      <c r="AE50" s="394"/>
      <c r="AF50" s="394"/>
      <c r="AG50" s="393"/>
      <c r="AH50" s="393"/>
      <c r="AI50" s="393"/>
    </row>
    <row r="51" spans="1:35">
      <c r="A51" s="154" t="s">
        <v>66</v>
      </c>
      <c r="B51" s="351"/>
      <c r="C51" s="349" t="str">
        <f t="shared" ca="1" si="14"/>
        <v>Kroatië</v>
      </c>
      <c r="D51" s="349" t="str">
        <f t="shared" ca="1" si="15"/>
        <v>Mexico</v>
      </c>
      <c r="E51" s="349" t="str">
        <f t="shared" ca="1" si="15"/>
        <v>Kroatië</v>
      </c>
      <c r="F51" s="349" t="str">
        <f t="shared" ca="1" si="15"/>
        <v>Mexico</v>
      </c>
      <c r="G51" s="349" t="str">
        <f t="shared" ca="1" si="15"/>
        <v>Mexico</v>
      </c>
      <c r="H51" s="349" t="str">
        <f t="shared" ca="1" si="15"/>
        <v>Mexico</v>
      </c>
      <c r="I51" s="349" t="str">
        <f t="shared" ca="1" si="15"/>
        <v>Kameroen</v>
      </c>
      <c r="J51" s="349" t="str">
        <f t="shared" ca="1" si="15"/>
        <v>Mexico</v>
      </c>
      <c r="K51" s="349" t="str">
        <f t="shared" ca="1" si="16"/>
        <v>Brazilië</v>
      </c>
      <c r="L51" s="349" t="str">
        <f t="shared" ca="1" si="15"/>
        <v>Kroatië</v>
      </c>
      <c r="M51" s="349" t="str">
        <f t="shared" ca="1" si="15"/>
        <v>Mexico</v>
      </c>
      <c r="N51" s="349" t="str">
        <f t="shared" ca="1" si="15"/>
        <v>Mexico</v>
      </c>
      <c r="O51" s="349" t="str">
        <f t="shared" ca="1" si="15"/>
        <v>Mexico</v>
      </c>
      <c r="P51" s="349" t="str">
        <f t="shared" ca="1" si="15"/>
        <v>Kroatië</v>
      </c>
      <c r="Q51" s="349" t="str">
        <f t="shared" ca="1" si="15"/>
        <v>Mexico</v>
      </c>
      <c r="R51" s="349" t="str">
        <f t="shared" ca="1" si="17"/>
        <v>Kroatië</v>
      </c>
      <c r="S51" s="349" t="str">
        <f t="shared" ca="1" si="15"/>
        <v>Mexico</v>
      </c>
      <c r="T51" s="349" t="str">
        <f t="shared" ca="1" si="15"/>
        <v>Kroatië</v>
      </c>
      <c r="U51" s="349" t="str">
        <f t="shared" ca="1" si="15"/>
        <v>Kroatië</v>
      </c>
      <c r="V51" s="349" t="str">
        <f t="shared" ca="1" si="15"/>
        <v>Brazilië</v>
      </c>
      <c r="W51" s="349" t="str">
        <f t="shared" ca="1" si="15"/>
        <v>Kroatië</v>
      </c>
      <c r="X51" s="349" t="str">
        <f t="shared" ca="1" si="15"/>
        <v>Kroatië</v>
      </c>
      <c r="Y51" s="349" t="str">
        <f t="shared" ca="1" si="15"/>
        <v>Brazilië</v>
      </c>
      <c r="Z51" s="349" t="str">
        <f t="shared" ca="1" si="15"/>
        <v>Brazilië</v>
      </c>
      <c r="AB51" s="391"/>
      <c r="AC51" s="391"/>
      <c r="AD51" s="392"/>
      <c r="AE51" s="392"/>
      <c r="AF51" s="392"/>
      <c r="AG51" s="393"/>
      <c r="AH51" s="393"/>
      <c r="AI51" s="393"/>
    </row>
    <row r="52" spans="1:35" ht="13.5" thickBot="1">
      <c r="A52" s="154" t="s">
        <v>67</v>
      </c>
      <c r="B52" s="352"/>
      <c r="C52" s="166" t="str">
        <f t="shared" ca="1" si="14"/>
        <v>Nederland</v>
      </c>
      <c r="D52" s="166" t="str">
        <f t="shared" ca="1" si="15"/>
        <v>Spanje</v>
      </c>
      <c r="E52" s="166" t="str">
        <f t="shared" ca="1" si="15"/>
        <v>Spanje</v>
      </c>
      <c r="F52" s="166" t="str">
        <f t="shared" ca="1" si="15"/>
        <v>Spanje</v>
      </c>
      <c r="G52" s="166" t="str">
        <f t="shared" ca="1" si="15"/>
        <v>Spanje</v>
      </c>
      <c r="H52" s="166" t="str">
        <f t="shared" ca="1" si="15"/>
        <v>Spanje</v>
      </c>
      <c r="I52" s="166" t="str">
        <f t="shared" ca="1" si="15"/>
        <v>Spanje</v>
      </c>
      <c r="J52" s="166" t="str">
        <f t="shared" ca="1" si="15"/>
        <v>Nederland</v>
      </c>
      <c r="K52" s="166" t="str">
        <f t="shared" ca="1" si="16"/>
        <v>Nederland</v>
      </c>
      <c r="L52" s="166" t="str">
        <f t="shared" ca="1" si="15"/>
        <v>Spanje</v>
      </c>
      <c r="M52" s="166" t="str">
        <f t="shared" ca="1" si="15"/>
        <v>Spanje</v>
      </c>
      <c r="N52" s="166" t="str">
        <f t="shared" ca="1" si="15"/>
        <v>Spanje</v>
      </c>
      <c r="O52" s="166" t="str">
        <f t="shared" ca="1" si="15"/>
        <v>Spanje</v>
      </c>
      <c r="P52" s="166" t="str">
        <f t="shared" ca="1" si="15"/>
        <v>Nederland</v>
      </c>
      <c r="Q52" s="166" t="str">
        <f t="shared" ca="1" si="15"/>
        <v>Spanje</v>
      </c>
      <c r="R52" s="166" t="str">
        <f t="shared" ca="1" si="17"/>
        <v>Spanje</v>
      </c>
      <c r="S52" s="166" t="str">
        <f t="shared" ca="1" si="15"/>
        <v>Nederland</v>
      </c>
      <c r="T52" s="166" t="str">
        <f t="shared" ca="1" si="15"/>
        <v>Spanje</v>
      </c>
      <c r="U52" s="166" t="str">
        <f t="shared" ca="1" si="15"/>
        <v>Spanje</v>
      </c>
      <c r="V52" s="166" t="str">
        <f t="shared" ca="1" si="15"/>
        <v>Nederland</v>
      </c>
      <c r="W52" s="166" t="str">
        <f t="shared" ca="1" si="15"/>
        <v>Spanje</v>
      </c>
      <c r="X52" s="166" t="str">
        <f t="shared" ca="1" si="15"/>
        <v>Nederland</v>
      </c>
      <c r="Y52" s="166" t="str">
        <f t="shared" ca="1" si="15"/>
        <v>Chili</v>
      </c>
      <c r="Z52" s="166" t="str">
        <f t="shared" ca="1" si="15"/>
        <v>Nederland</v>
      </c>
      <c r="AB52" s="391"/>
      <c r="AC52" s="391"/>
      <c r="AD52" s="392"/>
      <c r="AE52" s="392"/>
      <c r="AF52" s="392"/>
      <c r="AG52" s="393"/>
      <c r="AH52" s="393"/>
      <c r="AI52" s="393"/>
    </row>
    <row r="53" spans="1:35">
      <c r="A53" s="154" t="s">
        <v>68</v>
      </c>
      <c r="B53" s="351"/>
      <c r="C53" s="349" t="str">
        <f t="shared" ca="1" si="14"/>
        <v>Spanje</v>
      </c>
      <c r="D53" s="349" t="str">
        <f t="shared" ca="1" si="15"/>
        <v>Nederland</v>
      </c>
      <c r="E53" s="349" t="str">
        <f t="shared" ca="1" si="15"/>
        <v>Chili</v>
      </c>
      <c r="F53" s="349" t="str">
        <f t="shared" ca="1" si="15"/>
        <v>Nederland</v>
      </c>
      <c r="G53" s="349" t="str">
        <f t="shared" ca="1" si="15"/>
        <v>Nederland</v>
      </c>
      <c r="H53" s="349" t="str">
        <f t="shared" ca="1" si="15"/>
        <v>Nederland</v>
      </c>
      <c r="I53" s="349" t="str">
        <f t="shared" ca="1" si="15"/>
        <v>Nederland</v>
      </c>
      <c r="J53" s="349" t="str">
        <f t="shared" ca="1" si="15"/>
        <v>Spanje</v>
      </c>
      <c r="K53" s="349" t="str">
        <f t="shared" ca="1" si="16"/>
        <v>Spanje</v>
      </c>
      <c r="L53" s="349" t="str">
        <f t="shared" ca="1" si="15"/>
        <v>Nederland</v>
      </c>
      <c r="M53" s="349" t="str">
        <f t="shared" ca="1" si="15"/>
        <v>Chili</v>
      </c>
      <c r="N53" s="349" t="str">
        <f t="shared" ca="1" si="15"/>
        <v>Nederland</v>
      </c>
      <c r="O53" s="349" t="str">
        <f t="shared" ca="1" si="15"/>
        <v>Nederland</v>
      </c>
      <c r="P53" s="349" t="str">
        <f t="shared" ca="1" si="15"/>
        <v>Spanje</v>
      </c>
      <c r="Q53" s="349" t="str">
        <f t="shared" ca="1" si="15"/>
        <v>Nederland</v>
      </c>
      <c r="R53" s="349" t="str">
        <f t="shared" ca="1" si="17"/>
        <v>Nederland</v>
      </c>
      <c r="S53" s="349" t="str">
        <f t="shared" ca="1" si="15"/>
        <v>Spanje</v>
      </c>
      <c r="T53" s="349" t="str">
        <f t="shared" ca="1" si="15"/>
        <v>Nederland</v>
      </c>
      <c r="U53" s="349" t="str">
        <f t="shared" ca="1" si="15"/>
        <v>Chili</v>
      </c>
      <c r="V53" s="349" t="str">
        <f t="shared" ca="1" si="15"/>
        <v>Spanje</v>
      </c>
      <c r="W53" s="349" t="str">
        <f t="shared" ca="1" si="15"/>
        <v>Chili</v>
      </c>
      <c r="X53" s="349" t="str">
        <f t="shared" ca="1" si="15"/>
        <v>Spanje</v>
      </c>
      <c r="Y53" s="349" t="str">
        <f t="shared" ca="1" si="15"/>
        <v>Spanje</v>
      </c>
      <c r="Z53" s="349" t="str">
        <f t="shared" ca="1" si="15"/>
        <v>Spanje</v>
      </c>
      <c r="AB53" s="391"/>
      <c r="AC53" s="391"/>
      <c r="AD53" s="392"/>
      <c r="AE53" s="392"/>
      <c r="AF53" s="392"/>
      <c r="AG53" s="393"/>
      <c r="AH53" s="393"/>
      <c r="AI53" s="393"/>
    </row>
    <row r="54" spans="1:35" ht="13.5" thickBot="1">
      <c r="A54" s="154" t="s">
        <v>69</v>
      </c>
      <c r="B54" s="352"/>
      <c r="C54" s="166" t="str">
        <f t="shared" ca="1" si="14"/>
        <v>Colombia</v>
      </c>
      <c r="D54" s="166" t="str">
        <f t="shared" ca="1" si="15"/>
        <v>Colombia</v>
      </c>
      <c r="E54" s="166" t="str">
        <f t="shared" ca="1" si="15"/>
        <v>Japan</v>
      </c>
      <c r="F54" s="166" t="str">
        <f t="shared" ca="1" si="15"/>
        <v>Japan</v>
      </c>
      <c r="G54" s="166" t="str">
        <f t="shared" ca="1" si="15"/>
        <v>Colombia</v>
      </c>
      <c r="H54" s="166" t="str">
        <f t="shared" ca="1" si="15"/>
        <v>Colombia</v>
      </c>
      <c r="I54" s="166" t="str">
        <f t="shared" ca="1" si="15"/>
        <v>Colombia</v>
      </c>
      <c r="J54" s="166" t="str">
        <f t="shared" ca="1" si="15"/>
        <v>Japan</v>
      </c>
      <c r="K54" s="166" t="str">
        <f t="shared" ca="1" si="16"/>
        <v>Ivoorkust</v>
      </c>
      <c r="L54" s="166" t="str">
        <f t="shared" ca="1" si="15"/>
        <v>Ivoorkust</v>
      </c>
      <c r="M54" s="166" t="str">
        <f t="shared" ca="1" si="15"/>
        <v>Griekenland</v>
      </c>
      <c r="N54" s="166" t="str">
        <f t="shared" ca="1" si="15"/>
        <v>Colombia</v>
      </c>
      <c r="O54" s="166" t="str">
        <f t="shared" ca="1" si="15"/>
        <v>Ivoorkust</v>
      </c>
      <c r="P54" s="166" t="str">
        <f t="shared" ca="1" si="15"/>
        <v>Ivoorkust</v>
      </c>
      <c r="Q54" s="166" t="str">
        <f t="shared" ca="1" si="15"/>
        <v>Griekenland</v>
      </c>
      <c r="R54" s="166" t="str">
        <f t="shared" ca="1" si="17"/>
        <v>Colombia</v>
      </c>
      <c r="S54" s="166" t="str">
        <f t="shared" ca="1" si="15"/>
        <v>Ivoorkust</v>
      </c>
      <c r="T54" s="166" t="str">
        <f t="shared" ca="1" si="15"/>
        <v>Japan</v>
      </c>
      <c r="U54" s="166" t="str">
        <f t="shared" ca="1" si="15"/>
        <v>Colombia</v>
      </c>
      <c r="V54" s="166" t="str">
        <f t="shared" ca="1" si="15"/>
        <v>Japan</v>
      </c>
      <c r="W54" s="166" t="str">
        <f t="shared" ca="1" si="15"/>
        <v>Colombia</v>
      </c>
      <c r="X54" s="166" t="str">
        <f t="shared" ca="1" si="15"/>
        <v>Griekenland</v>
      </c>
      <c r="Y54" s="166" t="str">
        <f t="shared" ca="1" si="15"/>
        <v>Colombia</v>
      </c>
      <c r="Z54" s="166" t="str">
        <f t="shared" ca="1" si="15"/>
        <v>Ivoorkust</v>
      </c>
      <c r="AB54" s="391"/>
      <c r="AC54" s="391"/>
      <c r="AD54" s="392"/>
      <c r="AE54" s="392"/>
      <c r="AF54" s="392"/>
      <c r="AG54" s="393"/>
      <c r="AH54" s="393"/>
      <c r="AI54" s="393"/>
    </row>
    <row r="55" spans="1:35">
      <c r="A55" s="154" t="s">
        <v>70</v>
      </c>
      <c r="B55" s="351"/>
      <c r="C55" s="349" t="str">
        <f t="shared" ca="1" si="14"/>
        <v>Japan</v>
      </c>
      <c r="D55" s="349" t="str">
        <f t="shared" ca="1" si="15"/>
        <v>Ivoorkust</v>
      </c>
      <c r="E55" s="349" t="str">
        <f t="shared" ca="1" si="15"/>
        <v>Ivoorkust</v>
      </c>
      <c r="F55" s="349" t="str">
        <f t="shared" ca="1" si="15"/>
        <v>Colombia</v>
      </c>
      <c r="G55" s="349" t="str">
        <f t="shared" ca="1" si="15"/>
        <v>Ivoorkust</v>
      </c>
      <c r="H55" s="349" t="str">
        <f t="shared" ca="1" si="15"/>
        <v>Griekenland</v>
      </c>
      <c r="I55" s="349" t="str">
        <f t="shared" ca="1" si="15"/>
        <v>Japan</v>
      </c>
      <c r="J55" s="349" t="str">
        <f t="shared" ca="1" si="15"/>
        <v>Colombia</v>
      </c>
      <c r="K55" s="349" t="str">
        <f t="shared" ca="1" si="16"/>
        <v>Colombia</v>
      </c>
      <c r="L55" s="349" t="str">
        <f t="shared" ca="1" si="15"/>
        <v>Colombia</v>
      </c>
      <c r="M55" s="349" t="str">
        <f t="shared" ca="1" si="15"/>
        <v>Japan</v>
      </c>
      <c r="N55" s="349" t="str">
        <f t="shared" ca="1" si="15"/>
        <v>Japan</v>
      </c>
      <c r="O55" s="349" t="str">
        <f t="shared" ca="1" si="15"/>
        <v>Colombia</v>
      </c>
      <c r="P55" s="349" t="str">
        <f t="shared" ca="1" si="15"/>
        <v>Colombia</v>
      </c>
      <c r="Q55" s="349" t="str">
        <f t="shared" ca="1" si="15"/>
        <v>Ivoorkust</v>
      </c>
      <c r="R55" s="349" t="str">
        <f t="shared" ca="1" si="17"/>
        <v>Ivoorkust</v>
      </c>
      <c r="S55" s="349" t="str">
        <f t="shared" ca="1" si="15"/>
        <v>Japan</v>
      </c>
      <c r="T55" s="349" t="str">
        <f t="shared" ca="1" si="15"/>
        <v>Colombia</v>
      </c>
      <c r="U55" s="349" t="str">
        <f t="shared" ca="1" si="15"/>
        <v>Japan</v>
      </c>
      <c r="V55" s="349" t="str">
        <f t="shared" ca="1" si="15"/>
        <v>Ivoorkust</v>
      </c>
      <c r="W55" s="349" t="str">
        <f t="shared" ca="1" si="15"/>
        <v>Ivoorkust</v>
      </c>
      <c r="X55" s="349" t="str">
        <f t="shared" ca="1" si="15"/>
        <v>Japan</v>
      </c>
      <c r="Y55" s="349" t="str">
        <f t="shared" ca="1" si="15"/>
        <v>Japan</v>
      </c>
      <c r="Z55" s="349" t="str">
        <f t="shared" ca="1" si="15"/>
        <v>Japan</v>
      </c>
      <c r="AB55" s="391"/>
      <c r="AC55" s="391"/>
      <c r="AD55" s="392"/>
      <c r="AE55" s="392"/>
      <c r="AF55" s="392"/>
      <c r="AG55" s="393"/>
      <c r="AH55" s="393"/>
      <c r="AI55" s="393"/>
    </row>
    <row r="56" spans="1:35" ht="13.5" thickBot="1">
      <c r="A56" s="154" t="s">
        <v>71</v>
      </c>
      <c r="B56" s="352"/>
      <c r="C56" s="166" t="str">
        <f t="shared" ca="1" si="14"/>
        <v>Uruguay</v>
      </c>
      <c r="D56" s="166" t="str">
        <f t="shared" ca="1" si="15"/>
        <v>Uruguay</v>
      </c>
      <c r="E56" s="166" t="str">
        <f t="shared" ca="1" si="15"/>
        <v>Italië</v>
      </c>
      <c r="F56" s="166" t="str">
        <f t="shared" ca="1" si="15"/>
        <v>Italië</v>
      </c>
      <c r="G56" s="166" t="str">
        <f t="shared" ca="1" si="15"/>
        <v>Italië</v>
      </c>
      <c r="H56" s="166" t="str">
        <f t="shared" ca="1" si="15"/>
        <v>Uruguay</v>
      </c>
      <c r="I56" s="166" t="str">
        <f t="shared" ca="1" si="15"/>
        <v>Uruguay</v>
      </c>
      <c r="J56" s="166" t="str">
        <f t="shared" ca="1" si="15"/>
        <v>Italië</v>
      </c>
      <c r="K56" s="166" t="str">
        <f t="shared" ca="1" si="16"/>
        <v>Italië</v>
      </c>
      <c r="L56" s="166" t="str">
        <f t="shared" ca="1" si="15"/>
        <v>Uruguay</v>
      </c>
      <c r="M56" s="166" t="str">
        <f t="shared" ca="1" si="15"/>
        <v>Uruguay</v>
      </c>
      <c r="N56" s="166" t="str">
        <f t="shared" ca="1" si="15"/>
        <v>Italië</v>
      </c>
      <c r="O56" s="166" t="str">
        <f t="shared" ca="1" si="15"/>
        <v>Uruguay</v>
      </c>
      <c r="P56" s="166" t="str">
        <f t="shared" ca="1" si="15"/>
        <v>Italië</v>
      </c>
      <c r="Q56" s="166" t="str">
        <f t="shared" ca="1" si="15"/>
        <v>Engeland</v>
      </c>
      <c r="R56" s="166" t="str">
        <f t="shared" ca="1" si="17"/>
        <v>Italië</v>
      </c>
      <c r="S56" s="166" t="str">
        <f t="shared" ca="1" si="15"/>
        <v>Engeland</v>
      </c>
      <c r="T56" s="166" t="str">
        <f t="shared" ca="1" si="15"/>
        <v>Italië</v>
      </c>
      <c r="U56" s="166" t="str">
        <f t="shared" ca="1" si="15"/>
        <v>Italië</v>
      </c>
      <c r="V56" s="166" t="str">
        <f t="shared" ca="1" si="15"/>
        <v>Uruguay</v>
      </c>
      <c r="W56" s="166" t="str">
        <f t="shared" ca="1" si="15"/>
        <v>Italië</v>
      </c>
      <c r="X56" s="166" t="str">
        <f t="shared" ca="1" si="15"/>
        <v>Italië</v>
      </c>
      <c r="Y56" s="166" t="str">
        <f t="shared" ca="1" si="15"/>
        <v>Uruguay</v>
      </c>
      <c r="Z56" s="166" t="str">
        <f t="shared" ca="1" si="15"/>
        <v>Engeland</v>
      </c>
      <c r="AB56" s="391"/>
      <c r="AC56" s="391"/>
      <c r="AD56" s="392"/>
      <c r="AE56" s="392"/>
      <c r="AF56" s="392"/>
      <c r="AG56" s="393"/>
      <c r="AH56" s="393"/>
      <c r="AI56" s="393"/>
    </row>
    <row r="57" spans="1:35">
      <c r="A57" s="154" t="s">
        <v>72</v>
      </c>
      <c r="B57" s="351"/>
      <c r="C57" s="349" t="str">
        <f t="shared" ca="1" si="14"/>
        <v>Engeland</v>
      </c>
      <c r="D57" s="349" t="str">
        <f t="shared" ca="1" si="15"/>
        <v>Italië</v>
      </c>
      <c r="E57" s="349" t="str">
        <f t="shared" ca="1" si="15"/>
        <v>Uruguay</v>
      </c>
      <c r="F57" s="349" t="str">
        <f t="shared" ca="1" si="15"/>
        <v>Engeland</v>
      </c>
      <c r="G57" s="349" t="str">
        <f t="shared" ca="1" si="15"/>
        <v>Uruguay</v>
      </c>
      <c r="H57" s="349" t="str">
        <f t="shared" ca="1" si="15"/>
        <v>Italië</v>
      </c>
      <c r="I57" s="349" t="str">
        <f t="shared" ca="1" si="15"/>
        <v>Engeland</v>
      </c>
      <c r="J57" s="349" t="str">
        <f t="shared" ca="1" si="15"/>
        <v>Uruguay</v>
      </c>
      <c r="K57" s="349" t="str">
        <f t="shared" ca="1" si="16"/>
        <v>Engeland</v>
      </c>
      <c r="L57" s="349" t="str">
        <f t="shared" ca="1" si="15"/>
        <v>Italië</v>
      </c>
      <c r="M57" s="349" t="str">
        <f t="shared" ca="1" si="15"/>
        <v>Italië</v>
      </c>
      <c r="N57" s="349" t="str">
        <f t="shared" ca="1" si="15"/>
        <v>Uruguay</v>
      </c>
      <c r="O57" s="349" t="str">
        <f t="shared" ca="1" si="15"/>
        <v>Italië</v>
      </c>
      <c r="P57" s="349" t="str">
        <f t="shared" ca="1" si="15"/>
        <v>Uruguay</v>
      </c>
      <c r="Q57" s="349" t="str">
        <f t="shared" ca="1" si="15"/>
        <v>Italië</v>
      </c>
      <c r="R57" s="349" t="str">
        <f t="shared" ca="1" si="17"/>
        <v>Uruguay</v>
      </c>
      <c r="S57" s="349" t="str">
        <f t="shared" ca="1" si="15"/>
        <v>Italië</v>
      </c>
      <c r="T57" s="349" t="str">
        <f t="shared" ca="1" si="15"/>
        <v>Uruguay</v>
      </c>
      <c r="U57" s="349" t="str">
        <f t="shared" ca="1" si="15"/>
        <v>Uruguay</v>
      </c>
      <c r="V57" s="349" t="str">
        <f t="shared" ca="1" si="15"/>
        <v>Italië</v>
      </c>
      <c r="W57" s="349" t="str">
        <f t="shared" ca="1" si="15"/>
        <v>Uruguay</v>
      </c>
      <c r="X57" s="349" t="str">
        <f t="shared" ca="1" si="15"/>
        <v>Engeland</v>
      </c>
      <c r="Y57" s="349" t="str">
        <f t="shared" ca="1" si="15"/>
        <v>Italië</v>
      </c>
      <c r="Z57" s="349" t="str">
        <f t="shared" ca="1" si="15"/>
        <v>Italië</v>
      </c>
      <c r="AB57" s="391"/>
      <c r="AC57" s="391"/>
      <c r="AD57" s="392"/>
      <c r="AE57" s="392"/>
      <c r="AF57" s="392"/>
      <c r="AG57" s="393"/>
      <c r="AH57" s="393"/>
      <c r="AI57" s="393"/>
    </row>
    <row r="58" spans="1:35" ht="13.5" thickBot="1">
      <c r="A58" s="154" t="s">
        <v>73</v>
      </c>
      <c r="B58" s="352"/>
      <c r="C58" s="166" t="str">
        <f t="shared" ca="1" si="14"/>
        <v>Frankrijk</v>
      </c>
      <c r="D58" s="166" t="str">
        <f t="shared" ca="1" si="15"/>
        <v>Frankrijk</v>
      </c>
      <c r="E58" s="166" t="str">
        <f t="shared" ca="1" si="15"/>
        <v>Frankrijk</v>
      </c>
      <c r="F58" s="166" t="str">
        <f t="shared" ca="1" si="15"/>
        <v>Zwitserland</v>
      </c>
      <c r="G58" s="166" t="str">
        <f t="shared" ca="1" si="15"/>
        <v>Frankrijk</v>
      </c>
      <c r="H58" s="166" t="str">
        <f t="shared" ca="1" si="15"/>
        <v>Zwitserland</v>
      </c>
      <c r="I58" s="166" t="str">
        <f t="shared" ca="1" si="15"/>
        <v>Frankrijk</v>
      </c>
      <c r="J58" s="166" t="str">
        <f t="shared" ca="1" si="15"/>
        <v>Frankrijk</v>
      </c>
      <c r="K58" s="166" t="str">
        <f t="shared" ca="1" si="16"/>
        <v>Zwitserland</v>
      </c>
      <c r="L58" s="166" t="str">
        <f t="shared" ca="1" si="15"/>
        <v>Zwitserland</v>
      </c>
      <c r="M58" s="166" t="str">
        <f t="shared" ca="1" si="15"/>
        <v>Frankrijk</v>
      </c>
      <c r="N58" s="166" t="str">
        <f t="shared" ca="1" si="15"/>
        <v>Frankrijk</v>
      </c>
      <c r="O58" s="166" t="str">
        <f t="shared" ca="1" si="15"/>
        <v>Frankrijk</v>
      </c>
      <c r="P58" s="166" t="str">
        <f t="shared" ca="1" si="15"/>
        <v>Frankrijk</v>
      </c>
      <c r="Q58" s="166" t="str">
        <f t="shared" ca="1" si="15"/>
        <v>Frankrijk</v>
      </c>
      <c r="R58" s="166" t="str">
        <f t="shared" ca="1" si="17"/>
        <v>Frankrijk</v>
      </c>
      <c r="S58" s="166" t="str">
        <f t="shared" ca="1" si="15"/>
        <v>Zwitserland</v>
      </c>
      <c r="T58" s="166" t="str">
        <f t="shared" ca="1" si="15"/>
        <v>Frankrijk</v>
      </c>
      <c r="U58" s="166" t="str">
        <f t="shared" ca="1" si="15"/>
        <v>Zwitserland</v>
      </c>
      <c r="V58" s="166" t="str">
        <f t="shared" ca="1" si="15"/>
        <v>Zwitserland</v>
      </c>
      <c r="W58" s="166" t="str">
        <f t="shared" ca="1" si="15"/>
        <v>Zwitserland</v>
      </c>
      <c r="X58" s="166" t="str">
        <f t="shared" ca="1" si="15"/>
        <v>Frankrijk</v>
      </c>
      <c r="Y58" s="166" t="str">
        <f t="shared" ca="1" si="15"/>
        <v>Frankrijk</v>
      </c>
      <c r="Z58" s="166" t="str">
        <f t="shared" ca="1" si="15"/>
        <v>Frankrijk</v>
      </c>
      <c r="AB58" s="391"/>
      <c r="AC58" s="391"/>
      <c r="AD58" s="392"/>
      <c r="AE58" s="392"/>
      <c r="AF58" s="392"/>
      <c r="AG58" s="393"/>
      <c r="AH58" s="393"/>
      <c r="AI58" s="393"/>
    </row>
    <row r="59" spans="1:35">
      <c r="A59" s="154" t="s">
        <v>74</v>
      </c>
      <c r="B59" s="351"/>
      <c r="C59" s="349" t="str">
        <f t="shared" ca="1" si="14"/>
        <v>Zwitserland</v>
      </c>
      <c r="D59" s="349" t="str">
        <f t="shared" ca="1" si="15"/>
        <v>Ecuador</v>
      </c>
      <c r="E59" s="349" t="str">
        <f t="shared" ca="1" si="15"/>
        <v>Ecuador</v>
      </c>
      <c r="F59" s="349" t="str">
        <f t="shared" ca="1" si="15"/>
        <v>Frankrijk</v>
      </c>
      <c r="G59" s="349" t="str">
        <f t="shared" ca="1" si="15"/>
        <v>Ecuador</v>
      </c>
      <c r="H59" s="349" t="str">
        <f t="shared" ca="1" si="15"/>
        <v>Frankrijk</v>
      </c>
      <c r="I59" s="349" t="str">
        <f t="shared" ca="1" si="15"/>
        <v>Ecuador</v>
      </c>
      <c r="J59" s="349" t="str">
        <f t="shared" ca="1" si="15"/>
        <v>Zwitserland</v>
      </c>
      <c r="K59" s="349" t="str">
        <f t="shared" ca="1" si="16"/>
        <v>Frankrijk</v>
      </c>
      <c r="L59" s="349" t="str">
        <f t="shared" ca="1" si="15"/>
        <v>Frankrijk</v>
      </c>
      <c r="M59" s="349" t="str">
        <f t="shared" ca="1" si="15"/>
        <v>Zwitserland</v>
      </c>
      <c r="N59" s="349" t="str">
        <f t="shared" ca="1" si="15"/>
        <v>Ecuador</v>
      </c>
      <c r="O59" s="349" t="str">
        <f t="shared" ca="1" si="15"/>
        <v>Ecuador</v>
      </c>
      <c r="P59" s="349" t="str">
        <f t="shared" ca="1" si="15"/>
        <v>Zwitserland</v>
      </c>
      <c r="Q59" s="349" t="str">
        <f t="shared" ca="1" si="15"/>
        <v>Honduras</v>
      </c>
      <c r="R59" s="349" t="str">
        <f t="shared" ca="1" si="17"/>
        <v>Ecuador</v>
      </c>
      <c r="S59" s="349" t="str">
        <f t="shared" ca="1" si="15"/>
        <v>Frankrijk</v>
      </c>
      <c r="T59" s="349" t="str">
        <f t="shared" ca="1" si="15"/>
        <v>Zwitserland</v>
      </c>
      <c r="U59" s="349" t="str">
        <f t="shared" ca="1" si="15"/>
        <v>Ecuador</v>
      </c>
      <c r="V59" s="349" t="str">
        <f t="shared" ca="1" si="15"/>
        <v>Frankrijk</v>
      </c>
      <c r="W59" s="349" t="str">
        <f t="shared" ca="1" si="15"/>
        <v>Ecuador</v>
      </c>
      <c r="X59" s="349" t="str">
        <f t="shared" ca="1" si="15"/>
        <v>Honduras</v>
      </c>
      <c r="Y59" s="349" t="str">
        <f t="shared" ca="1" si="15"/>
        <v>Ecuador</v>
      </c>
      <c r="Z59" s="349" t="str">
        <f t="shared" ca="1" si="15"/>
        <v>Zwitserland</v>
      </c>
      <c r="AB59" s="391"/>
      <c r="AC59" s="391"/>
      <c r="AD59" s="392"/>
      <c r="AE59" s="392"/>
      <c r="AF59" s="392"/>
      <c r="AG59" s="393"/>
      <c r="AH59" s="393"/>
      <c r="AI59" s="393"/>
    </row>
    <row r="60" spans="1:35" ht="13.5" thickBot="1">
      <c r="A60" s="154" t="s">
        <v>75</v>
      </c>
      <c r="B60" s="352"/>
      <c r="C60" s="166" t="str">
        <f t="shared" ca="1" si="14"/>
        <v>Argentinië</v>
      </c>
      <c r="D60" s="166" t="str">
        <f t="shared" ca="1" si="15"/>
        <v>Argentinië</v>
      </c>
      <c r="E60" s="166" t="str">
        <f t="shared" ca="1" si="15"/>
        <v>Argentinië</v>
      </c>
      <c r="F60" s="166" t="str">
        <f t="shared" ca="1" si="15"/>
        <v>Argentinië</v>
      </c>
      <c r="G60" s="166" t="str">
        <f t="shared" ca="1" si="15"/>
        <v>Argentinië</v>
      </c>
      <c r="H60" s="166" t="str">
        <f t="shared" ca="1" si="15"/>
        <v>Argentinië</v>
      </c>
      <c r="I60" s="166" t="str">
        <f t="shared" ca="1" si="15"/>
        <v>Argentinië</v>
      </c>
      <c r="J60" s="166" t="str">
        <f t="shared" ca="1" si="15"/>
        <v>Argentinië</v>
      </c>
      <c r="K60" s="166" t="str">
        <f t="shared" ca="1" si="16"/>
        <v>Argentinië</v>
      </c>
      <c r="L60" s="166" t="str">
        <f t="shared" ca="1" si="15"/>
        <v>Argentinië</v>
      </c>
      <c r="M60" s="166" t="str">
        <f t="shared" ca="1" si="15"/>
        <v>Argentinië</v>
      </c>
      <c r="N60" s="166" t="str">
        <f t="shared" ca="1" si="15"/>
        <v>Argentinië</v>
      </c>
      <c r="O60" s="166" t="str">
        <f t="shared" ca="1" si="15"/>
        <v>Argentinië</v>
      </c>
      <c r="P60" s="166" t="str">
        <f t="shared" ca="1" si="15"/>
        <v>Argentinië</v>
      </c>
      <c r="Q60" s="166" t="str">
        <f t="shared" ca="1" si="15"/>
        <v>Argentinië</v>
      </c>
      <c r="R60" s="166" t="str">
        <f t="shared" ca="1" si="17"/>
        <v>Argentinië</v>
      </c>
      <c r="S60" s="166" t="str">
        <f t="shared" ca="1" si="15"/>
        <v>Argentinië</v>
      </c>
      <c r="T60" s="166" t="str">
        <f t="shared" ca="1" si="15"/>
        <v>Argentinië</v>
      </c>
      <c r="U60" s="166" t="str">
        <f t="shared" ca="1" si="15"/>
        <v>Argentinië</v>
      </c>
      <c r="V60" s="166" t="str">
        <f t="shared" ca="1" si="15"/>
        <v>Argentinië</v>
      </c>
      <c r="W60" s="166" t="str">
        <f t="shared" ca="1" si="15"/>
        <v>Argentinië</v>
      </c>
      <c r="X60" s="166" t="str">
        <f t="shared" ca="1" si="15"/>
        <v>Argentinië</v>
      </c>
      <c r="Y60" s="166" t="str">
        <f t="shared" ca="1" si="15"/>
        <v>Argentinië</v>
      </c>
      <c r="Z60" s="166" t="str">
        <f t="shared" ca="1" si="15"/>
        <v>Argentinië</v>
      </c>
      <c r="AB60" s="391"/>
      <c r="AC60" s="391"/>
      <c r="AD60" s="392"/>
      <c r="AE60" s="392"/>
      <c r="AF60" s="392"/>
      <c r="AG60" s="393"/>
      <c r="AH60" s="393"/>
      <c r="AI60" s="393"/>
    </row>
    <row r="61" spans="1:35">
      <c r="A61" s="154" t="s">
        <v>76</v>
      </c>
      <c r="B61" s="351"/>
      <c r="C61" s="349" t="str">
        <f t="shared" ca="1" si="14"/>
        <v>Nigeria</v>
      </c>
      <c r="D61" s="349" t="str">
        <f t="shared" ca="1" si="15"/>
        <v>Bosnië en Herzegovina</v>
      </c>
      <c r="E61" s="349" t="str">
        <f t="shared" ca="1" si="15"/>
        <v>Bosnië en Herzegovina</v>
      </c>
      <c r="F61" s="349" t="str">
        <f t="shared" ca="1" si="15"/>
        <v>Nigeria</v>
      </c>
      <c r="G61" s="349" t="str">
        <f t="shared" ca="1" si="15"/>
        <v>Bosnië en Herzegovina</v>
      </c>
      <c r="H61" s="349" t="str">
        <f t="shared" ca="1" si="15"/>
        <v>Bosnië en Herzegovina</v>
      </c>
      <c r="I61" s="349" t="str">
        <f t="shared" ca="1" si="15"/>
        <v>Bosnië en Herzegovina</v>
      </c>
      <c r="J61" s="349" t="str">
        <f t="shared" ca="1" si="15"/>
        <v>Bosnië en Herzegovina</v>
      </c>
      <c r="K61" s="349" t="str">
        <f t="shared" ca="1" si="16"/>
        <v>Bosnië en Herzegovina</v>
      </c>
      <c r="L61" s="349" t="str">
        <f t="shared" ca="1" si="15"/>
        <v>Nigeria</v>
      </c>
      <c r="M61" s="349" t="str">
        <f t="shared" ca="1" si="15"/>
        <v>Bosnië en Herzegovina</v>
      </c>
      <c r="N61" s="349" t="str">
        <f t="shared" ca="1" si="15"/>
        <v>Bosnië en Herzegovina</v>
      </c>
      <c r="O61" s="349" t="str">
        <f t="shared" ca="1" si="15"/>
        <v>Nigeria</v>
      </c>
      <c r="P61" s="349" t="str">
        <f t="shared" ca="1" si="15"/>
        <v>Bosnië en Herzegovina</v>
      </c>
      <c r="Q61" s="349" t="str">
        <f t="shared" ca="1" si="15"/>
        <v>Nigeria</v>
      </c>
      <c r="R61" s="349" t="str">
        <f t="shared" ca="1" si="17"/>
        <v>Nigeria</v>
      </c>
      <c r="S61" s="349" t="str">
        <f t="shared" ca="1" si="15"/>
        <v>Nigeria</v>
      </c>
      <c r="T61" s="349" t="str">
        <f t="shared" ca="1" si="15"/>
        <v>Bosnië en Herzegovina</v>
      </c>
      <c r="U61" s="349" t="str">
        <f t="shared" ca="1" si="15"/>
        <v>Bosnië en Herzegovina</v>
      </c>
      <c r="V61" s="349" t="str">
        <f t="shared" ca="1" si="15"/>
        <v>Bosnië en Herzegovina</v>
      </c>
      <c r="W61" s="349" t="str">
        <f t="shared" ca="1" si="15"/>
        <v>Bosnië en Herzegovina</v>
      </c>
      <c r="X61" s="349" t="str">
        <f t="shared" ca="1" si="15"/>
        <v>Nigeria</v>
      </c>
      <c r="Y61" s="349" t="str">
        <f t="shared" ca="1" si="15"/>
        <v>Bosnië en Herzegovina</v>
      </c>
      <c r="Z61" s="349" t="str">
        <f t="shared" ca="1" si="15"/>
        <v>Nigeria</v>
      </c>
      <c r="AB61" s="391"/>
      <c r="AC61" s="391"/>
      <c r="AD61" s="392"/>
      <c r="AE61" s="392"/>
      <c r="AF61" s="392"/>
      <c r="AG61" s="393"/>
      <c r="AH61" s="393"/>
      <c r="AI61" s="393"/>
    </row>
    <row r="62" spans="1:35" ht="13.5" thickBot="1">
      <c r="A62" s="154" t="s">
        <v>77</v>
      </c>
      <c r="B62" s="352"/>
      <c r="C62" s="166" t="str">
        <f t="shared" ca="1" si="14"/>
        <v>Duitsland</v>
      </c>
      <c r="D62" s="166" t="str">
        <f t="shared" ca="1" si="15"/>
        <v>Duitsland</v>
      </c>
      <c r="E62" s="166" t="str">
        <f t="shared" ca="1" si="15"/>
        <v>Duitsland</v>
      </c>
      <c r="F62" s="166" t="str">
        <f t="shared" ca="1" si="15"/>
        <v>Duitsland</v>
      </c>
      <c r="G62" s="166" t="str">
        <f t="shared" ref="G62:Z65" ca="1" si="18">(VLOOKUP($A62,INDIRECT(G$1&amp;"!$a$94:$d$292"),4,0))</f>
        <v>Duitsland</v>
      </c>
      <c r="H62" s="166" t="str">
        <f t="shared" ca="1" si="18"/>
        <v>Duitsland</v>
      </c>
      <c r="I62" s="166" t="str">
        <f t="shared" ca="1" si="18"/>
        <v>Duitsland</v>
      </c>
      <c r="J62" s="166" t="str">
        <f t="shared" ca="1" si="18"/>
        <v>Duitsland</v>
      </c>
      <c r="K62" s="166" t="str">
        <f t="shared" ca="1" si="18"/>
        <v>Duitsland</v>
      </c>
      <c r="L62" s="166" t="str">
        <f t="shared" ca="1" si="18"/>
        <v>Duitsland</v>
      </c>
      <c r="M62" s="166" t="str">
        <f t="shared" ca="1" si="18"/>
        <v>Duitsland</v>
      </c>
      <c r="N62" s="166" t="str">
        <f t="shared" ca="1" si="18"/>
        <v>Portugal</v>
      </c>
      <c r="O62" s="166" t="str">
        <f t="shared" ca="1" si="18"/>
        <v>Duitsland</v>
      </c>
      <c r="P62" s="166" t="str">
        <f t="shared" ca="1" si="18"/>
        <v>Duitsland</v>
      </c>
      <c r="Q62" s="166" t="str">
        <f t="shared" ca="1" si="18"/>
        <v>Duitsland</v>
      </c>
      <c r="R62" s="166" t="str">
        <f t="shared" ca="1" si="18"/>
        <v>Duitsland</v>
      </c>
      <c r="S62" s="166" t="str">
        <f t="shared" ca="1" si="18"/>
        <v>Duitsland</v>
      </c>
      <c r="T62" s="166" t="str">
        <f t="shared" ca="1" si="18"/>
        <v>Portugal</v>
      </c>
      <c r="U62" s="166" t="str">
        <f t="shared" ca="1" si="18"/>
        <v>Portugal</v>
      </c>
      <c r="V62" s="166" t="str">
        <f t="shared" ca="1" si="18"/>
        <v>Duitsland</v>
      </c>
      <c r="W62" s="166" t="str">
        <f t="shared" ca="1" si="18"/>
        <v>Duitsland</v>
      </c>
      <c r="X62" s="166" t="str">
        <f t="shared" ca="1" si="18"/>
        <v>Duitsland</v>
      </c>
      <c r="Y62" s="166" t="str">
        <f t="shared" ca="1" si="18"/>
        <v>Portugal</v>
      </c>
      <c r="Z62" s="166" t="str">
        <f t="shared" ca="1" si="18"/>
        <v>Ghana</v>
      </c>
      <c r="AB62" s="391"/>
      <c r="AC62" s="391"/>
      <c r="AD62" s="392"/>
      <c r="AE62" s="392"/>
      <c r="AF62" s="392"/>
      <c r="AG62" s="393"/>
      <c r="AH62" s="393"/>
      <c r="AI62" s="393"/>
    </row>
    <row r="63" spans="1:35">
      <c r="A63" s="154" t="s">
        <v>78</v>
      </c>
      <c r="B63" s="351"/>
      <c r="C63" s="349" t="str">
        <f t="shared" ca="1" si="14"/>
        <v>Portugal</v>
      </c>
      <c r="D63" s="349" t="str">
        <f t="shared" ref="D63:F65" ca="1" si="19">(VLOOKUP($A63,INDIRECT(D$1&amp;"!$a$94:$d$292"),4,0))</f>
        <v>Portugal</v>
      </c>
      <c r="E63" s="349" t="str">
        <f t="shared" ca="1" si="19"/>
        <v>Ghana</v>
      </c>
      <c r="F63" s="349" t="str">
        <f t="shared" ca="1" si="19"/>
        <v>USA</v>
      </c>
      <c r="G63" s="349" t="str">
        <f t="shared" ca="1" si="18"/>
        <v>Portugal</v>
      </c>
      <c r="H63" s="349" t="str">
        <f t="shared" ca="1" si="18"/>
        <v>Portugal</v>
      </c>
      <c r="I63" s="349" t="str">
        <f t="shared" ca="1" si="18"/>
        <v>Portugal</v>
      </c>
      <c r="J63" s="349" t="str">
        <f t="shared" ca="1" si="18"/>
        <v>Portugal</v>
      </c>
      <c r="K63" s="349" t="str">
        <f t="shared" ca="1" si="18"/>
        <v>Portugal</v>
      </c>
      <c r="L63" s="349" t="str">
        <f t="shared" ca="1" si="18"/>
        <v>Portugal</v>
      </c>
      <c r="M63" s="349" t="str">
        <f t="shared" ca="1" si="18"/>
        <v>Portugal</v>
      </c>
      <c r="N63" s="349" t="str">
        <f t="shared" ca="1" si="18"/>
        <v>Duitsland</v>
      </c>
      <c r="O63" s="349" t="str">
        <f t="shared" ca="1" si="18"/>
        <v>USA</v>
      </c>
      <c r="P63" s="349" t="str">
        <f t="shared" ca="1" si="18"/>
        <v>Portugal</v>
      </c>
      <c r="Q63" s="349" t="str">
        <f t="shared" ca="1" si="18"/>
        <v>Portugal</v>
      </c>
      <c r="R63" s="349" t="str">
        <f t="shared" ca="1" si="18"/>
        <v>Portugal</v>
      </c>
      <c r="S63" s="349" t="str">
        <f t="shared" ca="1" si="18"/>
        <v>Ghana</v>
      </c>
      <c r="T63" s="349" t="str">
        <f t="shared" ca="1" si="18"/>
        <v>Duitsland</v>
      </c>
      <c r="U63" s="349" t="str">
        <f t="shared" ca="1" si="18"/>
        <v>Duitsland</v>
      </c>
      <c r="V63" s="349" t="str">
        <f t="shared" ca="1" si="18"/>
        <v>Portugal</v>
      </c>
      <c r="W63" s="349" t="str">
        <f t="shared" ca="1" si="18"/>
        <v>Portugal</v>
      </c>
      <c r="X63" s="349" t="str">
        <f t="shared" ca="1" si="18"/>
        <v>Portugal</v>
      </c>
      <c r="Y63" s="349" t="str">
        <f t="shared" ca="1" si="18"/>
        <v>Duitsland</v>
      </c>
      <c r="Z63" s="349" t="str">
        <f t="shared" ca="1" si="18"/>
        <v>Duitsland</v>
      </c>
      <c r="AB63" s="391"/>
      <c r="AC63" s="391"/>
      <c r="AD63" s="392"/>
      <c r="AE63" s="392"/>
      <c r="AF63" s="392"/>
      <c r="AG63" s="393"/>
      <c r="AH63" s="393"/>
      <c r="AI63" s="393"/>
    </row>
    <row r="64" spans="1:35" ht="13.5" thickBot="1">
      <c r="A64" s="154" t="s">
        <v>79</v>
      </c>
      <c r="B64" s="352"/>
      <c r="C64" s="166" t="str">
        <f t="shared" ca="1" si="14"/>
        <v>België</v>
      </c>
      <c r="D64" s="166" t="str">
        <f t="shared" ca="1" si="19"/>
        <v>België</v>
      </c>
      <c r="E64" s="166" t="str">
        <f t="shared" ca="1" si="19"/>
        <v>België</v>
      </c>
      <c r="F64" s="166" t="str">
        <f t="shared" ca="1" si="19"/>
        <v>Rusland</v>
      </c>
      <c r="G64" s="166" t="str">
        <f t="shared" ca="1" si="18"/>
        <v>Rusland</v>
      </c>
      <c r="H64" s="166" t="str">
        <f t="shared" ca="1" si="18"/>
        <v>België</v>
      </c>
      <c r="I64" s="166" t="str">
        <f t="shared" ca="1" si="18"/>
        <v>België</v>
      </c>
      <c r="J64" s="166" t="str">
        <f t="shared" ca="1" si="18"/>
        <v>België</v>
      </c>
      <c r="K64" s="166" t="str">
        <f t="shared" ca="1" si="18"/>
        <v>België</v>
      </c>
      <c r="L64" s="166" t="str">
        <f t="shared" ca="1" si="18"/>
        <v>België</v>
      </c>
      <c r="M64" s="166" t="str">
        <f t="shared" ca="1" si="18"/>
        <v>België</v>
      </c>
      <c r="N64" s="166" t="str">
        <f t="shared" ca="1" si="18"/>
        <v>België</v>
      </c>
      <c r="O64" s="166" t="str">
        <f t="shared" ca="1" si="18"/>
        <v>Rusland</v>
      </c>
      <c r="P64" s="166" t="str">
        <f t="shared" ca="1" si="18"/>
        <v>België</v>
      </c>
      <c r="Q64" s="166" t="str">
        <f t="shared" ca="1" si="18"/>
        <v>Rusland</v>
      </c>
      <c r="R64" s="166" t="str">
        <f t="shared" ca="1" si="18"/>
        <v>Rusland</v>
      </c>
      <c r="S64" s="166" t="str">
        <f t="shared" ca="1" si="18"/>
        <v>België</v>
      </c>
      <c r="T64" s="166" t="str">
        <f t="shared" ca="1" si="18"/>
        <v>België</v>
      </c>
      <c r="U64" s="166" t="str">
        <f t="shared" ca="1" si="18"/>
        <v>België</v>
      </c>
      <c r="V64" s="166" t="str">
        <f t="shared" ca="1" si="18"/>
        <v>België</v>
      </c>
      <c r="W64" s="166" t="str">
        <f t="shared" ca="1" si="18"/>
        <v>België</v>
      </c>
      <c r="X64" s="166" t="str">
        <f t="shared" ca="1" si="18"/>
        <v>Rusland</v>
      </c>
      <c r="Y64" s="166" t="str">
        <f t="shared" ca="1" si="18"/>
        <v>België</v>
      </c>
      <c r="Z64" s="166" t="str">
        <f t="shared" ca="1" si="18"/>
        <v>België</v>
      </c>
      <c r="AB64" s="391"/>
      <c r="AC64" s="391"/>
      <c r="AD64" s="392"/>
      <c r="AE64" s="392"/>
      <c r="AF64" s="392"/>
      <c r="AG64" s="393"/>
      <c r="AH64" s="393"/>
      <c r="AI64" s="393"/>
    </row>
    <row r="65" spans="1:35">
      <c r="A65" s="154" t="s">
        <v>80</v>
      </c>
      <c r="B65" s="351"/>
      <c r="C65" s="349" t="str">
        <f t="shared" ca="1" si="14"/>
        <v>Rusland</v>
      </c>
      <c r="D65" s="349" t="str">
        <f t="shared" ca="1" si="19"/>
        <v>Rusland</v>
      </c>
      <c r="E65" s="349" t="str">
        <f t="shared" ca="1" si="19"/>
        <v>Rusland</v>
      </c>
      <c r="F65" s="349" t="str">
        <f t="shared" ca="1" si="19"/>
        <v>België</v>
      </c>
      <c r="G65" s="349" t="str">
        <f t="shared" ca="1" si="18"/>
        <v>België</v>
      </c>
      <c r="H65" s="349" t="str">
        <f t="shared" ca="1" si="18"/>
        <v>Rusland</v>
      </c>
      <c r="I65" s="349" t="str">
        <f t="shared" ca="1" si="18"/>
        <v>Algerije</v>
      </c>
      <c r="J65" s="349" t="str">
        <f t="shared" ca="1" si="18"/>
        <v>Rusland</v>
      </c>
      <c r="K65" s="349" t="str">
        <f t="shared" ca="1" si="18"/>
        <v>Zuid-Korea</v>
      </c>
      <c r="L65" s="349" t="str">
        <f t="shared" ca="1" si="18"/>
        <v>Rusland</v>
      </c>
      <c r="M65" s="349" t="str">
        <f t="shared" ca="1" si="18"/>
        <v>Rusland</v>
      </c>
      <c r="N65" s="349" t="str">
        <f t="shared" ca="1" si="18"/>
        <v>Rusland</v>
      </c>
      <c r="O65" s="349" t="str">
        <f t="shared" ca="1" si="18"/>
        <v>Zuid-Korea</v>
      </c>
      <c r="P65" s="349" t="str">
        <f t="shared" ca="1" si="18"/>
        <v>Rusland</v>
      </c>
      <c r="Q65" s="349" t="str">
        <f t="shared" ca="1" si="18"/>
        <v>België</v>
      </c>
      <c r="R65" s="349" t="str">
        <f t="shared" ca="1" si="18"/>
        <v>België</v>
      </c>
      <c r="S65" s="349" t="str">
        <f t="shared" ca="1" si="18"/>
        <v>Rusland</v>
      </c>
      <c r="T65" s="349" t="str">
        <f t="shared" ca="1" si="18"/>
        <v>Zuid-Korea</v>
      </c>
      <c r="U65" s="349" t="str">
        <f t="shared" ca="1" si="18"/>
        <v>Rusland</v>
      </c>
      <c r="V65" s="349" t="str">
        <f t="shared" ca="1" si="18"/>
        <v>Rusland</v>
      </c>
      <c r="W65" s="349" t="str">
        <f t="shared" ca="1" si="18"/>
        <v>Rusland</v>
      </c>
      <c r="X65" s="349" t="str">
        <f t="shared" ca="1" si="18"/>
        <v>Zuid-Korea</v>
      </c>
      <c r="Y65" s="349" t="str">
        <f t="shared" ca="1" si="18"/>
        <v>Rusland</v>
      </c>
      <c r="Z65" s="349" t="str">
        <f t="shared" ca="1" si="18"/>
        <v>Zuid-Korea</v>
      </c>
      <c r="AA65" s="167"/>
      <c r="AB65" s="391"/>
      <c r="AC65" s="391"/>
      <c r="AD65" s="392"/>
      <c r="AE65" s="392"/>
      <c r="AF65" s="392"/>
      <c r="AG65" s="393"/>
      <c r="AH65" s="393"/>
      <c r="AI65" s="393"/>
    </row>
    <row r="66" spans="1:35" s="161" customFormat="1">
      <c r="A66" s="159">
        <v>49</v>
      </c>
      <c r="B66" s="168" t="str">
        <f t="shared" ref="B66:B73" si="20">VLOOKUP($A66,wedstrijden,6,0)&amp;"-"&amp;VLOOKUP($A66,wedstrijden,10,0)</f>
        <v>Brazilië-Chili</v>
      </c>
      <c r="C66" s="340" t="str">
        <f t="shared" ref="C66:M73" ca="1" si="21">VLOOKUP($A66,INDIRECT(C$1&amp;loc_voorspell),7,0)&amp;" - "&amp;VLOOKUP($A66,INDIRECT(C$1&amp;loc_voorspell),9,0)</f>
        <v>2 - 1</v>
      </c>
      <c r="D66" s="340" t="str">
        <f t="shared" ca="1" si="21"/>
        <v>2 - 1</v>
      </c>
      <c r="E66" s="340" t="str">
        <f t="shared" ca="1" si="21"/>
        <v>2 - 1</v>
      </c>
      <c r="F66" s="340" t="str">
        <f t="shared" ca="1" si="21"/>
        <v>4 - 1</v>
      </c>
      <c r="G66" s="340" t="str">
        <f t="shared" ca="1" si="21"/>
        <v>3 - 2</v>
      </c>
      <c r="H66" s="340" t="str">
        <f t="shared" ca="1" si="21"/>
        <v>2 - 1</v>
      </c>
      <c r="I66" s="340" t="str">
        <f t="shared" ca="1" si="21"/>
        <v>2 - 1</v>
      </c>
      <c r="J66" s="340" t="str">
        <f t="shared" ca="1" si="21"/>
        <v>2 - 1</v>
      </c>
      <c r="K66" s="340" t="str">
        <f t="shared" ca="1" si="21"/>
        <v>1 - 3</v>
      </c>
      <c r="L66" s="340" t="str">
        <f t="shared" ca="1" si="21"/>
        <v>2 - 1</v>
      </c>
      <c r="M66" s="340" t="str">
        <f t="shared" ca="1" si="21"/>
        <v>2 - 0</v>
      </c>
      <c r="N66" s="340" t="str">
        <f t="shared" ref="N66:Z73" ca="1" si="22">VLOOKUP($A66,INDIRECT(N$1&amp;loc_voorspell),7,0)&amp;" - "&amp;VLOOKUP($A66,INDIRECT(N$1&amp;loc_voorspell),9,0)</f>
        <v>2 - 2</v>
      </c>
      <c r="O66" s="340" t="str">
        <f t="shared" ca="1" si="22"/>
        <v>2 - 0</v>
      </c>
      <c r="P66" s="340" t="str">
        <f t="shared" ca="1" si="22"/>
        <v>2 - 1</v>
      </c>
      <c r="Q66" s="340" t="str">
        <f t="shared" ca="1" si="22"/>
        <v>1 - 0</v>
      </c>
      <c r="R66" s="340" t="str">
        <f t="shared" ca="1" si="22"/>
        <v>2 - 1</v>
      </c>
      <c r="S66" s="340" t="str">
        <f t="shared" ca="1" si="22"/>
        <v>2 - 1</v>
      </c>
      <c r="T66" s="340" t="str">
        <f t="shared" ca="1" si="22"/>
        <v>2 - 0</v>
      </c>
      <c r="U66" s="340" t="str">
        <f t="shared" ca="1" si="22"/>
        <v>2 - 0</v>
      </c>
      <c r="V66" s="340" t="str">
        <f t="shared" ca="1" si="22"/>
        <v>0 - 2</v>
      </c>
      <c r="W66" s="340" t="str">
        <f t="shared" ca="1" si="22"/>
        <v>0 - 0</v>
      </c>
      <c r="X66" s="340" t="str">
        <f t="shared" ca="1" si="22"/>
        <v>2 - 1</v>
      </c>
      <c r="Y66" s="340" t="str">
        <f t="shared" ca="1" si="22"/>
        <v>1 - 3</v>
      </c>
      <c r="Z66" s="340" t="str">
        <f t="shared" ca="1" si="22"/>
        <v>1 - 2</v>
      </c>
      <c r="AB66" s="391">
        <f t="shared" ref="AB66:AI73" ca="1" si="23">COUNTIF($C66:$AA66,AB$1)</f>
        <v>1</v>
      </c>
      <c r="AC66" s="391">
        <f t="shared" ca="1" si="23"/>
        <v>0</v>
      </c>
      <c r="AD66" s="392">
        <f t="shared" ca="1" si="23"/>
        <v>1</v>
      </c>
      <c r="AE66" s="392">
        <f t="shared" ca="1" si="23"/>
        <v>4</v>
      </c>
      <c r="AF66" s="392">
        <f t="shared" ca="1" si="23"/>
        <v>11</v>
      </c>
      <c r="AG66" s="393">
        <f t="shared" ca="1" si="23"/>
        <v>1</v>
      </c>
      <c r="AH66" s="393">
        <f t="shared" ca="1" si="23"/>
        <v>1</v>
      </c>
      <c r="AI66" s="393">
        <f t="shared" ca="1" si="23"/>
        <v>0</v>
      </c>
    </row>
    <row r="67" spans="1:35" s="161" customFormat="1">
      <c r="A67" s="159">
        <v>50</v>
      </c>
      <c r="B67" s="168" t="str">
        <f t="shared" si="20"/>
        <v>Colombia-Uruguay</v>
      </c>
      <c r="C67" s="340" t="str">
        <f t="shared" ca="1" si="21"/>
        <v>1 - 1</v>
      </c>
      <c r="D67" s="340" t="str">
        <f t="shared" ca="1" si="21"/>
        <v>1 - 1</v>
      </c>
      <c r="E67" s="340" t="str">
        <f t="shared" ca="1" si="21"/>
        <v>2 - 1</v>
      </c>
      <c r="F67" s="340" t="str">
        <f t="shared" ca="1" si="21"/>
        <v>2 - 2</v>
      </c>
      <c r="G67" s="340" t="str">
        <f t="shared" ca="1" si="21"/>
        <v>1 - 1</v>
      </c>
      <c r="H67" s="340" t="str">
        <f t="shared" ca="1" si="21"/>
        <v>1 - 1</v>
      </c>
      <c r="I67" s="340" t="str">
        <f t="shared" ca="1" si="21"/>
        <v>1 - 0</v>
      </c>
      <c r="J67" s="340" t="str">
        <f t="shared" ca="1" si="21"/>
        <v>2 - 1</v>
      </c>
      <c r="K67" s="340" t="str">
        <f t="shared" ca="1" si="21"/>
        <v>1 - 1</v>
      </c>
      <c r="L67" s="340" t="str">
        <f t="shared" ca="1" si="21"/>
        <v>1 - 2</v>
      </c>
      <c r="M67" s="340" t="str">
        <f t="shared" ca="1" si="21"/>
        <v>0 - 0</v>
      </c>
      <c r="N67" s="340" t="str">
        <f t="shared" ca="1" si="22"/>
        <v>0 - 1</v>
      </c>
      <c r="O67" s="340" t="str">
        <f t="shared" ca="1" si="22"/>
        <v>1 - 2</v>
      </c>
      <c r="P67" s="340" t="str">
        <f t="shared" ca="1" si="22"/>
        <v>1 - 0</v>
      </c>
      <c r="Q67" s="340" t="str">
        <f t="shared" ca="1" si="22"/>
        <v>0 - 0</v>
      </c>
      <c r="R67" s="340" t="str">
        <f t="shared" ca="1" si="22"/>
        <v>0 - 0</v>
      </c>
      <c r="S67" s="340" t="str">
        <f t="shared" ca="1" si="22"/>
        <v>0 - 0</v>
      </c>
      <c r="T67" s="340" t="str">
        <f t="shared" ca="1" si="22"/>
        <v>1 - 0</v>
      </c>
      <c r="U67" s="340" t="str">
        <f t="shared" ca="1" si="22"/>
        <v>1 - 1</v>
      </c>
      <c r="V67" s="340" t="str">
        <f t="shared" ca="1" si="22"/>
        <v>0 - 0</v>
      </c>
      <c r="W67" s="340" t="str">
        <f t="shared" ca="1" si="22"/>
        <v>0 - 1</v>
      </c>
      <c r="X67" s="340" t="str">
        <f t="shared" ca="1" si="22"/>
        <v>2 - 1</v>
      </c>
      <c r="Y67" s="340" t="str">
        <f t="shared" ca="1" si="22"/>
        <v>1 - 3</v>
      </c>
      <c r="Z67" s="340" t="str">
        <f t="shared" ca="1" si="22"/>
        <v>0 - 1</v>
      </c>
      <c r="AB67" s="391">
        <f t="shared" ca="1" si="23"/>
        <v>5</v>
      </c>
      <c r="AC67" s="391">
        <f t="shared" ca="1" si="23"/>
        <v>6</v>
      </c>
      <c r="AD67" s="392">
        <f t="shared" ca="1" si="23"/>
        <v>3</v>
      </c>
      <c r="AE67" s="392">
        <f t="shared" ca="1" si="23"/>
        <v>0</v>
      </c>
      <c r="AF67" s="392">
        <f t="shared" ca="1" si="23"/>
        <v>3</v>
      </c>
      <c r="AG67" s="393">
        <f t="shared" ca="1" si="23"/>
        <v>2</v>
      </c>
      <c r="AH67" s="393">
        <f t="shared" ca="1" si="23"/>
        <v>0</v>
      </c>
      <c r="AI67" s="393">
        <f t="shared" ca="1" si="23"/>
        <v>3</v>
      </c>
    </row>
    <row r="68" spans="1:35" s="161" customFormat="1">
      <c r="A68" s="159">
        <v>51</v>
      </c>
      <c r="B68" s="168" t="str">
        <f t="shared" si="20"/>
        <v>Nederland-Mexico</v>
      </c>
      <c r="C68" s="340" t="str">
        <f t="shared" ca="1" si="21"/>
        <v>1 - 0</v>
      </c>
      <c r="D68" s="340" t="str">
        <f t="shared" ca="1" si="21"/>
        <v>2 - 0</v>
      </c>
      <c r="E68" s="340" t="str">
        <f t="shared" ca="1" si="21"/>
        <v>2 - 1</v>
      </c>
      <c r="F68" s="340" t="str">
        <f t="shared" ca="1" si="21"/>
        <v>1 - 0</v>
      </c>
      <c r="G68" s="340" t="str">
        <f t="shared" ca="1" si="21"/>
        <v>2 - 0</v>
      </c>
      <c r="H68" s="340" t="str">
        <f t="shared" ca="1" si="21"/>
        <v>3 - 1</v>
      </c>
      <c r="I68" s="340" t="str">
        <f t="shared" ca="1" si="21"/>
        <v>2 - 0</v>
      </c>
      <c r="J68" s="340" t="str">
        <f t="shared" ca="1" si="21"/>
        <v>1 - 0</v>
      </c>
      <c r="K68" s="340" t="str">
        <f t="shared" ca="1" si="21"/>
        <v>0 - 2</v>
      </c>
      <c r="L68" s="340" t="str">
        <f t="shared" ca="1" si="21"/>
        <v>3 - 1</v>
      </c>
      <c r="M68" s="340" t="str">
        <f t="shared" ca="1" si="21"/>
        <v>1 - 0</v>
      </c>
      <c r="N68" s="340" t="str">
        <f t="shared" ca="1" si="22"/>
        <v>2 - 0</v>
      </c>
      <c r="O68" s="340" t="str">
        <f t="shared" ca="1" si="22"/>
        <v>2 - 0</v>
      </c>
      <c r="P68" s="340" t="str">
        <f t="shared" ca="1" si="22"/>
        <v>1 - 0</v>
      </c>
      <c r="Q68" s="340" t="str">
        <f t="shared" ca="1" si="22"/>
        <v>2 - 1</v>
      </c>
      <c r="R68" s="340" t="str">
        <f t="shared" ca="1" si="22"/>
        <v>2 - 0</v>
      </c>
      <c r="S68" s="340" t="str">
        <f t="shared" ca="1" si="22"/>
        <v>1 - 0</v>
      </c>
      <c r="T68" s="340" t="str">
        <f t="shared" ca="1" si="22"/>
        <v>2 - 1</v>
      </c>
      <c r="U68" s="340" t="str">
        <f t="shared" ca="1" si="22"/>
        <v>3 - 1</v>
      </c>
      <c r="V68" s="340" t="str">
        <f t="shared" ca="1" si="22"/>
        <v>1 - 0</v>
      </c>
      <c r="W68" s="340" t="str">
        <f t="shared" ca="1" si="22"/>
        <v>1 - 0</v>
      </c>
      <c r="X68" s="340" t="str">
        <f t="shared" ca="1" si="22"/>
        <v>2 - 2</v>
      </c>
      <c r="Y68" s="340" t="str">
        <f t="shared" ca="1" si="22"/>
        <v>1 - 2</v>
      </c>
      <c r="Z68" s="340" t="str">
        <f t="shared" ca="1" si="22"/>
        <v>1 - 2</v>
      </c>
      <c r="AB68" s="391">
        <f t="shared" ca="1" si="23"/>
        <v>0</v>
      </c>
      <c r="AC68" s="391">
        <f t="shared" ca="1" si="23"/>
        <v>0</v>
      </c>
      <c r="AD68" s="392">
        <f t="shared" ca="1" si="23"/>
        <v>8</v>
      </c>
      <c r="AE68" s="392">
        <f t="shared" ca="1" si="23"/>
        <v>6</v>
      </c>
      <c r="AF68" s="392">
        <f t="shared" ca="1" si="23"/>
        <v>3</v>
      </c>
      <c r="AG68" s="393">
        <f t="shared" ca="1" si="23"/>
        <v>2</v>
      </c>
      <c r="AH68" s="393">
        <f t="shared" ca="1" si="23"/>
        <v>1</v>
      </c>
      <c r="AI68" s="393">
        <f t="shared" ca="1" si="23"/>
        <v>0</v>
      </c>
    </row>
    <row r="69" spans="1:35" s="161" customFormat="1">
      <c r="A69" s="159">
        <v>52</v>
      </c>
      <c r="B69" s="168" t="str">
        <f t="shared" si="20"/>
        <v>Costa Rica-Griekenland</v>
      </c>
      <c r="C69" s="340" t="str">
        <f t="shared" ca="1" si="21"/>
        <v>1 - 1</v>
      </c>
      <c r="D69" s="340" t="str">
        <f t="shared" ca="1" si="21"/>
        <v>1 - 2</v>
      </c>
      <c r="E69" s="340" t="str">
        <f t="shared" ca="1" si="21"/>
        <v>2 - 1</v>
      </c>
      <c r="F69" s="340" t="str">
        <f t="shared" ca="1" si="21"/>
        <v>1 - 1</v>
      </c>
      <c r="G69" s="340" t="str">
        <f t="shared" ca="1" si="21"/>
        <v>1 - 1</v>
      </c>
      <c r="H69" s="340" t="str">
        <f t="shared" ca="1" si="21"/>
        <v>1 - 1</v>
      </c>
      <c r="I69" s="340" t="str">
        <f t="shared" ca="1" si="21"/>
        <v>1 - 0</v>
      </c>
      <c r="J69" s="340" t="str">
        <f t="shared" ca="1" si="21"/>
        <v>2 - 1</v>
      </c>
      <c r="K69" s="340" t="str">
        <f t="shared" ca="1" si="21"/>
        <v>1 - 3</v>
      </c>
      <c r="L69" s="340" t="str">
        <f t="shared" ca="1" si="21"/>
        <v>2 - 1</v>
      </c>
      <c r="M69" s="340" t="str">
        <f t="shared" ca="1" si="21"/>
        <v>1 - 0</v>
      </c>
      <c r="N69" s="340" t="str">
        <f t="shared" ca="1" si="22"/>
        <v>1 - 0</v>
      </c>
      <c r="O69" s="340" t="str">
        <f t="shared" ca="1" si="22"/>
        <v>3 - 1</v>
      </c>
      <c r="P69" s="340" t="str">
        <f t="shared" ca="1" si="22"/>
        <v>2 - 1</v>
      </c>
      <c r="Q69" s="340" t="str">
        <f t="shared" ca="1" si="22"/>
        <v>1 - 0</v>
      </c>
      <c r="R69" s="340" t="str">
        <f t="shared" ca="1" si="22"/>
        <v>0 - 0</v>
      </c>
      <c r="S69" s="340" t="str">
        <f t="shared" ca="1" si="22"/>
        <v>3 - 1</v>
      </c>
      <c r="T69" s="340" t="str">
        <f t="shared" ca="1" si="22"/>
        <v>1 - 0</v>
      </c>
      <c r="U69" s="340" t="str">
        <f t="shared" ca="1" si="22"/>
        <v>2 - 0</v>
      </c>
      <c r="V69" s="340" t="str">
        <f t="shared" ca="1" si="22"/>
        <v>2 - 0</v>
      </c>
      <c r="W69" s="340" t="str">
        <f t="shared" ca="1" si="22"/>
        <v>1 - 0</v>
      </c>
      <c r="X69" s="340" t="str">
        <f t="shared" ca="1" si="22"/>
        <v>2 - 0</v>
      </c>
      <c r="Y69" s="340" t="str">
        <f t="shared" ca="1" si="22"/>
        <v>2 - 0</v>
      </c>
      <c r="Z69" s="340" t="str">
        <f t="shared" ca="1" si="22"/>
        <v>2 - 1</v>
      </c>
      <c r="AB69" s="391">
        <f t="shared" ca="1" si="23"/>
        <v>1</v>
      </c>
      <c r="AC69" s="391">
        <f t="shared" ca="1" si="23"/>
        <v>4</v>
      </c>
      <c r="AD69" s="392">
        <f t="shared" ca="1" si="23"/>
        <v>6</v>
      </c>
      <c r="AE69" s="392">
        <f t="shared" ca="1" si="23"/>
        <v>4</v>
      </c>
      <c r="AF69" s="392">
        <f t="shared" ca="1" si="23"/>
        <v>5</v>
      </c>
      <c r="AG69" s="393">
        <f t="shared" ca="1" si="23"/>
        <v>1</v>
      </c>
      <c r="AH69" s="393">
        <f t="shared" ca="1" si="23"/>
        <v>0</v>
      </c>
      <c r="AI69" s="393">
        <f t="shared" ca="1" si="23"/>
        <v>0</v>
      </c>
    </row>
    <row r="70" spans="1:35" s="161" customFormat="1">
      <c r="A70" s="159">
        <v>53</v>
      </c>
      <c r="B70" s="168" t="str">
        <f t="shared" si="20"/>
        <v>Frankrijk-Nigeria</v>
      </c>
      <c r="C70" s="340" t="str">
        <f t="shared" ca="1" si="21"/>
        <v>2 - 1</v>
      </c>
      <c r="D70" s="340" t="str">
        <f t="shared" ca="1" si="21"/>
        <v>2 - 1</v>
      </c>
      <c r="E70" s="340" t="str">
        <f t="shared" ca="1" si="21"/>
        <v>2 - 1</v>
      </c>
      <c r="F70" s="340" t="str">
        <f t="shared" ca="1" si="21"/>
        <v>2 - 0</v>
      </c>
      <c r="G70" s="340" t="str">
        <f t="shared" ca="1" si="21"/>
        <v>3 - 0</v>
      </c>
      <c r="H70" s="340" t="str">
        <f t="shared" ca="1" si="21"/>
        <v>2 - 0</v>
      </c>
      <c r="I70" s="340" t="str">
        <f t="shared" ca="1" si="21"/>
        <v>2 - 0</v>
      </c>
      <c r="J70" s="340" t="str">
        <f t="shared" ca="1" si="21"/>
        <v>2 - 1</v>
      </c>
      <c r="K70" s="340" t="str">
        <f t="shared" ca="1" si="21"/>
        <v>2 - 0</v>
      </c>
      <c r="L70" s="340" t="str">
        <f t="shared" ca="1" si="21"/>
        <v>0 - 1</v>
      </c>
      <c r="M70" s="340" t="str">
        <f t="shared" ca="1" si="21"/>
        <v>2 - 1</v>
      </c>
      <c r="N70" s="340" t="str">
        <f t="shared" ca="1" si="22"/>
        <v>2 - 0</v>
      </c>
      <c r="O70" s="340" t="str">
        <f t="shared" ca="1" si="22"/>
        <v>3 - 0</v>
      </c>
      <c r="P70" s="340" t="str">
        <f t="shared" ca="1" si="22"/>
        <v>3 - 0</v>
      </c>
      <c r="Q70" s="340" t="str">
        <f t="shared" ca="1" si="22"/>
        <v>1 - 0</v>
      </c>
      <c r="R70" s="340" t="str">
        <f t="shared" ca="1" si="22"/>
        <v>2 - 0</v>
      </c>
      <c r="S70" s="340" t="str">
        <f t="shared" ca="1" si="22"/>
        <v>1 - 0</v>
      </c>
      <c r="T70" s="340" t="str">
        <f t="shared" ca="1" si="22"/>
        <v>0 - 1</v>
      </c>
      <c r="U70" s="340" t="str">
        <f t="shared" ca="1" si="22"/>
        <v>2 - 2</v>
      </c>
      <c r="V70" s="340" t="str">
        <f t="shared" ca="1" si="22"/>
        <v>1 - 1</v>
      </c>
      <c r="W70" s="340" t="str">
        <f t="shared" ca="1" si="22"/>
        <v>1 - 0</v>
      </c>
      <c r="X70" s="340" t="str">
        <f t="shared" ca="1" si="22"/>
        <v>2 - 2</v>
      </c>
      <c r="Y70" s="340" t="str">
        <f t="shared" ca="1" si="22"/>
        <v>3 - 0</v>
      </c>
      <c r="Z70" s="340" t="str">
        <f t="shared" ca="1" si="22"/>
        <v>0 - 0</v>
      </c>
      <c r="AB70" s="391">
        <f t="shared" ca="1" si="23"/>
        <v>1</v>
      </c>
      <c r="AC70" s="391">
        <f t="shared" ca="1" si="23"/>
        <v>1</v>
      </c>
      <c r="AD70" s="392">
        <f t="shared" ca="1" si="23"/>
        <v>3</v>
      </c>
      <c r="AE70" s="392">
        <f t="shared" ca="1" si="23"/>
        <v>6</v>
      </c>
      <c r="AF70" s="392">
        <f t="shared" ca="1" si="23"/>
        <v>5</v>
      </c>
      <c r="AG70" s="393">
        <f t="shared" ca="1" si="23"/>
        <v>0</v>
      </c>
      <c r="AH70" s="393">
        <f t="shared" ca="1" si="23"/>
        <v>0</v>
      </c>
      <c r="AI70" s="393">
        <f t="shared" ca="1" si="23"/>
        <v>2</v>
      </c>
    </row>
    <row r="71" spans="1:35" s="161" customFormat="1">
      <c r="A71" s="159">
        <v>54</v>
      </c>
      <c r="B71" s="168" t="str">
        <f t="shared" si="20"/>
        <v>Duitsland-Algerije</v>
      </c>
      <c r="C71" s="340" t="str">
        <f t="shared" ca="1" si="21"/>
        <v>1 - 0</v>
      </c>
      <c r="D71" s="340" t="str">
        <f t="shared" ca="1" si="21"/>
        <v>1 - 0</v>
      </c>
      <c r="E71" s="340" t="str">
        <f t="shared" ca="1" si="21"/>
        <v>2 - 1</v>
      </c>
      <c r="F71" s="340" t="str">
        <f t="shared" ca="1" si="21"/>
        <v>2 - 0</v>
      </c>
      <c r="G71" s="340" t="str">
        <f t="shared" ca="1" si="21"/>
        <v>2 - 1</v>
      </c>
      <c r="H71" s="340" t="str">
        <f t="shared" ca="1" si="21"/>
        <v>2 - 0</v>
      </c>
      <c r="I71" s="340" t="str">
        <f t="shared" ca="1" si="21"/>
        <v>1 - 0</v>
      </c>
      <c r="J71" s="340" t="str">
        <f t="shared" ca="1" si="21"/>
        <v>2 - 1</v>
      </c>
      <c r="K71" s="340" t="str">
        <f t="shared" ca="1" si="21"/>
        <v>3 - 0</v>
      </c>
      <c r="L71" s="340" t="str">
        <f t="shared" ca="1" si="21"/>
        <v>3 - 1</v>
      </c>
      <c r="M71" s="340" t="str">
        <f t="shared" ca="1" si="21"/>
        <v>2 - 0</v>
      </c>
      <c r="N71" s="340" t="str">
        <f t="shared" ca="1" si="22"/>
        <v>2 - 0</v>
      </c>
      <c r="O71" s="340" t="str">
        <f t="shared" ca="1" si="22"/>
        <v>4 - 1</v>
      </c>
      <c r="P71" s="340" t="str">
        <f t="shared" ca="1" si="22"/>
        <v>4 - 0</v>
      </c>
      <c r="Q71" s="340" t="str">
        <f t="shared" ca="1" si="22"/>
        <v>1 - 1</v>
      </c>
      <c r="R71" s="340" t="str">
        <f t="shared" ca="1" si="22"/>
        <v>2 - 0</v>
      </c>
      <c r="S71" s="340" t="str">
        <f t="shared" ca="1" si="22"/>
        <v>2 - 0</v>
      </c>
      <c r="T71" s="340" t="str">
        <f t="shared" ca="1" si="22"/>
        <v>1 - 1</v>
      </c>
      <c r="U71" s="340" t="str">
        <f t="shared" ca="1" si="22"/>
        <v>2 - 1</v>
      </c>
      <c r="V71" s="340" t="str">
        <f t="shared" ca="1" si="22"/>
        <v>3 - 1</v>
      </c>
      <c r="W71" s="340" t="str">
        <f t="shared" ca="1" si="22"/>
        <v>1 - 0</v>
      </c>
      <c r="X71" s="340" t="str">
        <f t="shared" ca="1" si="22"/>
        <v>1 - 0</v>
      </c>
      <c r="Y71" s="340" t="str">
        <f t="shared" ca="1" si="22"/>
        <v>2 - 2</v>
      </c>
      <c r="Z71" s="340" t="str">
        <f t="shared" ca="1" si="22"/>
        <v>2 - 2</v>
      </c>
      <c r="AB71" s="391">
        <f t="shared" ca="1" si="23"/>
        <v>0</v>
      </c>
      <c r="AC71" s="391">
        <f t="shared" ca="1" si="23"/>
        <v>2</v>
      </c>
      <c r="AD71" s="392">
        <f t="shared" ca="1" si="23"/>
        <v>5</v>
      </c>
      <c r="AE71" s="392">
        <f t="shared" ca="1" si="23"/>
        <v>6</v>
      </c>
      <c r="AF71" s="392">
        <f t="shared" ca="1" si="23"/>
        <v>4</v>
      </c>
      <c r="AG71" s="393">
        <f t="shared" ca="1" si="23"/>
        <v>0</v>
      </c>
      <c r="AH71" s="393">
        <f t="shared" ca="1" si="23"/>
        <v>0</v>
      </c>
      <c r="AI71" s="393">
        <f t="shared" ca="1" si="23"/>
        <v>0</v>
      </c>
    </row>
    <row r="72" spans="1:35" s="161" customFormat="1">
      <c r="A72" s="159">
        <v>55</v>
      </c>
      <c r="B72" s="168" t="str">
        <f t="shared" si="20"/>
        <v>Argentinië-Zwitserland</v>
      </c>
      <c r="C72" s="340" t="str">
        <f t="shared" ca="1" si="21"/>
        <v>2 - 0</v>
      </c>
      <c r="D72" s="340" t="str">
        <f t="shared" ca="1" si="21"/>
        <v>2 - 0</v>
      </c>
      <c r="E72" s="340" t="str">
        <f t="shared" ca="1" si="21"/>
        <v>2 - 1</v>
      </c>
      <c r="F72" s="340" t="str">
        <f t="shared" ca="1" si="21"/>
        <v>3 - 1</v>
      </c>
      <c r="G72" s="340" t="str">
        <f t="shared" ca="1" si="21"/>
        <v>3 - 1</v>
      </c>
      <c r="H72" s="340" t="str">
        <f t="shared" ca="1" si="21"/>
        <v>2 - 1</v>
      </c>
      <c r="I72" s="340" t="str">
        <f t="shared" ca="1" si="21"/>
        <v>2 - 0</v>
      </c>
      <c r="J72" s="340" t="str">
        <f t="shared" ca="1" si="21"/>
        <v>2 - 0</v>
      </c>
      <c r="K72" s="340" t="str">
        <f t="shared" ca="1" si="21"/>
        <v>3 - 1</v>
      </c>
      <c r="L72" s="340" t="str">
        <f t="shared" ca="1" si="21"/>
        <v>1 - 0</v>
      </c>
      <c r="M72" s="340" t="str">
        <f t="shared" ca="1" si="21"/>
        <v>2 - 1</v>
      </c>
      <c r="N72" s="340" t="str">
        <f t="shared" ca="1" si="22"/>
        <v>2 - 0</v>
      </c>
      <c r="O72" s="340" t="str">
        <f t="shared" ca="1" si="22"/>
        <v>3 - 0</v>
      </c>
      <c r="P72" s="340" t="str">
        <f t="shared" ca="1" si="22"/>
        <v>0 - 1</v>
      </c>
      <c r="Q72" s="340" t="str">
        <f t="shared" ca="1" si="22"/>
        <v>2 - 0</v>
      </c>
      <c r="R72" s="340" t="str">
        <f t="shared" ca="1" si="22"/>
        <v>0 - 0</v>
      </c>
      <c r="S72" s="340" t="str">
        <f t="shared" ca="1" si="22"/>
        <v>2 - 1</v>
      </c>
      <c r="T72" s="340" t="str">
        <f t="shared" ca="1" si="22"/>
        <v>2 - 0</v>
      </c>
      <c r="U72" s="340" t="str">
        <f t="shared" ca="1" si="22"/>
        <v>3 - 1</v>
      </c>
      <c r="V72" s="340" t="str">
        <f t="shared" ca="1" si="22"/>
        <v>2 - 0</v>
      </c>
      <c r="W72" s="340" t="str">
        <f t="shared" ca="1" si="22"/>
        <v>0 - 1</v>
      </c>
      <c r="X72" s="340" t="str">
        <f t="shared" ca="1" si="22"/>
        <v>2 - 0</v>
      </c>
      <c r="Y72" s="340" t="str">
        <f t="shared" ca="1" si="22"/>
        <v>2 - 0</v>
      </c>
      <c r="Z72" s="340" t="str">
        <f t="shared" ca="1" si="22"/>
        <v>4 - 1</v>
      </c>
      <c r="AB72" s="391">
        <f t="shared" ca="1" si="23"/>
        <v>1</v>
      </c>
      <c r="AC72" s="391">
        <f t="shared" ca="1" si="23"/>
        <v>0</v>
      </c>
      <c r="AD72" s="392">
        <f t="shared" ca="1" si="23"/>
        <v>1</v>
      </c>
      <c r="AE72" s="392">
        <f t="shared" ca="1" si="23"/>
        <v>10</v>
      </c>
      <c r="AF72" s="392">
        <f t="shared" ca="1" si="23"/>
        <v>4</v>
      </c>
      <c r="AG72" s="393">
        <f t="shared" ca="1" si="23"/>
        <v>0</v>
      </c>
      <c r="AH72" s="393">
        <f t="shared" ca="1" si="23"/>
        <v>0</v>
      </c>
      <c r="AI72" s="393">
        <f t="shared" ca="1" si="23"/>
        <v>2</v>
      </c>
    </row>
    <row r="73" spans="1:35" s="161" customFormat="1">
      <c r="A73" s="159">
        <v>56</v>
      </c>
      <c r="B73" s="168" t="str">
        <f t="shared" si="20"/>
        <v>België-USA</v>
      </c>
      <c r="C73" s="340" t="str">
        <f t="shared" ca="1" si="21"/>
        <v>0 - 0</v>
      </c>
      <c r="D73" s="340" t="str">
        <f t="shared" ca="1" si="21"/>
        <v>1 - 1</v>
      </c>
      <c r="E73" s="340" t="str">
        <f t="shared" ca="1" si="21"/>
        <v>2 - 1</v>
      </c>
      <c r="F73" s="340" t="str">
        <f t="shared" ca="1" si="21"/>
        <v>1 - 1</v>
      </c>
      <c r="G73" s="340" t="str">
        <f t="shared" ca="1" si="21"/>
        <v>2 - 2</v>
      </c>
      <c r="H73" s="340" t="str">
        <f t="shared" ca="1" si="21"/>
        <v>1 - 2</v>
      </c>
      <c r="I73" s="340" t="str">
        <f t="shared" ca="1" si="21"/>
        <v>0 - 0</v>
      </c>
      <c r="J73" s="340" t="str">
        <f t="shared" ca="1" si="21"/>
        <v>0 - 1</v>
      </c>
      <c r="K73" s="340" t="str">
        <f t="shared" ca="1" si="21"/>
        <v>2 - 2</v>
      </c>
      <c r="L73" s="340" t="str">
        <f t="shared" ca="1" si="21"/>
        <v>1 - 2</v>
      </c>
      <c r="M73" s="340" t="str">
        <f t="shared" ca="1" si="21"/>
        <v>1 - 1</v>
      </c>
      <c r="N73" s="340" t="str">
        <f t="shared" ca="1" si="22"/>
        <v>1 - 1</v>
      </c>
      <c r="O73" s="340" t="str">
        <f t="shared" ca="1" si="22"/>
        <v>2 - 2</v>
      </c>
      <c r="P73" s="340" t="str">
        <f t="shared" ca="1" si="22"/>
        <v>0 - 1</v>
      </c>
      <c r="Q73" s="340" t="str">
        <f t="shared" ca="1" si="22"/>
        <v>1 - 2</v>
      </c>
      <c r="R73" s="340" t="str">
        <f t="shared" ca="1" si="22"/>
        <v>1 - 1</v>
      </c>
      <c r="S73" s="340" t="str">
        <f t="shared" ca="1" si="22"/>
        <v>0 - 1</v>
      </c>
      <c r="T73" s="340" t="str">
        <f t="shared" ca="1" si="22"/>
        <v>1 - 2</v>
      </c>
      <c r="U73" s="340" t="str">
        <f t="shared" ca="1" si="22"/>
        <v>2 - 3</v>
      </c>
      <c r="V73" s="340" t="str">
        <f t="shared" ca="1" si="22"/>
        <v>1 - 1</v>
      </c>
      <c r="W73" s="340" t="str">
        <f t="shared" ca="1" si="22"/>
        <v>0 - 1</v>
      </c>
      <c r="X73" s="340" t="str">
        <f t="shared" ca="1" si="22"/>
        <v>1 - 1</v>
      </c>
      <c r="Y73" s="340" t="str">
        <f t="shared" ca="1" si="22"/>
        <v>1 - 1</v>
      </c>
      <c r="Z73" s="340" t="str">
        <f t="shared" ca="1" si="22"/>
        <v>1 - 1</v>
      </c>
      <c r="AB73" s="391">
        <f t="shared" ca="1" si="23"/>
        <v>2</v>
      </c>
      <c r="AC73" s="391">
        <f t="shared" ca="1" si="23"/>
        <v>9</v>
      </c>
      <c r="AD73" s="392">
        <f t="shared" ca="1" si="23"/>
        <v>0</v>
      </c>
      <c r="AE73" s="392">
        <f t="shared" ca="1" si="23"/>
        <v>0</v>
      </c>
      <c r="AF73" s="392">
        <f t="shared" ca="1" si="23"/>
        <v>1</v>
      </c>
      <c r="AG73" s="393">
        <f t="shared" ca="1" si="23"/>
        <v>4</v>
      </c>
      <c r="AH73" s="393">
        <f t="shared" ca="1" si="23"/>
        <v>0</v>
      </c>
      <c r="AI73" s="393">
        <f t="shared" ca="1" si="23"/>
        <v>4</v>
      </c>
    </row>
    <row r="74" spans="1:35">
      <c r="A74" s="154" t="s">
        <v>449</v>
      </c>
      <c r="B74" s="155" t="s">
        <v>410</v>
      </c>
      <c r="C74" s="436" t="str">
        <f ca="1">VLOOKUP($A74,INDIRECT(C$1&amp;loc_kwart),2,0)</f>
        <v>Brazilië</v>
      </c>
      <c r="D74" s="436" t="str">
        <f t="shared" ref="D74:Z81" ca="1" si="24">VLOOKUP($A74,INDIRECT(D$1&amp;loc_kwart),2,0)</f>
        <v>Brazilië</v>
      </c>
      <c r="E74" s="436" t="str">
        <f t="shared" ca="1" si="24"/>
        <v>Brazilië</v>
      </c>
      <c r="F74" s="436" t="str">
        <f t="shared" ca="1" si="24"/>
        <v>Brazilië</v>
      </c>
      <c r="G74" s="436" t="str">
        <f t="shared" ca="1" si="24"/>
        <v>Brazilië</v>
      </c>
      <c r="H74" s="436" t="str">
        <f t="shared" ca="1" si="24"/>
        <v>Brazilië</v>
      </c>
      <c r="I74" s="436" t="str">
        <f t="shared" ca="1" si="24"/>
        <v>Brazilië</v>
      </c>
      <c r="J74" s="436" t="str">
        <f t="shared" ca="1" si="24"/>
        <v>Brazilië</v>
      </c>
      <c r="K74" s="436" t="str">
        <f t="shared" ca="1" si="24"/>
        <v>Spanje</v>
      </c>
      <c r="L74" s="436" t="str">
        <f t="shared" ca="1" si="24"/>
        <v>Brazilië</v>
      </c>
      <c r="M74" s="436" t="str">
        <f t="shared" ca="1" si="24"/>
        <v>Brazilië</v>
      </c>
      <c r="N74" s="436" t="str">
        <f t="shared" ca="1" si="24"/>
        <v>Brazilië</v>
      </c>
      <c r="O74" s="436" t="str">
        <f t="shared" ca="1" si="24"/>
        <v>Brazilië</v>
      </c>
      <c r="P74" s="436" t="str">
        <f t="shared" ca="1" si="24"/>
        <v>Brazilië</v>
      </c>
      <c r="Q74" s="436" t="str">
        <f t="shared" ca="1" si="24"/>
        <v>Brazilië</v>
      </c>
      <c r="R74" s="436" t="str">
        <f t="shared" ca="1" si="24"/>
        <v>Brazilië</v>
      </c>
      <c r="S74" s="436" t="str">
        <f t="shared" ca="1" si="24"/>
        <v>Brazilië</v>
      </c>
      <c r="T74" s="436" t="str">
        <f t="shared" ca="1" si="24"/>
        <v>Brazilië</v>
      </c>
      <c r="U74" s="436" t="str">
        <f t="shared" ca="1" si="24"/>
        <v>Brazilië</v>
      </c>
      <c r="V74" s="436" t="str">
        <f t="shared" ca="1" si="24"/>
        <v>Spanje</v>
      </c>
      <c r="W74" s="436" t="str">
        <f t="shared" ca="1" si="24"/>
        <v>Brazilië</v>
      </c>
      <c r="X74" s="436" t="str">
        <f t="shared" ca="1" si="24"/>
        <v>Brazilië</v>
      </c>
      <c r="Y74" s="436" t="str">
        <f t="shared" ca="1" si="24"/>
        <v>Spanje</v>
      </c>
      <c r="Z74" s="436" t="str">
        <f t="shared" ca="1" si="24"/>
        <v>Spanje</v>
      </c>
      <c r="AB74" s="391"/>
      <c r="AC74" s="391"/>
      <c r="AD74" s="392"/>
      <c r="AE74" s="392"/>
      <c r="AF74" s="392"/>
      <c r="AG74" s="393"/>
      <c r="AH74" s="393"/>
      <c r="AI74" s="393"/>
    </row>
    <row r="75" spans="1:35">
      <c r="A75" s="154" t="s">
        <v>450</v>
      </c>
      <c r="C75" s="437" t="str">
        <f t="shared" ref="C75:T81" ca="1" si="25">VLOOKUP($A75,INDIRECT(C$1&amp;loc_kwart),2,0)</f>
        <v>Colombia</v>
      </c>
      <c r="D75" s="437" t="str">
        <f t="shared" ca="1" si="25"/>
        <v>Colombia</v>
      </c>
      <c r="E75" s="437" t="str">
        <f t="shared" ca="1" si="25"/>
        <v>Japan</v>
      </c>
      <c r="F75" s="437" t="str">
        <f t="shared" ca="1" si="25"/>
        <v>Japan</v>
      </c>
      <c r="G75" s="437" t="str">
        <f t="shared" ca="1" si="25"/>
        <v>Uruguay</v>
      </c>
      <c r="H75" s="437" t="str">
        <f t="shared" ca="1" si="25"/>
        <v>Italië</v>
      </c>
      <c r="I75" s="437" t="str">
        <f t="shared" ca="1" si="25"/>
        <v>Colombia</v>
      </c>
      <c r="J75" s="437" t="str">
        <f t="shared" ca="1" si="25"/>
        <v>Japan</v>
      </c>
      <c r="K75" s="437" t="str">
        <f t="shared" ca="1" si="25"/>
        <v>Engeland</v>
      </c>
      <c r="L75" s="437" t="str">
        <f t="shared" ca="1" si="25"/>
        <v>Italië</v>
      </c>
      <c r="M75" s="437" t="str">
        <f t="shared" ca="1" si="25"/>
        <v>Italië</v>
      </c>
      <c r="N75" s="437" t="str">
        <f t="shared" ca="1" si="25"/>
        <v>Uruguay</v>
      </c>
      <c r="O75" s="437" t="str">
        <f t="shared" ca="1" si="25"/>
        <v>Italië</v>
      </c>
      <c r="P75" s="437" t="str">
        <f t="shared" ca="1" si="25"/>
        <v>Ivoorkust</v>
      </c>
      <c r="Q75" s="437" t="str">
        <f t="shared" ca="1" si="25"/>
        <v>Italië</v>
      </c>
      <c r="R75" s="437" t="str">
        <f t="shared" ca="1" si="25"/>
        <v>Uruguay</v>
      </c>
      <c r="S75" s="437" t="str">
        <f t="shared" ca="1" si="25"/>
        <v>Italië</v>
      </c>
      <c r="T75" s="437" t="str">
        <f t="shared" ca="1" si="25"/>
        <v>Japan</v>
      </c>
      <c r="U75" s="437" t="str">
        <f t="shared" ca="1" si="24"/>
        <v>Uruguay</v>
      </c>
      <c r="V75" s="437" t="str">
        <f t="shared" ca="1" si="24"/>
        <v>Italië</v>
      </c>
      <c r="W75" s="437" t="str">
        <f t="shared" ca="1" si="24"/>
        <v>Uruguay</v>
      </c>
      <c r="X75" s="437" t="str">
        <f t="shared" ca="1" si="24"/>
        <v>Griekenland</v>
      </c>
      <c r="Y75" s="437" t="str">
        <f t="shared" ca="1" si="24"/>
        <v>Italië</v>
      </c>
      <c r="Z75" s="437" t="str">
        <f t="shared" ca="1" si="24"/>
        <v>Italië</v>
      </c>
      <c r="AB75" s="391"/>
      <c r="AC75" s="391"/>
      <c r="AD75" s="392"/>
      <c r="AE75" s="392"/>
      <c r="AF75" s="392"/>
      <c r="AG75" s="393"/>
      <c r="AH75" s="393"/>
      <c r="AI75" s="393"/>
    </row>
    <row r="76" spans="1:35">
      <c r="A76" s="154" t="s">
        <v>451</v>
      </c>
      <c r="C76" s="436" t="str">
        <f t="shared" ca="1" si="25"/>
        <v>Nederland</v>
      </c>
      <c r="D76" s="436" t="str">
        <f t="shared" ca="1" si="24"/>
        <v>Spanje</v>
      </c>
      <c r="E76" s="436" t="str">
        <f t="shared" ca="1" si="24"/>
        <v>Spanje</v>
      </c>
      <c r="F76" s="436" t="str">
        <f t="shared" ca="1" si="24"/>
        <v>Spanje</v>
      </c>
      <c r="G76" s="436" t="str">
        <f t="shared" ca="1" si="24"/>
        <v>Spanje</v>
      </c>
      <c r="H76" s="436" t="str">
        <f t="shared" ca="1" si="24"/>
        <v>Spanje</v>
      </c>
      <c r="I76" s="436" t="str">
        <f t="shared" ca="1" si="24"/>
        <v>Spanje</v>
      </c>
      <c r="J76" s="436" t="str">
        <f t="shared" ca="1" si="24"/>
        <v>Nederland</v>
      </c>
      <c r="K76" s="436" t="str">
        <f t="shared" ca="1" si="24"/>
        <v>Brazilië</v>
      </c>
      <c r="L76" s="436" t="str">
        <f t="shared" ca="1" si="24"/>
        <v>Spanje</v>
      </c>
      <c r="M76" s="436" t="str">
        <f t="shared" ca="1" si="24"/>
        <v>Spanje</v>
      </c>
      <c r="N76" s="436" t="str">
        <f t="shared" ca="1" si="24"/>
        <v>Spanje</v>
      </c>
      <c r="O76" s="436" t="str">
        <f t="shared" ca="1" si="24"/>
        <v>Spanje</v>
      </c>
      <c r="P76" s="436" t="str">
        <f t="shared" ca="1" si="24"/>
        <v>Nederland</v>
      </c>
      <c r="Q76" s="436" t="str">
        <f t="shared" ca="1" si="24"/>
        <v>Spanje</v>
      </c>
      <c r="R76" s="436" t="str">
        <f t="shared" ca="1" si="24"/>
        <v>Spanje</v>
      </c>
      <c r="S76" s="436" t="str">
        <f t="shared" ca="1" si="24"/>
        <v>Nederland</v>
      </c>
      <c r="T76" s="436" t="str">
        <f t="shared" ca="1" si="24"/>
        <v>Spanje</v>
      </c>
      <c r="U76" s="436" t="str">
        <f t="shared" ca="1" si="24"/>
        <v>Spanje</v>
      </c>
      <c r="V76" s="436" t="str">
        <f t="shared" ca="1" si="24"/>
        <v>Nederland</v>
      </c>
      <c r="W76" s="436" t="str">
        <f t="shared" ca="1" si="24"/>
        <v>Spanje</v>
      </c>
      <c r="X76" s="436" t="str">
        <f t="shared" ca="1" si="24"/>
        <v>Nederland</v>
      </c>
      <c r="Y76" s="436" t="str">
        <f t="shared" ca="1" si="24"/>
        <v>Brazilië</v>
      </c>
      <c r="Z76" s="436" t="str">
        <f t="shared" ca="1" si="24"/>
        <v>Brazilië</v>
      </c>
      <c r="AB76" s="391"/>
      <c r="AC76" s="391"/>
      <c r="AD76" s="392"/>
      <c r="AE76" s="392"/>
      <c r="AF76" s="392"/>
      <c r="AG76" s="393"/>
      <c r="AH76" s="393"/>
      <c r="AI76" s="393"/>
    </row>
    <row r="77" spans="1:35">
      <c r="A77" s="154" t="s">
        <v>452</v>
      </c>
      <c r="C77" s="437" t="str">
        <f t="shared" ca="1" si="25"/>
        <v>Uruguay</v>
      </c>
      <c r="D77" s="437" t="str">
        <f t="shared" ca="1" si="24"/>
        <v>Ivoorkust</v>
      </c>
      <c r="E77" s="437" t="str">
        <f t="shared" ca="1" si="24"/>
        <v>Italië</v>
      </c>
      <c r="F77" s="437" t="str">
        <f t="shared" ca="1" si="24"/>
        <v>Italië</v>
      </c>
      <c r="G77" s="437" t="str">
        <f t="shared" ca="1" si="24"/>
        <v>Italië</v>
      </c>
      <c r="H77" s="437" t="str">
        <f t="shared" ca="1" si="24"/>
        <v>Uruguay</v>
      </c>
      <c r="I77" s="437" t="str">
        <f t="shared" ca="1" si="24"/>
        <v>Uruguay</v>
      </c>
      <c r="J77" s="437" t="str">
        <f t="shared" ca="1" si="24"/>
        <v>Italië</v>
      </c>
      <c r="K77" s="437" t="str">
        <f t="shared" ca="1" si="24"/>
        <v>Colombia</v>
      </c>
      <c r="L77" s="437" t="str">
        <f t="shared" ca="1" si="24"/>
        <v>Uruguay</v>
      </c>
      <c r="M77" s="437" t="str">
        <f t="shared" ca="1" si="24"/>
        <v>Uruguay</v>
      </c>
      <c r="N77" s="437" t="str">
        <f t="shared" ca="1" si="24"/>
        <v>Italië</v>
      </c>
      <c r="O77" s="437" t="str">
        <f t="shared" ca="1" si="24"/>
        <v>Uruguay</v>
      </c>
      <c r="P77" s="437" t="str">
        <f t="shared" ca="1" si="24"/>
        <v>Italië</v>
      </c>
      <c r="Q77" s="437" t="str">
        <f t="shared" ca="1" si="24"/>
        <v>Engeland</v>
      </c>
      <c r="R77" s="437" t="str">
        <f t="shared" ca="1" si="24"/>
        <v>Ivoorkust</v>
      </c>
      <c r="S77" s="437" t="str">
        <f t="shared" ca="1" si="24"/>
        <v>Engeland</v>
      </c>
      <c r="T77" s="437" t="str">
        <f t="shared" ca="1" si="24"/>
        <v>Italië</v>
      </c>
      <c r="U77" s="437" t="str">
        <f t="shared" ca="1" si="24"/>
        <v>Italië</v>
      </c>
      <c r="V77" s="437" t="str">
        <f t="shared" ca="1" si="24"/>
        <v>Uruguay</v>
      </c>
      <c r="W77" s="437" t="str">
        <f t="shared" ca="1" si="24"/>
        <v>Italië</v>
      </c>
      <c r="X77" s="437" t="str">
        <f t="shared" ca="1" si="24"/>
        <v>Italië</v>
      </c>
      <c r="Y77" s="437" t="str">
        <f t="shared" ca="1" si="24"/>
        <v>Uruguay</v>
      </c>
      <c r="Z77" s="437" t="str">
        <f t="shared" ca="1" si="24"/>
        <v>Engeland</v>
      </c>
      <c r="AB77" s="391"/>
      <c r="AC77" s="391"/>
      <c r="AD77" s="392"/>
      <c r="AE77" s="392"/>
      <c r="AF77" s="392"/>
      <c r="AG77" s="393"/>
      <c r="AH77" s="393"/>
      <c r="AI77" s="393"/>
    </row>
    <row r="78" spans="1:35">
      <c r="A78" s="154" t="s">
        <v>453</v>
      </c>
      <c r="C78" s="436" t="str">
        <f t="shared" ca="1" si="25"/>
        <v>Frankrijk</v>
      </c>
      <c r="D78" s="436" t="str">
        <f t="shared" ca="1" si="24"/>
        <v>Frankrijk</v>
      </c>
      <c r="E78" s="436" t="str">
        <f t="shared" ca="1" si="24"/>
        <v>Frankrijk</v>
      </c>
      <c r="F78" s="436" t="str">
        <f t="shared" ca="1" si="24"/>
        <v>Zwitserland</v>
      </c>
      <c r="G78" s="436" t="str">
        <f t="shared" ca="1" si="24"/>
        <v>Frankrijk</v>
      </c>
      <c r="H78" s="436" t="str">
        <f t="shared" ca="1" si="24"/>
        <v>Zwitserland</v>
      </c>
      <c r="I78" s="436" t="str">
        <f t="shared" ca="1" si="24"/>
        <v>Frankrijk</v>
      </c>
      <c r="J78" s="436" t="str">
        <f t="shared" ca="1" si="24"/>
        <v>Frankrijk</v>
      </c>
      <c r="K78" s="436" t="str">
        <f t="shared" ca="1" si="24"/>
        <v>Zwitserland</v>
      </c>
      <c r="L78" s="436" t="str">
        <f t="shared" ca="1" si="24"/>
        <v>Nigeria</v>
      </c>
      <c r="M78" s="436" t="str">
        <f t="shared" ca="1" si="24"/>
        <v>Frankrijk</v>
      </c>
      <c r="N78" s="436" t="str">
        <f t="shared" ca="1" si="24"/>
        <v>Frankrijk</v>
      </c>
      <c r="O78" s="436" t="str">
        <f t="shared" ca="1" si="24"/>
        <v>Frankrijk</v>
      </c>
      <c r="P78" s="436" t="str">
        <f t="shared" ca="1" si="24"/>
        <v>Frankrijk</v>
      </c>
      <c r="Q78" s="436" t="str">
        <f t="shared" ca="1" si="24"/>
        <v>Frankrijk</v>
      </c>
      <c r="R78" s="436" t="str">
        <f t="shared" ca="1" si="24"/>
        <v>Frankrijk</v>
      </c>
      <c r="S78" s="436" t="str">
        <f t="shared" ca="1" si="24"/>
        <v>Zwitserland</v>
      </c>
      <c r="T78" s="436" t="str">
        <f t="shared" ca="1" si="24"/>
        <v>Bosnië en Herzegovina</v>
      </c>
      <c r="U78" s="436" t="str">
        <f t="shared" ca="1" si="24"/>
        <v>Bosnië en Herzegovina</v>
      </c>
      <c r="V78" s="436" t="str">
        <f t="shared" ca="1" si="24"/>
        <v>Zwitserland</v>
      </c>
      <c r="W78" s="436" t="str">
        <f t="shared" ca="1" si="24"/>
        <v>Zwitserland</v>
      </c>
      <c r="X78" s="436" t="str">
        <f t="shared" ca="1" si="24"/>
        <v>Nigeria</v>
      </c>
      <c r="Y78" s="436" t="str">
        <f t="shared" ca="1" si="24"/>
        <v>Frankrijk</v>
      </c>
      <c r="Z78" s="436" t="str">
        <f t="shared" ca="1" si="24"/>
        <v>Frankrijk</v>
      </c>
      <c r="AB78" s="391"/>
      <c r="AC78" s="391"/>
      <c r="AD78" s="392"/>
      <c r="AE78" s="392"/>
      <c r="AF78" s="392"/>
      <c r="AG78" s="393"/>
      <c r="AH78" s="393"/>
      <c r="AI78" s="393"/>
    </row>
    <row r="79" spans="1:35">
      <c r="A79" s="154" t="s">
        <v>454</v>
      </c>
      <c r="C79" s="437" t="str">
        <f t="shared" ca="1" si="25"/>
        <v>Duitsland</v>
      </c>
      <c r="D79" s="437" t="str">
        <f t="shared" ca="1" si="24"/>
        <v>Duitsland</v>
      </c>
      <c r="E79" s="437" t="str">
        <f t="shared" ca="1" si="24"/>
        <v>Duitsland</v>
      </c>
      <c r="F79" s="437" t="str">
        <f t="shared" ca="1" si="24"/>
        <v>Duitsland</v>
      </c>
      <c r="G79" s="437" t="str">
        <f t="shared" ca="1" si="24"/>
        <v>Duitsland</v>
      </c>
      <c r="H79" s="437" t="str">
        <f t="shared" ca="1" si="24"/>
        <v>Duitsland</v>
      </c>
      <c r="I79" s="437" t="str">
        <f t="shared" ca="1" si="24"/>
        <v>Duitsland</v>
      </c>
      <c r="J79" s="437" t="str">
        <f t="shared" ca="1" si="24"/>
        <v>Duitsland</v>
      </c>
      <c r="K79" s="437" t="str">
        <f t="shared" ca="1" si="24"/>
        <v>Duitsland</v>
      </c>
      <c r="L79" s="437" t="str">
        <f t="shared" ca="1" si="24"/>
        <v>Duitsland</v>
      </c>
      <c r="M79" s="437" t="str">
        <f t="shared" ca="1" si="24"/>
        <v>Duitsland</v>
      </c>
      <c r="N79" s="437" t="str">
        <f t="shared" ca="1" si="24"/>
        <v>Portugal</v>
      </c>
      <c r="O79" s="437" t="str">
        <f t="shared" ca="1" si="24"/>
        <v>Duitsland</v>
      </c>
      <c r="P79" s="437" t="str">
        <f t="shared" ca="1" si="24"/>
        <v>Duitsland</v>
      </c>
      <c r="Q79" s="437" t="str">
        <f t="shared" ca="1" si="24"/>
        <v>Duitsland</v>
      </c>
      <c r="R79" s="437" t="str">
        <f t="shared" ca="1" si="24"/>
        <v>Duitsland</v>
      </c>
      <c r="S79" s="437" t="str">
        <f t="shared" ca="1" si="24"/>
        <v>Duitsland</v>
      </c>
      <c r="T79" s="437" t="str">
        <f t="shared" ca="1" si="24"/>
        <v>Zuid-Korea</v>
      </c>
      <c r="U79" s="437" t="str">
        <f t="shared" ca="1" si="24"/>
        <v>Portugal</v>
      </c>
      <c r="V79" s="437" t="str">
        <f t="shared" ca="1" si="24"/>
        <v>Duitsland</v>
      </c>
      <c r="W79" s="437" t="str">
        <f t="shared" ca="1" si="24"/>
        <v>Duitsland</v>
      </c>
      <c r="X79" s="437" t="str">
        <f t="shared" ca="1" si="24"/>
        <v>Duitsland</v>
      </c>
      <c r="Y79" s="437" t="str">
        <f t="shared" ca="1" si="24"/>
        <v>Portugal</v>
      </c>
      <c r="Z79" s="437" t="str">
        <f t="shared" ca="1" si="24"/>
        <v>Ghana</v>
      </c>
      <c r="AB79" s="391"/>
      <c r="AC79" s="391"/>
      <c r="AD79" s="392"/>
      <c r="AE79" s="392"/>
      <c r="AF79" s="392"/>
      <c r="AG79" s="393"/>
      <c r="AH79" s="393"/>
      <c r="AI79" s="393"/>
    </row>
    <row r="80" spans="1:35">
      <c r="A80" s="154" t="s">
        <v>455</v>
      </c>
      <c r="C80" s="436" t="str">
        <f t="shared" ca="1" si="25"/>
        <v>Argentinië</v>
      </c>
      <c r="D80" s="436" t="str">
        <f t="shared" ca="1" si="24"/>
        <v>Argentinië</v>
      </c>
      <c r="E80" s="436" t="str">
        <f t="shared" ca="1" si="24"/>
        <v>Argentinië</v>
      </c>
      <c r="F80" s="436" t="str">
        <f t="shared" ca="1" si="24"/>
        <v>Argentinië</v>
      </c>
      <c r="G80" s="436" t="str">
        <f t="shared" ca="1" si="24"/>
        <v>Argentinië</v>
      </c>
      <c r="H80" s="436" t="str">
        <f t="shared" ca="1" si="24"/>
        <v>Argentinië</v>
      </c>
      <c r="I80" s="436" t="str">
        <f t="shared" ca="1" si="24"/>
        <v>Argentinië</v>
      </c>
      <c r="J80" s="436" t="str">
        <f t="shared" ca="1" si="24"/>
        <v>Argentinië</v>
      </c>
      <c r="K80" s="436" t="str">
        <f t="shared" ca="1" si="24"/>
        <v>Argentinië</v>
      </c>
      <c r="L80" s="436" t="str">
        <f t="shared" ca="1" si="24"/>
        <v>Argentinië</v>
      </c>
      <c r="M80" s="436" t="str">
        <f t="shared" ca="1" si="24"/>
        <v>Argentinië</v>
      </c>
      <c r="N80" s="436" t="str">
        <f t="shared" ca="1" si="24"/>
        <v>Argentinië</v>
      </c>
      <c r="O80" s="436" t="str">
        <f t="shared" ca="1" si="24"/>
        <v>Argentinië</v>
      </c>
      <c r="P80" s="436" t="str">
        <f t="shared" ca="1" si="24"/>
        <v>Zwitserland</v>
      </c>
      <c r="Q80" s="436" t="str">
        <f t="shared" ca="1" si="24"/>
        <v>Argentinië</v>
      </c>
      <c r="R80" s="436" t="str">
        <f t="shared" ca="1" si="24"/>
        <v>Argentinië</v>
      </c>
      <c r="S80" s="436" t="str">
        <f t="shared" ca="1" si="24"/>
        <v>Argentinië</v>
      </c>
      <c r="T80" s="436" t="str">
        <f t="shared" ca="1" si="24"/>
        <v>Argentinië</v>
      </c>
      <c r="U80" s="436" t="str">
        <f t="shared" ca="1" si="24"/>
        <v>Argentinië</v>
      </c>
      <c r="V80" s="436" t="str">
        <f t="shared" ca="1" si="24"/>
        <v>Argentinië</v>
      </c>
      <c r="W80" s="436" t="str">
        <f t="shared" ca="1" si="24"/>
        <v>Ecuador</v>
      </c>
      <c r="X80" s="436" t="str">
        <f t="shared" ca="1" si="24"/>
        <v>Argentinië</v>
      </c>
      <c r="Y80" s="436" t="str">
        <f t="shared" ca="1" si="24"/>
        <v>Argentinië</v>
      </c>
      <c r="Z80" s="436" t="str">
        <f t="shared" ca="1" si="24"/>
        <v>Argentinië</v>
      </c>
      <c r="AB80" s="391"/>
      <c r="AC80" s="391"/>
      <c r="AD80" s="392"/>
      <c r="AE80" s="392"/>
      <c r="AF80" s="392"/>
      <c r="AG80" s="393"/>
      <c r="AH80" s="393"/>
      <c r="AI80" s="393"/>
    </row>
    <row r="81" spans="1:35">
      <c r="A81" s="154" t="s">
        <v>456</v>
      </c>
      <c r="C81" s="436" t="str">
        <f t="shared" ca="1" si="25"/>
        <v>Portugal</v>
      </c>
      <c r="D81" s="436" t="str">
        <f t="shared" ca="1" si="24"/>
        <v>België</v>
      </c>
      <c r="E81" s="436" t="str">
        <f t="shared" ca="1" si="24"/>
        <v>België</v>
      </c>
      <c r="F81" s="436" t="str">
        <f t="shared" ca="1" si="24"/>
        <v>USA</v>
      </c>
      <c r="G81" s="436" t="str">
        <f t="shared" ca="1" si="24"/>
        <v>Rusland</v>
      </c>
      <c r="H81" s="436" t="str">
        <f t="shared" ca="1" si="24"/>
        <v>Portugal</v>
      </c>
      <c r="I81" s="436" t="str">
        <f t="shared" ca="1" si="24"/>
        <v>België</v>
      </c>
      <c r="J81" s="436" t="str">
        <f t="shared" ca="1" si="24"/>
        <v>Portugal</v>
      </c>
      <c r="K81" s="436" t="str">
        <f t="shared" ca="1" si="24"/>
        <v>België</v>
      </c>
      <c r="L81" s="436" t="str">
        <f t="shared" ca="1" si="24"/>
        <v>Portugal</v>
      </c>
      <c r="M81" s="436" t="str">
        <f t="shared" ca="1" si="24"/>
        <v>Portugal</v>
      </c>
      <c r="N81" s="436" t="str">
        <f t="shared" ca="1" si="24"/>
        <v>België</v>
      </c>
      <c r="O81" s="436" t="str">
        <f t="shared" ca="1" si="24"/>
        <v>USA</v>
      </c>
      <c r="P81" s="436" t="str">
        <f t="shared" ca="1" si="24"/>
        <v>Portugal</v>
      </c>
      <c r="Q81" s="436" t="str">
        <f t="shared" ca="1" si="24"/>
        <v>Portugal</v>
      </c>
      <c r="R81" s="436" t="str">
        <f t="shared" ca="1" si="24"/>
        <v>Portugal</v>
      </c>
      <c r="S81" s="436" t="str">
        <f t="shared" ca="1" si="24"/>
        <v>Ghana</v>
      </c>
      <c r="T81" s="436" t="str">
        <f t="shared" ca="1" si="24"/>
        <v>Duitsland</v>
      </c>
      <c r="U81" s="436" t="str">
        <f t="shared" ca="1" si="24"/>
        <v>Duitsland</v>
      </c>
      <c r="V81" s="436" t="str">
        <f t="shared" ca="1" si="24"/>
        <v>België</v>
      </c>
      <c r="W81" s="436" t="str">
        <f t="shared" ca="1" si="24"/>
        <v>Portugal</v>
      </c>
      <c r="X81" s="436" t="str">
        <f t="shared" ca="1" si="24"/>
        <v>Portugal</v>
      </c>
      <c r="Y81" s="436" t="str">
        <f t="shared" ca="1" si="24"/>
        <v>Duitsland</v>
      </c>
      <c r="Z81" s="436" t="str">
        <f t="shared" ca="1" si="24"/>
        <v>België</v>
      </c>
      <c r="AB81" s="391"/>
      <c r="AC81" s="391"/>
      <c r="AD81" s="392"/>
      <c r="AE81" s="392"/>
      <c r="AF81" s="392"/>
      <c r="AG81" s="393"/>
      <c r="AH81" s="393"/>
      <c r="AI81" s="393"/>
    </row>
    <row r="82" spans="1:35" s="161" customFormat="1">
      <c r="A82" s="159">
        <v>57</v>
      </c>
      <c r="B82" s="168" t="str">
        <f>VLOOKUP($A82,wedstrijden,6,0)&amp;"-"&amp;VLOOKUP($A82,wedstrijden,10,0)</f>
        <v>Brazilië-Colombia</v>
      </c>
      <c r="C82" s="340" t="str">
        <f t="shared" ref="C82:M85" ca="1" si="26">VLOOKUP($A82,INDIRECT(C$1&amp;loc_voorspell),7,0)&amp;" - "&amp;VLOOKUP($A82,INDIRECT(C$1&amp;loc_voorspell),9,0)</f>
        <v>2 - 1</v>
      </c>
      <c r="D82" s="340" t="str">
        <f t="shared" ca="1" si="26"/>
        <v>2 - 0</v>
      </c>
      <c r="E82" s="340" t="str">
        <f t="shared" ca="1" si="26"/>
        <v>2 - 1</v>
      </c>
      <c r="F82" s="340" t="str">
        <f t="shared" ca="1" si="26"/>
        <v>3 - 0</v>
      </c>
      <c r="G82" s="340" t="str">
        <f t="shared" ca="1" si="26"/>
        <v>2 - 1</v>
      </c>
      <c r="H82" s="340" t="str">
        <f t="shared" ca="1" si="26"/>
        <v>1 - 1</v>
      </c>
      <c r="I82" s="340" t="str">
        <f t="shared" ca="1" si="26"/>
        <v>1 - 0</v>
      </c>
      <c r="J82" s="340" t="str">
        <f t="shared" ca="1" si="26"/>
        <v>2 - 1</v>
      </c>
      <c r="K82" s="340" t="str">
        <f t="shared" ca="1" si="26"/>
        <v>4 - 1</v>
      </c>
      <c r="L82" s="340" t="str">
        <f t="shared" ca="1" si="26"/>
        <v>2 - 1</v>
      </c>
      <c r="M82" s="340" t="str">
        <f t="shared" ca="1" si="26"/>
        <v>2 - 0</v>
      </c>
      <c r="N82" s="340" t="str">
        <f t="shared" ref="N82:Z85" ca="1" si="27">VLOOKUP($A82,INDIRECT(N$1&amp;loc_voorspell),7,0)&amp;" - "&amp;VLOOKUP($A82,INDIRECT(N$1&amp;loc_voorspell),9,0)</f>
        <v>2 - 0</v>
      </c>
      <c r="O82" s="340" t="str">
        <f t="shared" ca="1" si="27"/>
        <v>3 - 2</v>
      </c>
      <c r="P82" s="340" t="str">
        <f t="shared" ca="1" si="27"/>
        <v>2 - 0</v>
      </c>
      <c r="Q82" s="340" t="str">
        <f t="shared" ca="1" si="27"/>
        <v>1 - 1</v>
      </c>
      <c r="R82" s="340" t="str">
        <f t="shared" ca="1" si="27"/>
        <v>1 - 0</v>
      </c>
      <c r="S82" s="340" t="str">
        <f t="shared" ca="1" si="27"/>
        <v>2 - 1</v>
      </c>
      <c r="T82" s="340" t="str">
        <f t="shared" ca="1" si="27"/>
        <v>2 - 0</v>
      </c>
      <c r="U82" s="340" t="str">
        <f t="shared" ca="1" si="27"/>
        <v>2 - 0</v>
      </c>
      <c r="V82" s="340" t="str">
        <f t="shared" ca="1" si="27"/>
        <v>0 - 1</v>
      </c>
      <c r="W82" s="340" t="str">
        <f t="shared" ca="1" si="27"/>
        <v>0 - 0</v>
      </c>
      <c r="X82" s="340" t="str">
        <f t="shared" ca="1" si="27"/>
        <v>2 - 1</v>
      </c>
      <c r="Y82" s="340" t="str">
        <f t="shared" ca="1" si="27"/>
        <v>2 - 2</v>
      </c>
      <c r="Z82" s="340" t="str">
        <f t="shared" ca="1" si="27"/>
        <v>1 - 0</v>
      </c>
      <c r="AB82" s="391">
        <f t="shared" ref="AB82:AI85" ca="1" si="28">COUNTIF($C82:$AA82,AB$1)</f>
        <v>1</v>
      </c>
      <c r="AC82" s="391">
        <f t="shared" ca="1" si="28"/>
        <v>2</v>
      </c>
      <c r="AD82" s="392">
        <f t="shared" ca="1" si="28"/>
        <v>3</v>
      </c>
      <c r="AE82" s="392">
        <f t="shared" ca="1" si="28"/>
        <v>6</v>
      </c>
      <c r="AF82" s="392">
        <f t="shared" ca="1" si="28"/>
        <v>7</v>
      </c>
      <c r="AG82" s="393">
        <f t="shared" ca="1" si="28"/>
        <v>0</v>
      </c>
      <c r="AH82" s="393">
        <f t="shared" ca="1" si="28"/>
        <v>0</v>
      </c>
      <c r="AI82" s="393">
        <f t="shared" ca="1" si="28"/>
        <v>1</v>
      </c>
    </row>
    <row r="83" spans="1:35" s="161" customFormat="1">
      <c r="A83" s="159">
        <v>58</v>
      </c>
      <c r="B83" s="168" t="str">
        <f>VLOOKUP($A83,wedstrijden,6,0)&amp;"-"&amp;VLOOKUP($A83,wedstrijden,10,0)</f>
        <v>Frankrijk-Duitsland</v>
      </c>
      <c r="C83" s="340" t="str">
        <f t="shared" ca="1" si="26"/>
        <v>1 - 2</v>
      </c>
      <c r="D83" s="340" t="str">
        <f t="shared" ca="1" si="26"/>
        <v>0 - 2</v>
      </c>
      <c r="E83" s="340" t="str">
        <f t="shared" ca="1" si="26"/>
        <v>1 - 2</v>
      </c>
      <c r="F83" s="340" t="str">
        <f t="shared" ca="1" si="26"/>
        <v>1 - 2</v>
      </c>
      <c r="G83" s="340" t="str">
        <f t="shared" ca="1" si="26"/>
        <v>1 - 3</v>
      </c>
      <c r="H83" s="340" t="str">
        <f t="shared" ca="1" si="26"/>
        <v>1 - 2</v>
      </c>
      <c r="I83" s="340" t="str">
        <f t="shared" ca="1" si="26"/>
        <v>0 - 1</v>
      </c>
      <c r="J83" s="340" t="str">
        <f t="shared" ca="1" si="26"/>
        <v>1 - 1</v>
      </c>
      <c r="K83" s="340" t="str">
        <f t="shared" ca="1" si="26"/>
        <v>2 - 4</v>
      </c>
      <c r="L83" s="340" t="str">
        <f t="shared" ca="1" si="26"/>
        <v>0 - 1</v>
      </c>
      <c r="M83" s="340" t="str">
        <f t="shared" ca="1" si="26"/>
        <v>1 - 2</v>
      </c>
      <c r="N83" s="340" t="str">
        <f t="shared" ca="1" si="27"/>
        <v>1 - 2</v>
      </c>
      <c r="O83" s="340" t="str">
        <f t="shared" ca="1" si="27"/>
        <v>1 - 2</v>
      </c>
      <c r="P83" s="340" t="str">
        <f t="shared" ca="1" si="27"/>
        <v>0 - 2</v>
      </c>
      <c r="Q83" s="340" t="str">
        <f t="shared" ca="1" si="27"/>
        <v>0 - 1</v>
      </c>
      <c r="R83" s="340" t="str">
        <f t="shared" ca="1" si="27"/>
        <v>1 - 2</v>
      </c>
      <c r="S83" s="340" t="str">
        <f t="shared" ca="1" si="27"/>
        <v>1 - 3</v>
      </c>
      <c r="T83" s="340" t="str">
        <f t="shared" ca="1" si="27"/>
        <v>1 - 1</v>
      </c>
      <c r="U83" s="340" t="str">
        <f t="shared" ca="1" si="27"/>
        <v>1 - 2</v>
      </c>
      <c r="V83" s="340" t="str">
        <f t="shared" ca="1" si="27"/>
        <v>0 - 2</v>
      </c>
      <c r="W83" s="340" t="str">
        <f t="shared" ca="1" si="27"/>
        <v>0 - 1</v>
      </c>
      <c r="X83" s="340" t="str">
        <f t="shared" ca="1" si="27"/>
        <v>0 - 2</v>
      </c>
      <c r="Y83" s="340" t="str">
        <f t="shared" ca="1" si="27"/>
        <v>1 - 2</v>
      </c>
      <c r="Z83" s="340" t="str">
        <f t="shared" ca="1" si="27"/>
        <v>2 - 1</v>
      </c>
      <c r="AB83" s="391">
        <f t="shared" ca="1" si="28"/>
        <v>0</v>
      </c>
      <c r="AC83" s="391">
        <f t="shared" ca="1" si="28"/>
        <v>2</v>
      </c>
      <c r="AD83" s="392">
        <f t="shared" ca="1" si="28"/>
        <v>0</v>
      </c>
      <c r="AE83" s="392">
        <f t="shared" ca="1" si="28"/>
        <v>0</v>
      </c>
      <c r="AF83" s="392">
        <f t="shared" ca="1" si="28"/>
        <v>1</v>
      </c>
      <c r="AG83" s="393">
        <f t="shared" ca="1" si="28"/>
        <v>10</v>
      </c>
      <c r="AH83" s="393">
        <f t="shared" ca="1" si="28"/>
        <v>4</v>
      </c>
      <c r="AI83" s="393">
        <f t="shared" ca="1" si="28"/>
        <v>4</v>
      </c>
    </row>
    <row r="84" spans="1:35" s="161" customFormat="1">
      <c r="A84" s="159">
        <v>59</v>
      </c>
      <c r="B84" s="168" t="str">
        <f>VLOOKUP($A84,wedstrijden,6,0)&amp;"-"&amp;VLOOKUP($A84,wedstrijden,10,0)</f>
        <v>Nederland-Costa Rica</v>
      </c>
      <c r="C84" s="340" t="str">
        <f t="shared" ca="1" si="26"/>
        <v>1 - 0</v>
      </c>
      <c r="D84" s="340" t="str">
        <f t="shared" ca="1" si="26"/>
        <v>1 - 0</v>
      </c>
      <c r="E84" s="340" t="str">
        <f t="shared" ca="1" si="26"/>
        <v>1 - 2</v>
      </c>
      <c r="F84" s="340" t="str">
        <f t="shared" ca="1" si="26"/>
        <v>2 - 1</v>
      </c>
      <c r="G84" s="340" t="str">
        <f t="shared" ca="1" si="26"/>
        <v>2 - 2</v>
      </c>
      <c r="H84" s="340" t="str">
        <f t="shared" ca="1" si="26"/>
        <v>2 - 1</v>
      </c>
      <c r="I84" s="340" t="str">
        <f t="shared" ca="1" si="26"/>
        <v>1 - 0</v>
      </c>
      <c r="J84" s="340" t="str">
        <f t="shared" ca="1" si="26"/>
        <v>0 - 1</v>
      </c>
      <c r="K84" s="340" t="str">
        <f t="shared" ca="1" si="26"/>
        <v>2 - 2</v>
      </c>
      <c r="L84" s="340" t="str">
        <f t="shared" ca="1" si="26"/>
        <v>2 - 0</v>
      </c>
      <c r="M84" s="340" t="str">
        <f t="shared" ca="1" si="26"/>
        <v>0 - 0</v>
      </c>
      <c r="N84" s="340" t="str">
        <f t="shared" ca="1" si="27"/>
        <v>2 - 0</v>
      </c>
      <c r="O84" s="340" t="str">
        <f t="shared" ca="1" si="27"/>
        <v>2 - 0</v>
      </c>
      <c r="P84" s="340" t="str">
        <f t="shared" ca="1" si="27"/>
        <v>1 - 0</v>
      </c>
      <c r="Q84" s="340" t="str">
        <f t="shared" ca="1" si="27"/>
        <v>1 - 0</v>
      </c>
      <c r="R84" s="340" t="str">
        <f t="shared" ca="1" si="27"/>
        <v>2 - 0</v>
      </c>
      <c r="S84" s="340" t="str">
        <f t="shared" ca="1" si="27"/>
        <v>2 - 3</v>
      </c>
      <c r="T84" s="340" t="str">
        <f t="shared" ca="1" si="27"/>
        <v>2 - 1</v>
      </c>
      <c r="U84" s="340" t="str">
        <f t="shared" ca="1" si="27"/>
        <v>2 - 2</v>
      </c>
      <c r="V84" s="340" t="str">
        <f t="shared" ca="1" si="27"/>
        <v>1 - 0</v>
      </c>
      <c r="W84" s="340" t="str">
        <f t="shared" ca="1" si="27"/>
        <v>1 - 0</v>
      </c>
      <c r="X84" s="340" t="str">
        <f t="shared" ca="1" si="27"/>
        <v>1 - 1</v>
      </c>
      <c r="Y84" s="340" t="str">
        <f t="shared" ca="1" si="27"/>
        <v>1 - 1</v>
      </c>
      <c r="Z84" s="340" t="str">
        <f t="shared" ca="1" si="27"/>
        <v>3 - 1</v>
      </c>
      <c r="AB84" s="391">
        <f t="shared" ca="1" si="28"/>
        <v>1</v>
      </c>
      <c r="AC84" s="391">
        <f t="shared" ca="1" si="28"/>
        <v>2</v>
      </c>
      <c r="AD84" s="392">
        <f t="shared" ca="1" si="28"/>
        <v>7</v>
      </c>
      <c r="AE84" s="392">
        <f t="shared" ca="1" si="28"/>
        <v>4</v>
      </c>
      <c r="AF84" s="392">
        <f t="shared" ca="1" si="28"/>
        <v>3</v>
      </c>
      <c r="AG84" s="393">
        <f t="shared" ca="1" si="28"/>
        <v>1</v>
      </c>
      <c r="AH84" s="393">
        <f t="shared" ca="1" si="28"/>
        <v>0</v>
      </c>
      <c r="AI84" s="393">
        <f t="shared" ca="1" si="28"/>
        <v>1</v>
      </c>
    </row>
    <row r="85" spans="1:35" s="161" customFormat="1">
      <c r="A85" s="159">
        <v>60</v>
      </c>
      <c r="B85" s="168" t="str">
        <f>VLOOKUP($A85,wedstrijden,6,0)&amp;"-"&amp;VLOOKUP($A85,wedstrijden,10,0)</f>
        <v>Argentinië-België</v>
      </c>
      <c r="C85" s="340" t="str">
        <f t="shared" ca="1" si="26"/>
        <v>2 - 0</v>
      </c>
      <c r="D85" s="340" t="str">
        <f t="shared" ca="1" si="26"/>
        <v>2 - 1</v>
      </c>
      <c r="E85" s="340" t="str">
        <f t="shared" ca="1" si="26"/>
        <v>2 - 1</v>
      </c>
      <c r="F85" s="340" t="str">
        <f t="shared" ca="1" si="26"/>
        <v>3 - 0</v>
      </c>
      <c r="G85" s="340" t="str">
        <f t="shared" ca="1" si="26"/>
        <v>0 - 1</v>
      </c>
      <c r="H85" s="340" t="str">
        <f t="shared" ca="1" si="26"/>
        <v>1 - 2</v>
      </c>
      <c r="I85" s="340" t="str">
        <f t="shared" ca="1" si="26"/>
        <v>1 - 1</v>
      </c>
      <c r="J85" s="340" t="str">
        <f t="shared" ca="1" si="26"/>
        <v>2 - 1</v>
      </c>
      <c r="K85" s="340" t="str">
        <f t="shared" ca="1" si="26"/>
        <v>2 - 0</v>
      </c>
      <c r="L85" s="340" t="str">
        <f t="shared" ca="1" si="26"/>
        <v>1 - 0</v>
      </c>
      <c r="M85" s="340" t="str">
        <f t="shared" ca="1" si="26"/>
        <v>2 - 0</v>
      </c>
      <c r="N85" s="340" t="str">
        <f t="shared" ca="1" si="27"/>
        <v>4 - 0</v>
      </c>
      <c r="O85" s="340" t="str">
        <f t="shared" ca="1" si="27"/>
        <v>3 - 1</v>
      </c>
      <c r="P85" s="340" t="str">
        <f t="shared" ca="1" si="27"/>
        <v>0 - 1</v>
      </c>
      <c r="Q85" s="340" t="str">
        <f t="shared" ca="1" si="27"/>
        <v>1 - 0</v>
      </c>
      <c r="R85" s="340" t="str">
        <f t="shared" ca="1" si="27"/>
        <v>0 - 0</v>
      </c>
      <c r="S85" s="340" t="str">
        <f t="shared" ca="1" si="27"/>
        <v>3 - 0</v>
      </c>
      <c r="T85" s="340" t="str">
        <f t="shared" ca="1" si="27"/>
        <v>2 - 1</v>
      </c>
      <c r="U85" s="340" t="str">
        <f t="shared" ca="1" si="27"/>
        <v>1 - 1</v>
      </c>
      <c r="V85" s="340" t="str">
        <f t="shared" ca="1" si="27"/>
        <v>2 - 0</v>
      </c>
      <c r="W85" s="340" t="str">
        <f t="shared" ca="1" si="27"/>
        <v>1 - 0</v>
      </c>
      <c r="X85" s="340" t="str">
        <f t="shared" ca="1" si="27"/>
        <v>2 - 1</v>
      </c>
      <c r="Y85" s="340" t="str">
        <f t="shared" ca="1" si="27"/>
        <v>2 - 3</v>
      </c>
      <c r="Z85" s="340" t="str">
        <f t="shared" ca="1" si="27"/>
        <v>2 - 1</v>
      </c>
      <c r="AB85" s="391">
        <f t="shared" ca="1" si="28"/>
        <v>1</v>
      </c>
      <c r="AC85" s="391">
        <f t="shared" ca="1" si="28"/>
        <v>2</v>
      </c>
      <c r="AD85" s="392">
        <f t="shared" ca="1" si="28"/>
        <v>3</v>
      </c>
      <c r="AE85" s="392">
        <f t="shared" ca="1" si="28"/>
        <v>4</v>
      </c>
      <c r="AF85" s="392">
        <f t="shared" ca="1" si="28"/>
        <v>6</v>
      </c>
      <c r="AG85" s="393">
        <f t="shared" ca="1" si="28"/>
        <v>1</v>
      </c>
      <c r="AH85" s="393">
        <f t="shared" ca="1" si="28"/>
        <v>0</v>
      </c>
      <c r="AI85" s="393">
        <f t="shared" ca="1" si="28"/>
        <v>2</v>
      </c>
    </row>
    <row r="86" spans="1:35" s="170" customFormat="1">
      <c r="A86" s="169" t="s">
        <v>457</v>
      </c>
      <c r="B86" s="170" t="s">
        <v>409</v>
      </c>
      <c r="C86" s="436" t="str">
        <f ca="1">VLOOKUP($A86,INDIRECT(C$1&amp;loc_half),2,0)</f>
        <v>Brazilië</v>
      </c>
      <c r="D86" s="436" t="str">
        <f t="shared" ref="D86:Z89" ca="1" si="29">VLOOKUP($A86,INDIRECT(D$1&amp;loc_half),2,0)</f>
        <v>Brazilië</v>
      </c>
      <c r="E86" s="436" t="str">
        <f t="shared" ca="1" si="29"/>
        <v>Brazilië</v>
      </c>
      <c r="F86" s="436" t="str">
        <f t="shared" ca="1" si="29"/>
        <v>Brazilië</v>
      </c>
      <c r="G86" s="436" t="str">
        <f t="shared" ca="1" si="29"/>
        <v>Brazilië</v>
      </c>
      <c r="H86" s="436" t="str">
        <f t="shared" ca="1" si="29"/>
        <v>Brazilië</v>
      </c>
      <c r="I86" s="436" t="str">
        <f t="shared" ca="1" si="29"/>
        <v>Brazilië</v>
      </c>
      <c r="J86" s="436" t="str">
        <f t="shared" ca="1" si="29"/>
        <v>Brazilië</v>
      </c>
      <c r="K86" s="436" t="str">
        <f t="shared" ca="1" si="29"/>
        <v>Spanje</v>
      </c>
      <c r="L86" s="436" t="str">
        <f t="shared" ca="1" si="29"/>
        <v>Brazilië</v>
      </c>
      <c r="M86" s="436" t="str">
        <f t="shared" ca="1" si="29"/>
        <v>Brazilië</v>
      </c>
      <c r="N86" s="436" t="str">
        <f t="shared" ca="1" si="29"/>
        <v>Brazilië</v>
      </c>
      <c r="O86" s="436" t="str">
        <f t="shared" ca="1" si="29"/>
        <v>Brazilië</v>
      </c>
      <c r="P86" s="436" t="str">
        <f t="shared" ca="1" si="29"/>
        <v>Brazilië</v>
      </c>
      <c r="Q86" s="436" t="str">
        <f t="shared" ca="1" si="29"/>
        <v>Brazilië</v>
      </c>
      <c r="R86" s="436" t="str">
        <f t="shared" ca="1" si="29"/>
        <v>Brazilië</v>
      </c>
      <c r="S86" s="436" t="str">
        <f t="shared" ca="1" si="29"/>
        <v>Brazilië</v>
      </c>
      <c r="T86" s="436" t="str">
        <f t="shared" ca="1" si="29"/>
        <v>Brazilië</v>
      </c>
      <c r="U86" s="436" t="str">
        <f t="shared" ca="1" si="29"/>
        <v>Brazilië</v>
      </c>
      <c r="V86" s="436" t="str">
        <f t="shared" ca="1" si="29"/>
        <v>Italië</v>
      </c>
      <c r="W86" s="436" t="str">
        <f t="shared" ca="1" si="29"/>
        <v>Brazilië</v>
      </c>
      <c r="X86" s="436" t="str">
        <f t="shared" ca="1" si="29"/>
        <v>Brazilië</v>
      </c>
      <c r="Y86" s="436" t="str">
        <f t="shared" ca="1" si="29"/>
        <v>Spanje</v>
      </c>
      <c r="Z86" s="436" t="str">
        <f t="shared" ca="1" si="29"/>
        <v>Spanje</v>
      </c>
      <c r="AB86" s="395"/>
      <c r="AC86" s="395"/>
      <c r="AD86" s="396"/>
      <c r="AE86" s="396"/>
      <c r="AF86" s="396"/>
      <c r="AG86" s="397"/>
      <c r="AH86" s="397"/>
      <c r="AI86" s="397"/>
    </row>
    <row r="87" spans="1:35" s="170" customFormat="1">
      <c r="A87" s="169" t="s">
        <v>458</v>
      </c>
      <c r="C87" s="436" t="str">
        <f t="shared" ref="C87:T89" ca="1" si="30">VLOOKUP($A87,INDIRECT(C$1&amp;loc_half),2,0)</f>
        <v>Duitsland</v>
      </c>
      <c r="D87" s="436" t="str">
        <f t="shared" ca="1" si="30"/>
        <v>Duitsland</v>
      </c>
      <c r="E87" s="436" t="str">
        <f t="shared" ca="1" si="30"/>
        <v>Duitsland</v>
      </c>
      <c r="F87" s="436" t="str">
        <f t="shared" ca="1" si="30"/>
        <v>Duitsland</v>
      </c>
      <c r="G87" s="436" t="str">
        <f t="shared" ca="1" si="30"/>
        <v>Duitsland</v>
      </c>
      <c r="H87" s="436" t="str">
        <f t="shared" ca="1" si="30"/>
        <v>Duitsland</v>
      </c>
      <c r="I87" s="436" t="str">
        <f t="shared" ca="1" si="30"/>
        <v>Duitsland</v>
      </c>
      <c r="J87" s="436" t="str">
        <f t="shared" ca="1" si="30"/>
        <v>Frankrijk</v>
      </c>
      <c r="K87" s="436" t="str">
        <f t="shared" ca="1" si="30"/>
        <v>Duitsland</v>
      </c>
      <c r="L87" s="436" t="str">
        <f t="shared" ca="1" si="30"/>
        <v>Duitsland</v>
      </c>
      <c r="M87" s="436" t="str">
        <f t="shared" ca="1" si="30"/>
        <v>Duitsland</v>
      </c>
      <c r="N87" s="436" t="str">
        <f t="shared" ca="1" si="30"/>
        <v>Portugal</v>
      </c>
      <c r="O87" s="436" t="str">
        <f t="shared" ca="1" si="30"/>
        <v>Duitsland</v>
      </c>
      <c r="P87" s="436" t="str">
        <f t="shared" ca="1" si="30"/>
        <v>Duitsland</v>
      </c>
      <c r="Q87" s="436" t="str">
        <f t="shared" ca="1" si="30"/>
        <v>Duitsland</v>
      </c>
      <c r="R87" s="436" t="str">
        <f t="shared" ca="1" si="30"/>
        <v>Duitsland</v>
      </c>
      <c r="S87" s="436" t="str">
        <f t="shared" ca="1" si="30"/>
        <v>Duitsland</v>
      </c>
      <c r="T87" s="436" t="str">
        <f t="shared" ca="1" si="30"/>
        <v>Bosnië en Herzegovina</v>
      </c>
      <c r="U87" s="436" t="str">
        <f t="shared" ca="1" si="29"/>
        <v>Portugal</v>
      </c>
      <c r="V87" s="436" t="str">
        <f t="shared" ca="1" si="29"/>
        <v>Duitsland</v>
      </c>
      <c r="W87" s="436" t="str">
        <f t="shared" ca="1" si="29"/>
        <v>Duitsland</v>
      </c>
      <c r="X87" s="436" t="str">
        <f t="shared" ca="1" si="29"/>
        <v>Duitsland</v>
      </c>
      <c r="Y87" s="436" t="str">
        <f t="shared" ca="1" si="29"/>
        <v>Portugal</v>
      </c>
      <c r="Z87" s="436" t="str">
        <f t="shared" ca="1" si="29"/>
        <v>Frankrijk</v>
      </c>
      <c r="AB87" s="395"/>
      <c r="AC87" s="395"/>
      <c r="AD87" s="396"/>
      <c r="AE87" s="396"/>
      <c r="AF87" s="396"/>
      <c r="AG87" s="397"/>
      <c r="AH87" s="397"/>
      <c r="AI87" s="397"/>
    </row>
    <row r="88" spans="1:35" s="170" customFormat="1">
      <c r="A88" s="169" t="s">
        <v>459</v>
      </c>
      <c r="C88" s="436" t="str">
        <f t="shared" ca="1" si="30"/>
        <v>Nederland</v>
      </c>
      <c r="D88" s="436" t="str">
        <f t="shared" ca="1" si="29"/>
        <v>Spanje</v>
      </c>
      <c r="E88" s="436" t="str">
        <f t="shared" ca="1" si="29"/>
        <v>Italië</v>
      </c>
      <c r="F88" s="436" t="str">
        <f t="shared" ca="1" si="29"/>
        <v>Spanje</v>
      </c>
      <c r="G88" s="436" t="str">
        <f t="shared" ca="1" si="29"/>
        <v>Italië</v>
      </c>
      <c r="H88" s="436" t="str">
        <f t="shared" ca="1" si="29"/>
        <v>Spanje</v>
      </c>
      <c r="I88" s="436" t="str">
        <f t="shared" ca="1" si="29"/>
        <v>Spanje</v>
      </c>
      <c r="J88" s="436" t="str">
        <f t="shared" ca="1" si="29"/>
        <v>Italië</v>
      </c>
      <c r="K88" s="436" t="str">
        <f t="shared" ca="1" si="29"/>
        <v>Brazilië</v>
      </c>
      <c r="L88" s="436" t="str">
        <f t="shared" ca="1" si="29"/>
        <v>Spanje</v>
      </c>
      <c r="M88" s="436" t="str">
        <f t="shared" ca="1" si="29"/>
        <v>Uruguay</v>
      </c>
      <c r="N88" s="436" t="str">
        <f t="shared" ca="1" si="29"/>
        <v>Spanje</v>
      </c>
      <c r="O88" s="436" t="str">
        <f t="shared" ca="1" si="29"/>
        <v>Spanje</v>
      </c>
      <c r="P88" s="436" t="str">
        <f t="shared" ca="1" si="29"/>
        <v>Nederland</v>
      </c>
      <c r="Q88" s="436" t="str">
        <f t="shared" ca="1" si="29"/>
        <v>Spanje</v>
      </c>
      <c r="R88" s="436" t="str">
        <f t="shared" ca="1" si="29"/>
        <v>Spanje</v>
      </c>
      <c r="S88" s="436" t="str">
        <f t="shared" ca="1" si="29"/>
        <v>Engeland</v>
      </c>
      <c r="T88" s="436" t="str">
        <f t="shared" ca="1" si="29"/>
        <v>Spanje</v>
      </c>
      <c r="U88" s="436" t="str">
        <f t="shared" ca="1" si="29"/>
        <v>Spanje</v>
      </c>
      <c r="V88" s="436" t="str">
        <f t="shared" ca="1" si="29"/>
        <v>Nederland</v>
      </c>
      <c r="W88" s="436" t="str">
        <f t="shared" ca="1" si="29"/>
        <v>Spanje</v>
      </c>
      <c r="X88" s="436" t="str">
        <f t="shared" ca="1" si="29"/>
        <v>Italië</v>
      </c>
      <c r="Y88" s="436" t="str">
        <f t="shared" ca="1" si="29"/>
        <v>Uruguay</v>
      </c>
      <c r="Z88" s="436" t="str">
        <f t="shared" ca="1" si="29"/>
        <v>Brazilië</v>
      </c>
      <c r="AB88" s="395"/>
      <c r="AC88" s="395"/>
      <c r="AD88" s="396"/>
      <c r="AE88" s="396"/>
      <c r="AF88" s="396"/>
      <c r="AG88" s="397"/>
      <c r="AH88" s="397"/>
      <c r="AI88" s="397"/>
    </row>
    <row r="89" spans="1:35" s="170" customFormat="1" ht="13.5" thickBot="1">
      <c r="A89" s="438" t="s">
        <v>460</v>
      </c>
      <c r="B89" s="439"/>
      <c r="C89" s="440" t="str">
        <f t="shared" ca="1" si="30"/>
        <v>Argentinië</v>
      </c>
      <c r="D89" s="440" t="str">
        <f t="shared" ca="1" si="29"/>
        <v>Argentinië</v>
      </c>
      <c r="E89" s="440" t="str">
        <f t="shared" ca="1" si="29"/>
        <v>Argentinië</v>
      </c>
      <c r="F89" s="440" t="str">
        <f t="shared" ca="1" si="29"/>
        <v>Argentinië</v>
      </c>
      <c r="G89" s="440" t="str">
        <f t="shared" ca="1" si="29"/>
        <v>Rusland</v>
      </c>
      <c r="H89" s="440" t="str">
        <f t="shared" ca="1" si="29"/>
        <v>Portugal</v>
      </c>
      <c r="I89" s="440" t="str">
        <f t="shared" ca="1" si="29"/>
        <v>Argentinië</v>
      </c>
      <c r="J89" s="440" t="str">
        <f t="shared" ca="1" si="29"/>
        <v>Argentinië</v>
      </c>
      <c r="K89" s="440" t="str">
        <f t="shared" ca="1" si="29"/>
        <v>Argentinië</v>
      </c>
      <c r="L89" s="440" t="str">
        <f t="shared" ca="1" si="29"/>
        <v>Argentinië</v>
      </c>
      <c r="M89" s="440" t="str">
        <f t="shared" ca="1" si="29"/>
        <v>Argentinië</v>
      </c>
      <c r="N89" s="440" t="str">
        <f t="shared" ca="1" si="29"/>
        <v>Argentinië</v>
      </c>
      <c r="O89" s="440" t="str">
        <f t="shared" ca="1" si="29"/>
        <v>Argentinië</v>
      </c>
      <c r="P89" s="440" t="str">
        <f t="shared" ca="1" si="29"/>
        <v>Portugal</v>
      </c>
      <c r="Q89" s="440" t="str">
        <f t="shared" ca="1" si="29"/>
        <v>Argentinië</v>
      </c>
      <c r="R89" s="440" t="str">
        <f t="shared" ca="1" si="29"/>
        <v>Portugal</v>
      </c>
      <c r="S89" s="440" t="str">
        <f t="shared" ca="1" si="29"/>
        <v>Argentinië</v>
      </c>
      <c r="T89" s="440" t="str">
        <f t="shared" ca="1" si="29"/>
        <v>Argentinië</v>
      </c>
      <c r="U89" s="440" t="str">
        <f t="shared" ca="1" si="29"/>
        <v>Argentinië</v>
      </c>
      <c r="V89" s="440" t="str">
        <f t="shared" ca="1" si="29"/>
        <v>Argentinië</v>
      </c>
      <c r="W89" s="440" t="str">
        <f t="shared" ca="1" si="29"/>
        <v>Ecuador</v>
      </c>
      <c r="X89" s="440" t="str">
        <f t="shared" ca="1" si="29"/>
        <v>Argentinië</v>
      </c>
      <c r="Y89" s="440" t="str">
        <f t="shared" ca="1" si="29"/>
        <v>Duitsland</v>
      </c>
      <c r="Z89" s="440" t="str">
        <f t="shared" ca="1" si="29"/>
        <v>Argentinië</v>
      </c>
      <c r="AB89" s="395"/>
      <c r="AC89" s="395"/>
      <c r="AD89" s="396"/>
      <c r="AE89" s="396"/>
      <c r="AF89" s="396"/>
      <c r="AG89" s="397"/>
      <c r="AH89" s="397"/>
      <c r="AI89" s="397"/>
    </row>
    <row r="90" spans="1:35" hidden="1">
      <c r="A90" s="154">
        <v>63</v>
      </c>
      <c r="B90" s="155" t="s">
        <v>408</v>
      </c>
      <c r="C90" s="436" t="str">
        <f ca="1">VLOOKUP($A90,INDIRECT(C$1&amp;loc_voorspell),4,0)</f>
        <v>Duitsland</v>
      </c>
      <c r="D90" s="436" t="str">
        <f t="shared" ref="D90:Z90" ca="1" si="31">VLOOKUP($A90,INDIRECT(D$1&amp;loc_voorspell),4,0)</f>
        <v>Brazilië</v>
      </c>
      <c r="E90" s="436" t="str">
        <f t="shared" ca="1" si="31"/>
        <v>Brazilië</v>
      </c>
      <c r="F90" s="436" t="str">
        <f t="shared" ca="1" si="31"/>
        <v>Brazilië</v>
      </c>
      <c r="G90" s="436" t="str">
        <f t="shared" ca="1" si="31"/>
        <v>Brazilië</v>
      </c>
      <c r="H90" s="436" t="str">
        <f t="shared" ca="1" si="31"/>
        <v>Brazilië</v>
      </c>
      <c r="I90" s="436" t="str">
        <f t="shared" ca="1" si="31"/>
        <v>Duitsland</v>
      </c>
      <c r="J90" s="436" t="str">
        <f t="shared" ca="1" si="31"/>
        <v>Frankrijk</v>
      </c>
      <c r="K90" s="436" t="str">
        <f t="shared" ca="1" si="31"/>
        <v>Spanje</v>
      </c>
      <c r="L90" s="436" t="str">
        <f t="shared" ca="1" si="31"/>
        <v>Duitsland</v>
      </c>
      <c r="M90" s="436" t="str">
        <f t="shared" ca="1" si="31"/>
        <v>Duitsland</v>
      </c>
      <c r="N90" s="436" t="str">
        <f t="shared" ca="1" si="31"/>
        <v>Portugal</v>
      </c>
      <c r="O90" s="436" t="str">
        <f t="shared" ca="1" si="31"/>
        <v>Duitsland</v>
      </c>
      <c r="P90" s="436" t="str">
        <f t="shared" ca="1" si="31"/>
        <v>Duitsland</v>
      </c>
      <c r="Q90" s="436" t="str">
        <f t="shared" ca="1" si="31"/>
        <v>Duitsland</v>
      </c>
      <c r="R90" s="436" t="str">
        <f t="shared" ca="1" si="31"/>
        <v>Brazilië</v>
      </c>
      <c r="S90" s="436" t="str">
        <f t="shared" ca="1" si="31"/>
        <v>Duitsland</v>
      </c>
      <c r="T90" s="436" t="str">
        <f t="shared" ca="1" si="31"/>
        <v>Bosnië en Herzegovina</v>
      </c>
      <c r="U90" s="436" t="str">
        <f t="shared" ca="1" si="31"/>
        <v>Portugal</v>
      </c>
      <c r="V90" s="436" t="str">
        <f t="shared" ca="1" si="31"/>
        <v>Italië</v>
      </c>
      <c r="W90" s="436" t="str">
        <f t="shared" ca="1" si="31"/>
        <v>Duitsland</v>
      </c>
      <c r="X90" s="436" t="str">
        <f t="shared" ca="1" si="31"/>
        <v>Duitsland</v>
      </c>
      <c r="Y90" s="436" t="str">
        <f t="shared" ca="1" si="31"/>
        <v>Spanje</v>
      </c>
      <c r="Z90" s="436" t="str">
        <f t="shared" ca="1" si="31"/>
        <v>Frankrijk</v>
      </c>
      <c r="AB90" s="391"/>
      <c r="AC90" s="391"/>
      <c r="AD90" s="392"/>
      <c r="AE90" s="392"/>
      <c r="AF90" s="392"/>
      <c r="AG90" s="393"/>
      <c r="AH90" s="393"/>
      <c r="AI90" s="393"/>
    </row>
    <row r="91" spans="1:35" hidden="1">
      <c r="A91" s="154">
        <v>63</v>
      </c>
      <c r="C91" s="437" t="str">
        <f ca="1">VLOOKUP($A91,INDIRECT(C$1&amp;loc_voorspell),6,0)</f>
        <v>Nederland</v>
      </c>
      <c r="D91" s="437" t="str">
        <f t="shared" ref="D91:Z91" ca="1" si="32">VLOOKUP($A91,INDIRECT(D$1&amp;loc_voorspell),6,0)</f>
        <v>Spanje</v>
      </c>
      <c r="E91" s="437" t="str">
        <f t="shared" ca="1" si="32"/>
        <v>Italië</v>
      </c>
      <c r="F91" s="437" t="str">
        <f t="shared" ca="1" si="32"/>
        <v>Spanje</v>
      </c>
      <c r="G91" s="437" t="str">
        <f t="shared" ca="1" si="32"/>
        <v>Italië</v>
      </c>
      <c r="H91" s="437" t="str">
        <f t="shared" ca="1" si="32"/>
        <v>Portugal</v>
      </c>
      <c r="I91" s="437" t="str">
        <f t="shared" ca="1" si="32"/>
        <v>Argentinië</v>
      </c>
      <c r="J91" s="437" t="str">
        <f t="shared" ca="1" si="32"/>
        <v>Italië</v>
      </c>
      <c r="K91" s="437" t="str">
        <f t="shared" ca="1" si="32"/>
        <v>Argentinië</v>
      </c>
      <c r="L91" s="437" t="str">
        <f t="shared" ca="1" si="32"/>
        <v>Spanje</v>
      </c>
      <c r="M91" s="437" t="str">
        <f t="shared" ca="1" si="32"/>
        <v>Uruguay</v>
      </c>
      <c r="N91" s="437" t="str">
        <f t="shared" ca="1" si="32"/>
        <v>Spanje</v>
      </c>
      <c r="O91" s="437" t="str">
        <f t="shared" ca="1" si="32"/>
        <v>Argentinië</v>
      </c>
      <c r="P91" s="437" t="str">
        <f t="shared" ca="1" si="32"/>
        <v>Portugal</v>
      </c>
      <c r="Q91" s="437" t="str">
        <f t="shared" ca="1" si="32"/>
        <v>Spanje</v>
      </c>
      <c r="R91" s="437" t="str">
        <f t="shared" ca="1" si="32"/>
        <v>Portugal</v>
      </c>
      <c r="S91" s="437" t="str">
        <f t="shared" ca="1" si="32"/>
        <v>Argentinië</v>
      </c>
      <c r="T91" s="437" t="str">
        <f t="shared" ca="1" si="32"/>
        <v>Spanje</v>
      </c>
      <c r="U91" s="437" t="str">
        <f t="shared" ca="1" si="32"/>
        <v>Spanje</v>
      </c>
      <c r="V91" s="437" t="str">
        <f t="shared" ca="1" si="32"/>
        <v>Argentinië</v>
      </c>
      <c r="W91" s="437" t="str">
        <f t="shared" ca="1" si="32"/>
        <v>Ecuador</v>
      </c>
      <c r="X91" s="437" t="str">
        <f t="shared" ca="1" si="32"/>
        <v>Italië</v>
      </c>
      <c r="Y91" s="437" t="str">
        <f t="shared" ca="1" si="32"/>
        <v>Uruguay</v>
      </c>
      <c r="Z91" s="437" t="str">
        <f t="shared" ca="1" si="32"/>
        <v>Brazilië</v>
      </c>
      <c r="AB91" s="391"/>
      <c r="AC91" s="391"/>
      <c r="AD91" s="392"/>
      <c r="AE91" s="392"/>
      <c r="AF91" s="392"/>
      <c r="AG91" s="393"/>
      <c r="AH91" s="393"/>
      <c r="AI91" s="393"/>
    </row>
    <row r="92" spans="1:35" s="172" customFormat="1">
      <c r="A92" s="171" t="s">
        <v>461</v>
      </c>
      <c r="B92" s="172" t="s">
        <v>407</v>
      </c>
      <c r="C92" s="436" t="str">
        <f ca="1">VLOOKUP($A92,INDIRECT(C$1&amp;loc_fin),2,0)</f>
        <v>Brazilië</v>
      </c>
      <c r="D92" s="436" t="str">
        <f t="shared" ref="D92:Z93" ca="1" si="33">VLOOKUP($A92,INDIRECT(D$1&amp;loc_fin),2,0)</f>
        <v>Duitsland</v>
      </c>
      <c r="E92" s="436" t="str">
        <f t="shared" ca="1" si="33"/>
        <v>Duitsland</v>
      </c>
      <c r="F92" s="436" t="str">
        <f t="shared" ca="1" si="33"/>
        <v>Duitsland</v>
      </c>
      <c r="G92" s="436" t="str">
        <f t="shared" ca="1" si="33"/>
        <v>Duitsland</v>
      </c>
      <c r="H92" s="436" t="str">
        <f t="shared" ca="1" si="33"/>
        <v>Duitsland</v>
      </c>
      <c r="I92" s="436" t="str">
        <f t="shared" ca="1" si="33"/>
        <v>Brazilië</v>
      </c>
      <c r="J92" s="436" t="str">
        <f t="shared" ca="1" si="33"/>
        <v>Brazilië</v>
      </c>
      <c r="K92" s="436" t="str">
        <f t="shared" ca="1" si="33"/>
        <v>Duitsland</v>
      </c>
      <c r="L92" s="436" t="str">
        <f t="shared" ca="1" si="33"/>
        <v>Brazilië</v>
      </c>
      <c r="M92" s="436" t="str">
        <f t="shared" ca="1" si="33"/>
        <v>Brazilië</v>
      </c>
      <c r="N92" s="436" t="str">
        <f t="shared" ca="1" si="33"/>
        <v>Brazilië</v>
      </c>
      <c r="O92" s="436" t="str">
        <f t="shared" ca="1" si="33"/>
        <v>Brazilië</v>
      </c>
      <c r="P92" s="436" t="str">
        <f t="shared" ca="1" si="33"/>
        <v>Brazilië</v>
      </c>
      <c r="Q92" s="436" t="str">
        <f t="shared" ca="1" si="33"/>
        <v>Brazilië</v>
      </c>
      <c r="R92" s="436" t="str">
        <f t="shared" ca="1" si="33"/>
        <v>Duitsland</v>
      </c>
      <c r="S92" s="436" t="str">
        <f t="shared" ca="1" si="33"/>
        <v>Brazilië</v>
      </c>
      <c r="T92" s="436" t="str">
        <f t="shared" ca="1" si="33"/>
        <v>Brazilië</v>
      </c>
      <c r="U92" s="436" t="str">
        <f t="shared" ca="1" si="33"/>
        <v>Brazilië</v>
      </c>
      <c r="V92" s="436" t="str">
        <f t="shared" ca="1" si="33"/>
        <v>Duitsland</v>
      </c>
      <c r="W92" s="436" t="str">
        <f t="shared" ca="1" si="33"/>
        <v>Brazilië</v>
      </c>
      <c r="X92" s="436" t="str">
        <f t="shared" ca="1" si="33"/>
        <v>Brazilië</v>
      </c>
      <c r="Y92" s="436" t="str">
        <f t="shared" ca="1" si="33"/>
        <v>Portugal</v>
      </c>
      <c r="Z92" s="436" t="str">
        <f t="shared" ca="1" si="33"/>
        <v>Spanje</v>
      </c>
      <c r="AB92" s="398"/>
      <c r="AC92" s="398"/>
      <c r="AD92" s="399"/>
      <c r="AE92" s="399"/>
      <c r="AF92" s="399"/>
      <c r="AG92" s="400"/>
      <c r="AH92" s="400"/>
      <c r="AI92" s="400"/>
    </row>
    <row r="93" spans="1:35" s="172" customFormat="1">
      <c r="A93" s="171" t="s">
        <v>462</v>
      </c>
      <c r="C93" s="436" t="str">
        <f ca="1">VLOOKUP($A93,INDIRECT(C$1&amp;loc_fin),2,0)</f>
        <v>Argentinië</v>
      </c>
      <c r="D93" s="436" t="str">
        <f t="shared" ca="1" si="33"/>
        <v>Argentinië</v>
      </c>
      <c r="E93" s="436" t="str">
        <f t="shared" ca="1" si="33"/>
        <v>Argentinië</v>
      </c>
      <c r="F93" s="436" t="str">
        <f t="shared" ca="1" si="33"/>
        <v>Argentinië</v>
      </c>
      <c r="G93" s="436" t="str">
        <f t="shared" ca="1" si="33"/>
        <v>Rusland</v>
      </c>
      <c r="H93" s="436" t="str">
        <f t="shared" ca="1" si="33"/>
        <v>Spanje</v>
      </c>
      <c r="I93" s="436" t="str">
        <f t="shared" ca="1" si="33"/>
        <v>Spanje</v>
      </c>
      <c r="J93" s="436" t="str">
        <f t="shared" ca="1" si="33"/>
        <v>Argentinië</v>
      </c>
      <c r="K93" s="436" t="str">
        <f t="shared" ca="1" si="33"/>
        <v>Brazilië</v>
      </c>
      <c r="L93" s="436" t="str">
        <f t="shared" ca="1" si="33"/>
        <v>Argentinië</v>
      </c>
      <c r="M93" s="436" t="str">
        <f t="shared" ca="1" si="33"/>
        <v>Argentinië</v>
      </c>
      <c r="N93" s="436" t="str">
        <f t="shared" ca="1" si="33"/>
        <v>Argentinië</v>
      </c>
      <c r="O93" s="436" t="str">
        <f t="shared" ca="1" si="33"/>
        <v>Spanje</v>
      </c>
      <c r="P93" s="436" t="str">
        <f t="shared" ca="1" si="33"/>
        <v>Nederland</v>
      </c>
      <c r="Q93" s="436" t="str">
        <f t="shared" ca="1" si="33"/>
        <v>Argentinië</v>
      </c>
      <c r="R93" s="436" t="str">
        <f t="shared" ca="1" si="33"/>
        <v>Spanje</v>
      </c>
      <c r="S93" s="436" t="str">
        <f t="shared" ca="1" si="33"/>
        <v>Engeland</v>
      </c>
      <c r="T93" s="436" t="str">
        <f t="shared" ca="1" si="33"/>
        <v>Argentinië</v>
      </c>
      <c r="U93" s="436" t="str">
        <f t="shared" ca="1" si="33"/>
        <v>Argentinië</v>
      </c>
      <c r="V93" s="436" t="str">
        <f t="shared" ca="1" si="33"/>
        <v>Nederland</v>
      </c>
      <c r="W93" s="436" t="str">
        <f t="shared" ca="1" si="33"/>
        <v>Spanje</v>
      </c>
      <c r="X93" s="436" t="str">
        <f t="shared" ca="1" si="33"/>
        <v>Argentinië</v>
      </c>
      <c r="Y93" s="436" t="str">
        <f t="shared" ca="1" si="33"/>
        <v>Duitsland</v>
      </c>
      <c r="Z93" s="436" t="str">
        <f t="shared" ca="1" si="33"/>
        <v>Argentinië</v>
      </c>
      <c r="AB93" s="398"/>
      <c r="AC93" s="398"/>
      <c r="AD93" s="399"/>
      <c r="AE93" s="399"/>
      <c r="AF93" s="399"/>
      <c r="AG93" s="400"/>
      <c r="AH93" s="400"/>
      <c r="AI93" s="400"/>
    </row>
    <row r="94" spans="1:35">
      <c r="AB94" s="391"/>
      <c r="AC94" s="391"/>
      <c r="AD94" s="392"/>
      <c r="AE94" s="392"/>
      <c r="AF94" s="392"/>
      <c r="AG94" s="393"/>
      <c r="AH94" s="393"/>
      <c r="AI94" s="393"/>
    </row>
    <row r="95" spans="1:35" s="309" customFormat="1">
      <c r="A95" s="159">
        <v>61</v>
      </c>
      <c r="B95" s="168" t="str">
        <f>VLOOKUP($A95,wedstrijden,6,0)&amp;"-"&amp;VLOOKUP($A95,wedstrijden,10,0)</f>
        <v>Brazilië-Duitsland</v>
      </c>
      <c r="C95" s="340" t="str">
        <f t="shared" ref="C95:M96" ca="1" si="34">VLOOKUP($A95,INDIRECT(C$1&amp;loc_voorspell),7,0)&amp;" - "&amp;VLOOKUP($A95,INDIRECT(C$1&amp;loc_voorspell),9,0)</f>
        <v>2 - 1</v>
      </c>
      <c r="D95" s="340" t="str">
        <f t="shared" ca="1" si="34"/>
        <v>1 - 2</v>
      </c>
      <c r="E95" s="340" t="str">
        <f t="shared" ca="1" si="34"/>
        <v>1 - 2</v>
      </c>
      <c r="F95" s="340" t="str">
        <f t="shared" ca="1" si="34"/>
        <v>1 - 2</v>
      </c>
      <c r="G95" s="340" t="str">
        <f t="shared" ca="1" si="34"/>
        <v>1 - 1</v>
      </c>
      <c r="H95" s="340" t="str">
        <f t="shared" ca="1" si="34"/>
        <v>1 - 1</v>
      </c>
      <c r="I95" s="340" t="str">
        <f t="shared" ca="1" si="34"/>
        <v>1 - 0</v>
      </c>
      <c r="J95" s="340" t="str">
        <f t="shared" ca="1" si="34"/>
        <v>3 - 1</v>
      </c>
      <c r="K95" s="340" t="str">
        <f t="shared" ca="1" si="34"/>
        <v>1 - 3</v>
      </c>
      <c r="L95" s="340" t="str">
        <f t="shared" ca="1" si="34"/>
        <v>1 - 1</v>
      </c>
      <c r="M95" s="340" t="str">
        <f t="shared" ca="1" si="34"/>
        <v>2 - 1</v>
      </c>
      <c r="N95" s="340" t="str">
        <f t="shared" ref="N95:Z96" ca="1" si="35">VLOOKUP($A95,INDIRECT(N$1&amp;loc_voorspell),7,0)&amp;" - "&amp;VLOOKUP($A95,INDIRECT(N$1&amp;loc_voorspell),9,0)</f>
        <v>2 - 1</v>
      </c>
      <c r="O95" s="340" t="str">
        <f t="shared" ca="1" si="35"/>
        <v>2 - 0</v>
      </c>
      <c r="P95" s="340" t="str">
        <f t="shared" ca="1" si="35"/>
        <v>1 - 0</v>
      </c>
      <c r="Q95" s="340" t="str">
        <f t="shared" ca="1" si="35"/>
        <v>1 - 0</v>
      </c>
      <c r="R95" s="340" t="str">
        <f t="shared" ca="1" si="35"/>
        <v>0 - 0</v>
      </c>
      <c r="S95" s="340" t="str">
        <f t="shared" ca="1" si="35"/>
        <v>3 - 2</v>
      </c>
      <c r="T95" s="340" t="str">
        <f t="shared" ca="1" si="35"/>
        <v>2 - 0</v>
      </c>
      <c r="U95" s="340" t="str">
        <f t="shared" ca="1" si="35"/>
        <v>2 - 1</v>
      </c>
      <c r="V95" s="340" t="str">
        <f t="shared" ca="1" si="35"/>
        <v>1 - 2</v>
      </c>
      <c r="W95" s="340" t="str">
        <f t="shared" ca="1" si="35"/>
        <v>1 - 0</v>
      </c>
      <c r="X95" s="340" t="str">
        <f t="shared" ca="1" si="35"/>
        <v>2 - 1</v>
      </c>
      <c r="Y95" s="340" t="str">
        <f t="shared" ca="1" si="35"/>
        <v>1 - 3</v>
      </c>
      <c r="Z95" s="340" t="str">
        <f t="shared" ca="1" si="35"/>
        <v>1 - 0</v>
      </c>
      <c r="AB95" s="391">
        <f t="shared" ref="AB95:AI99" ca="1" si="36">COUNTIF($C95:$AA95,AB$1)</f>
        <v>1</v>
      </c>
      <c r="AC95" s="391">
        <f t="shared" ca="1" si="36"/>
        <v>3</v>
      </c>
      <c r="AD95" s="392">
        <f t="shared" ca="1" si="36"/>
        <v>5</v>
      </c>
      <c r="AE95" s="392">
        <f t="shared" ca="1" si="36"/>
        <v>2</v>
      </c>
      <c r="AF95" s="392">
        <f t="shared" ca="1" si="36"/>
        <v>5</v>
      </c>
      <c r="AG95" s="393">
        <f t="shared" ca="1" si="36"/>
        <v>4</v>
      </c>
      <c r="AH95" s="393">
        <f t="shared" ca="1" si="36"/>
        <v>0</v>
      </c>
      <c r="AI95" s="393">
        <f t="shared" ca="1" si="36"/>
        <v>0</v>
      </c>
    </row>
    <row r="96" spans="1:35" s="161" customFormat="1">
      <c r="A96" s="159">
        <v>62</v>
      </c>
      <c r="B96" s="168" t="str">
        <f>VLOOKUP($A96,wedstrijden,6,0)&amp;"-"&amp;VLOOKUP($A96,wedstrijden,10,0)</f>
        <v>Nederland-Argentinië</v>
      </c>
      <c r="C96" s="340" t="str">
        <f t="shared" ca="1" si="34"/>
        <v>1 - 1</v>
      </c>
      <c r="D96" s="340" t="str">
        <f t="shared" ca="1" si="34"/>
        <v>0 - 2</v>
      </c>
      <c r="E96" s="340" t="str">
        <f t="shared" ca="1" si="34"/>
        <v>1 - 2</v>
      </c>
      <c r="F96" s="340" t="str">
        <f t="shared" ca="1" si="34"/>
        <v>1 - 1</v>
      </c>
      <c r="G96" s="340" t="str">
        <f t="shared" ca="1" si="34"/>
        <v>0 - 2</v>
      </c>
      <c r="H96" s="340" t="str">
        <f t="shared" ca="1" si="34"/>
        <v>2 - 1</v>
      </c>
      <c r="I96" s="340" t="str">
        <f t="shared" ca="1" si="34"/>
        <v>1 - 0</v>
      </c>
      <c r="J96" s="340" t="str">
        <f t="shared" ca="1" si="34"/>
        <v>1 - 1</v>
      </c>
      <c r="K96" s="340" t="str">
        <f t="shared" ca="1" si="34"/>
        <v>1 - 1</v>
      </c>
      <c r="L96" s="340" t="str">
        <f t="shared" ca="1" si="34"/>
        <v>1 - 2</v>
      </c>
      <c r="M96" s="340" t="str">
        <f t="shared" ca="1" si="34"/>
        <v>1 - 2</v>
      </c>
      <c r="N96" s="340" t="str">
        <f t="shared" ca="1" si="35"/>
        <v>0 - 2</v>
      </c>
      <c r="O96" s="340" t="str">
        <f t="shared" ca="1" si="35"/>
        <v>2 - 1</v>
      </c>
      <c r="P96" s="340" t="str">
        <f t="shared" ca="1" si="35"/>
        <v>1 - 0</v>
      </c>
      <c r="Q96" s="340" t="str">
        <f t="shared" ca="1" si="35"/>
        <v>1 - 1</v>
      </c>
      <c r="R96" s="340" t="str">
        <f t="shared" ca="1" si="35"/>
        <v>2 - 1</v>
      </c>
      <c r="S96" s="340" t="str">
        <f t="shared" ca="1" si="35"/>
        <v>2 - 0</v>
      </c>
      <c r="T96" s="340" t="str">
        <f t="shared" ca="1" si="35"/>
        <v>1 - 2</v>
      </c>
      <c r="U96" s="340" t="str">
        <f t="shared" ca="1" si="35"/>
        <v>1 - 2</v>
      </c>
      <c r="V96" s="340" t="str">
        <f t="shared" ca="1" si="35"/>
        <v>1 - 0</v>
      </c>
      <c r="W96" s="340" t="str">
        <f t="shared" ca="1" si="35"/>
        <v>1 - 0</v>
      </c>
      <c r="X96" s="340" t="str">
        <f t="shared" ca="1" si="35"/>
        <v>2 - 3</v>
      </c>
      <c r="Y96" s="340" t="str">
        <f t="shared" ca="1" si="35"/>
        <v>1 - 1</v>
      </c>
      <c r="Z96" s="340" t="str">
        <f t="shared" ca="1" si="35"/>
        <v>2 - 3</v>
      </c>
      <c r="AB96" s="391">
        <f t="shared" ca="1" si="36"/>
        <v>0</v>
      </c>
      <c r="AC96" s="391">
        <f t="shared" ca="1" si="36"/>
        <v>6</v>
      </c>
      <c r="AD96" s="392">
        <f t="shared" ca="1" si="36"/>
        <v>4</v>
      </c>
      <c r="AE96" s="392">
        <f t="shared" ca="1" si="36"/>
        <v>1</v>
      </c>
      <c r="AF96" s="392">
        <f t="shared" ca="1" si="36"/>
        <v>3</v>
      </c>
      <c r="AG96" s="393">
        <f t="shared" ca="1" si="36"/>
        <v>5</v>
      </c>
      <c r="AH96" s="393">
        <f t="shared" ca="1" si="36"/>
        <v>3</v>
      </c>
      <c r="AI96" s="393">
        <f t="shared" ca="1" si="36"/>
        <v>0</v>
      </c>
    </row>
    <row r="97" spans="1:35" s="161" customFormat="1">
      <c r="A97" s="159"/>
      <c r="B97" s="168"/>
      <c r="C97" s="340"/>
      <c r="D97" s="340"/>
      <c r="E97" s="340"/>
      <c r="F97" s="340"/>
      <c r="G97" s="340"/>
      <c r="H97" s="340"/>
      <c r="I97" s="340"/>
      <c r="J97" s="340"/>
      <c r="K97" s="340"/>
      <c r="L97" s="340"/>
      <c r="M97" s="340"/>
      <c r="N97" s="340"/>
      <c r="O97" s="340"/>
      <c r="P97" s="340"/>
      <c r="Q97" s="340"/>
      <c r="R97" s="340"/>
      <c r="S97" s="340"/>
      <c r="T97" s="340"/>
      <c r="U97" s="340"/>
      <c r="V97" s="340"/>
      <c r="W97" s="340"/>
      <c r="X97" s="340"/>
      <c r="Y97" s="340"/>
      <c r="Z97" s="340"/>
      <c r="AB97" s="401"/>
      <c r="AC97" s="401"/>
      <c r="AD97" s="402"/>
      <c r="AE97" s="402"/>
      <c r="AF97" s="402"/>
      <c r="AG97" s="403"/>
      <c r="AH97" s="403"/>
      <c r="AI97" s="403"/>
    </row>
    <row r="98" spans="1:35" s="161" customFormat="1">
      <c r="A98" s="159">
        <v>63</v>
      </c>
      <c r="B98" s="168" t="str">
        <f>VLOOKUP($A98,wedstrijden,6,0)&amp;"-"&amp;VLOOKUP($A98,wedstrijden,10,0)</f>
        <v>Brazilië-Nederland</v>
      </c>
      <c r="C98" s="340" t="str">
        <f t="shared" ref="C98:M99" ca="1" si="37">VLOOKUP($A98,INDIRECT(C$1&amp;loc_voorspell),7,0)&amp;" - "&amp;VLOOKUP($A98,INDIRECT(C$1&amp;loc_voorspell),9,0)</f>
        <v>2 - 1</v>
      </c>
      <c r="D98" s="340" t="str">
        <f t="shared" ca="1" si="37"/>
        <v>3 - 0</v>
      </c>
      <c r="E98" s="340" t="str">
        <f t="shared" ca="1" si="37"/>
        <v>2 - 1</v>
      </c>
      <c r="F98" s="340" t="str">
        <f t="shared" ca="1" si="37"/>
        <v>0 - 0</v>
      </c>
      <c r="G98" s="340" t="str">
        <f t="shared" ca="1" si="37"/>
        <v>3 - 1</v>
      </c>
      <c r="H98" s="340" t="str">
        <f t="shared" ca="1" si="37"/>
        <v>1 - 1</v>
      </c>
      <c r="I98" s="340" t="str">
        <f t="shared" ca="1" si="37"/>
        <v>1 - 0</v>
      </c>
      <c r="J98" s="340" t="str">
        <f t="shared" ca="1" si="37"/>
        <v>1 - 0</v>
      </c>
      <c r="K98" s="340" t="str">
        <f t="shared" ca="1" si="37"/>
        <v>2 - 2</v>
      </c>
      <c r="L98" s="340" t="str">
        <f t="shared" ca="1" si="37"/>
        <v>2 - 2</v>
      </c>
      <c r="M98" s="340" t="str">
        <f t="shared" ca="1" si="37"/>
        <v>2 - 0</v>
      </c>
      <c r="N98" s="340" t="str">
        <f t="shared" ref="N98:Z99" ca="1" si="38">VLOOKUP($A98,INDIRECT(N$1&amp;loc_voorspell),7,0)&amp;" - "&amp;VLOOKUP($A98,INDIRECT(N$1&amp;loc_voorspell),9,0)</f>
        <v>1 - 0</v>
      </c>
      <c r="O98" s="340" t="str">
        <f t="shared" ca="1" si="38"/>
        <v>2 - 3</v>
      </c>
      <c r="P98" s="340" t="str">
        <f t="shared" ca="1" si="38"/>
        <v>2 - 1</v>
      </c>
      <c r="Q98" s="340" t="str">
        <f t="shared" ca="1" si="38"/>
        <v>1 - 2</v>
      </c>
      <c r="R98" s="340" t="str">
        <f t="shared" ca="1" si="38"/>
        <v>2 - 0</v>
      </c>
      <c r="S98" s="340" t="str">
        <f t="shared" ca="1" si="38"/>
        <v>2 - 0</v>
      </c>
      <c r="T98" s="340" t="str">
        <f t="shared" ca="1" si="38"/>
        <v>0 - 1</v>
      </c>
      <c r="U98" s="340" t="str">
        <f t="shared" ca="1" si="38"/>
        <v>1 - 1</v>
      </c>
      <c r="V98" s="340" t="str">
        <f t="shared" ca="1" si="38"/>
        <v>0 - 0</v>
      </c>
      <c r="W98" s="340" t="str">
        <f t="shared" ca="1" si="38"/>
        <v>1 - 0</v>
      </c>
      <c r="X98" s="340" t="str">
        <f t="shared" ca="1" si="38"/>
        <v>0 - 1</v>
      </c>
      <c r="Y98" s="340" t="str">
        <f t="shared" ca="1" si="38"/>
        <v>1 - 3</v>
      </c>
      <c r="Z98" s="340" t="str">
        <f t="shared" ca="1" si="38"/>
        <v>0 - 2</v>
      </c>
      <c r="AB98" s="391">
        <f t="shared" ca="1" si="36"/>
        <v>2</v>
      </c>
      <c r="AC98" s="391">
        <f t="shared" ca="1" si="36"/>
        <v>2</v>
      </c>
      <c r="AD98" s="392">
        <f t="shared" ca="1" si="36"/>
        <v>4</v>
      </c>
      <c r="AE98" s="392">
        <f t="shared" ca="1" si="36"/>
        <v>3</v>
      </c>
      <c r="AF98" s="392">
        <f t="shared" ca="1" si="36"/>
        <v>3</v>
      </c>
      <c r="AG98" s="393">
        <f t="shared" ca="1" si="36"/>
        <v>1</v>
      </c>
      <c r="AH98" s="393">
        <f t="shared" ca="1" si="36"/>
        <v>1</v>
      </c>
      <c r="AI98" s="393">
        <f t="shared" ca="1" si="36"/>
        <v>2</v>
      </c>
    </row>
    <row r="99" spans="1:35" s="161" customFormat="1">
      <c r="A99" s="159">
        <v>64</v>
      </c>
      <c r="B99" s="168" t="str">
        <f>VLOOKUP($A99,wedstrijden,6,0)&amp;"-"&amp;VLOOKUP($A99,wedstrijden,10,0)</f>
        <v>Duitsland-Argentinië</v>
      </c>
      <c r="C99" s="340" t="str">
        <f t="shared" ca="1" si="37"/>
        <v>2 - 0</v>
      </c>
      <c r="D99" s="340" t="str">
        <f t="shared" ca="1" si="37"/>
        <v>1 - 1</v>
      </c>
      <c r="E99" s="340" t="str">
        <f t="shared" ca="1" si="37"/>
        <v>2 - 1</v>
      </c>
      <c r="F99" s="340" t="str">
        <f t="shared" ca="1" si="37"/>
        <v>3 - 1</v>
      </c>
      <c r="G99" s="340" t="str">
        <f t="shared" ca="1" si="37"/>
        <v>2 - 1</v>
      </c>
      <c r="H99" s="340" t="str">
        <f t="shared" ca="1" si="37"/>
        <v>1 - 2</v>
      </c>
      <c r="I99" s="340" t="str">
        <f t="shared" ca="1" si="37"/>
        <v>1 - 1</v>
      </c>
      <c r="J99" s="340" t="str">
        <f t="shared" ca="1" si="37"/>
        <v>1 - 1</v>
      </c>
      <c r="K99" s="340" t="str">
        <f t="shared" ca="1" si="37"/>
        <v>3 - 2</v>
      </c>
      <c r="L99" s="340" t="str">
        <f t="shared" ca="1" si="37"/>
        <v>1 - 2</v>
      </c>
      <c r="M99" s="340" t="str">
        <f t="shared" ca="1" si="37"/>
        <v>2 - 1</v>
      </c>
      <c r="N99" s="340" t="str">
        <f t="shared" ca="1" si="38"/>
        <v>1 - 0</v>
      </c>
      <c r="O99" s="340" t="str">
        <f t="shared" ca="1" si="38"/>
        <v>1 - 0</v>
      </c>
      <c r="P99" s="340" t="str">
        <f t="shared" ca="1" si="38"/>
        <v>1 - 2</v>
      </c>
      <c r="Q99" s="340" t="str">
        <f t="shared" ca="1" si="38"/>
        <v>1 - 2</v>
      </c>
      <c r="R99" s="340" t="str">
        <f t="shared" ca="1" si="38"/>
        <v>1 - 0</v>
      </c>
      <c r="S99" s="340" t="str">
        <f t="shared" ca="1" si="38"/>
        <v>1 - 3</v>
      </c>
      <c r="T99" s="340" t="str">
        <f t="shared" ca="1" si="38"/>
        <v>2 - 1</v>
      </c>
      <c r="U99" s="340" t="str">
        <f t="shared" ca="1" si="38"/>
        <v>2 - 2</v>
      </c>
      <c r="V99" s="340" t="str">
        <f t="shared" ca="1" si="38"/>
        <v>0 - 1</v>
      </c>
      <c r="W99" s="340" t="str">
        <f t="shared" ca="1" si="38"/>
        <v>1 - 0</v>
      </c>
      <c r="X99" s="340" t="str">
        <f t="shared" ca="1" si="38"/>
        <v>2 - 1</v>
      </c>
      <c r="Y99" s="340" t="str">
        <f t="shared" ca="1" si="38"/>
        <v>1 - 2</v>
      </c>
      <c r="Z99" s="340" t="str">
        <f t="shared" ca="1" si="38"/>
        <v>0 - 2</v>
      </c>
      <c r="AB99" s="391">
        <f t="shared" ca="1" si="36"/>
        <v>0</v>
      </c>
      <c r="AC99" s="391">
        <f t="shared" ca="1" si="36"/>
        <v>3</v>
      </c>
      <c r="AD99" s="392">
        <f t="shared" ca="1" si="36"/>
        <v>4</v>
      </c>
      <c r="AE99" s="392">
        <f t="shared" ca="1" si="36"/>
        <v>1</v>
      </c>
      <c r="AF99" s="392">
        <f t="shared" ca="1" si="36"/>
        <v>5</v>
      </c>
      <c r="AG99" s="393">
        <f t="shared" ca="1" si="36"/>
        <v>5</v>
      </c>
      <c r="AH99" s="393">
        <f t="shared" ca="1" si="36"/>
        <v>1</v>
      </c>
      <c r="AI99" s="393">
        <f t="shared" ca="1" si="36"/>
        <v>1</v>
      </c>
    </row>
    <row r="100" spans="1:35" s="161" customFormat="1">
      <c r="A100" s="159" t="s">
        <v>463</v>
      </c>
      <c r="B100" s="161" t="s">
        <v>44</v>
      </c>
      <c r="C100" s="155" t="str">
        <f ca="1">INDIRECT(C$1&amp;"!$e$12")</f>
        <v>Brazilië</v>
      </c>
      <c r="D100" s="166" t="str">
        <f t="shared" ref="D100:Z100" ca="1" si="39">INDIRECT(D$1&amp;"!$e$12")</f>
        <v>Argentinië</v>
      </c>
      <c r="E100" s="446" t="str">
        <f ca="1">INDIRECT(E$1&amp;"!$e$12")</f>
        <v>Duitsland</v>
      </c>
      <c r="F100" s="445" t="str">
        <f ca="1">INDIRECT(F$1&amp;"!$e$12")</f>
        <v>Duitsland</v>
      </c>
      <c r="G100" s="445" t="str">
        <f t="shared" ca="1" si="39"/>
        <v>Duitsland</v>
      </c>
      <c r="H100" s="166" t="str">
        <f t="shared" ref="H100:O100" ca="1" si="40">INDIRECT(H$1&amp;"!$e$12")</f>
        <v>Spanje</v>
      </c>
      <c r="I100" s="166" t="str">
        <f t="shared" ca="1" si="40"/>
        <v>Spanje</v>
      </c>
      <c r="J100" s="166" t="str">
        <f t="shared" ca="1" si="40"/>
        <v>Argentinië</v>
      </c>
      <c r="K100" s="445" t="str">
        <f t="shared" ca="1" si="40"/>
        <v>Duitsland</v>
      </c>
      <c r="L100" s="166" t="str">
        <f t="shared" ca="1" si="40"/>
        <v>Argentinië</v>
      </c>
      <c r="M100" s="166" t="str">
        <f t="shared" ca="1" si="40"/>
        <v>Brazilië</v>
      </c>
      <c r="N100" s="166" t="str">
        <f t="shared" ca="1" si="40"/>
        <v>Brazilië</v>
      </c>
      <c r="O100" s="166" t="str">
        <f t="shared" ca="1" si="40"/>
        <v>Brazilië</v>
      </c>
      <c r="P100" s="166" t="str">
        <f t="shared" ca="1" si="39"/>
        <v>Nederland</v>
      </c>
      <c r="Q100" s="166" t="str">
        <f t="shared" ca="1" si="39"/>
        <v>Argentinië</v>
      </c>
      <c r="R100" s="445" t="str">
        <f t="shared" ca="1" si="39"/>
        <v>Duitsland</v>
      </c>
      <c r="S100" s="166" t="str">
        <f t="shared" ca="1" si="39"/>
        <v>Engeland</v>
      </c>
      <c r="T100" s="166" t="str">
        <f t="shared" ca="1" si="39"/>
        <v>Brazilië</v>
      </c>
      <c r="U100" s="436" t="str">
        <f t="shared" ca="1" si="39"/>
        <v>Argentinië</v>
      </c>
      <c r="V100" s="445" t="str">
        <f t="shared" ca="1" si="39"/>
        <v>Nederland</v>
      </c>
      <c r="W100" s="166" t="str">
        <f t="shared" ca="1" si="39"/>
        <v>Brazilië</v>
      </c>
      <c r="X100" s="166" t="str">
        <f t="shared" ca="1" si="39"/>
        <v>Brazilië</v>
      </c>
      <c r="Y100" s="445" t="str">
        <f t="shared" ca="1" si="39"/>
        <v>Duitsland</v>
      </c>
      <c r="Z100" s="166" t="str">
        <f t="shared" ca="1" si="39"/>
        <v>Argentinië</v>
      </c>
      <c r="AB100" s="385"/>
      <c r="AC100" s="385"/>
      <c r="AG100" s="387"/>
      <c r="AH100" s="387"/>
      <c r="AI100" s="387"/>
    </row>
    <row r="102" spans="1:35">
      <c r="F102" s="380" t="s">
        <v>41</v>
      </c>
      <c r="G102" s="382" t="s">
        <v>42</v>
      </c>
      <c r="I102" s="155" t="s">
        <v>537</v>
      </c>
      <c r="L102" s="377"/>
      <c r="M102" s="378" t="s">
        <v>538</v>
      </c>
    </row>
    <row r="103" spans="1:35">
      <c r="E103" s="376" t="s">
        <v>199</v>
      </c>
      <c r="F103" s="309">
        <f ca="1">COUNTIF($C$100:$Z$100,E103)</f>
        <v>7</v>
      </c>
      <c r="G103" s="383">
        <f t="shared" ref="G103:G110" ca="1" si="41">COUNTIF($C$92:$Z$93,$E103)-F103</f>
        <v>8</v>
      </c>
      <c r="I103" s="374">
        <f t="shared" ref="I103:I110" ca="1" si="42">COUNTIF($C$90:$Z$91,$E103)</f>
        <v>7</v>
      </c>
      <c r="L103" s="379" t="str">
        <f>E103</f>
        <v>Brazilië</v>
      </c>
      <c r="M103" s="378">
        <f t="shared" ref="M103:M110" ca="1" si="43">SUM(F103:K103)</f>
        <v>22</v>
      </c>
    </row>
    <row r="104" spans="1:35">
      <c r="E104" s="376" t="s">
        <v>102</v>
      </c>
      <c r="F104" s="309">
        <f ca="1">COUNTIF($C$100:$Z$100,E104)</f>
        <v>6</v>
      </c>
      <c r="G104" s="383">
        <f t="shared" ca="1" si="41"/>
        <v>7</v>
      </c>
      <c r="I104" s="374">
        <f t="shared" ca="1" si="42"/>
        <v>5</v>
      </c>
      <c r="L104" s="379" t="str">
        <f t="shared" ref="L104:L116" si="44">E104</f>
        <v>Argentinië</v>
      </c>
      <c r="M104" s="378">
        <f t="shared" ca="1" si="43"/>
        <v>18</v>
      </c>
    </row>
    <row r="105" spans="1:35">
      <c r="E105" s="376" t="s">
        <v>177</v>
      </c>
      <c r="F105" s="309">
        <f ca="1">COUNTIF($C$100:$Z$100,E105)</f>
        <v>6</v>
      </c>
      <c r="G105" s="383">
        <f t="shared" ca="1" si="41"/>
        <v>3</v>
      </c>
      <c r="I105" s="374">
        <f t="shared" ca="1" si="42"/>
        <v>10</v>
      </c>
      <c r="L105" s="379" t="str">
        <f t="shared" si="44"/>
        <v>Duitsland</v>
      </c>
      <c r="M105" s="378">
        <f t="shared" ca="1" si="43"/>
        <v>19</v>
      </c>
    </row>
    <row r="106" spans="1:35">
      <c r="E106" s="374" t="s">
        <v>138</v>
      </c>
      <c r="F106" s="381">
        <f ca="1">COUNTIF($C$100:$Z$100,E106)</f>
        <v>2</v>
      </c>
      <c r="G106" s="383">
        <f t="shared" ca="1" si="41"/>
        <v>4</v>
      </c>
      <c r="I106" s="374">
        <f t="shared" ca="1" si="42"/>
        <v>9</v>
      </c>
      <c r="L106" s="379" t="str">
        <f t="shared" si="44"/>
        <v>Spanje</v>
      </c>
      <c r="M106" s="378">
        <f t="shared" ca="1" si="43"/>
        <v>15</v>
      </c>
    </row>
    <row r="107" spans="1:35">
      <c r="E107" s="376" t="s">
        <v>135</v>
      </c>
      <c r="F107" s="309">
        <f ca="1">COUNTIF($C$100:$Z$100,E107)</f>
        <v>2</v>
      </c>
      <c r="G107" s="383">
        <f t="shared" ca="1" si="41"/>
        <v>0</v>
      </c>
      <c r="I107" s="374">
        <f t="shared" ca="1" si="42"/>
        <v>1</v>
      </c>
      <c r="L107" s="379" t="str">
        <f t="shared" si="44"/>
        <v>Nederland</v>
      </c>
      <c r="M107" s="378">
        <f t="shared" ca="1" si="43"/>
        <v>3</v>
      </c>
    </row>
    <row r="108" spans="1:35">
      <c r="E108" s="374" t="s">
        <v>109</v>
      </c>
      <c r="F108" s="380">
        <f ca="1">COUNTIF($C$100:$Z$100,$E108)</f>
        <v>1</v>
      </c>
      <c r="G108" s="383">
        <f t="shared" ca="1" si="41"/>
        <v>0</v>
      </c>
      <c r="I108" s="374">
        <f t="shared" ca="1" si="42"/>
        <v>0</v>
      </c>
      <c r="L108" s="379" t="str">
        <f t="shared" si="44"/>
        <v>Engeland</v>
      </c>
      <c r="M108" s="378">
        <f t="shared" ca="1" si="43"/>
        <v>1</v>
      </c>
    </row>
    <row r="109" spans="1:35">
      <c r="E109" s="374" t="s">
        <v>202</v>
      </c>
      <c r="F109" s="381">
        <f ca="1">COUNTIF($C$100:$Z$100,E109)</f>
        <v>0</v>
      </c>
      <c r="G109" s="383">
        <f t="shared" ca="1" si="41"/>
        <v>1</v>
      </c>
      <c r="I109" s="374">
        <f t="shared" ca="1" si="42"/>
        <v>5</v>
      </c>
      <c r="L109" s="379" t="str">
        <f t="shared" si="44"/>
        <v>Portugal</v>
      </c>
      <c r="M109" s="378">
        <f t="shared" ca="1" si="43"/>
        <v>6</v>
      </c>
    </row>
    <row r="110" spans="1:35">
      <c r="E110" s="374" t="s">
        <v>396</v>
      </c>
      <c r="F110" s="381">
        <f ca="1">COUNTIF($C$100:$Z$100,E110)</f>
        <v>0</v>
      </c>
      <c r="G110" s="383">
        <f t="shared" ca="1" si="41"/>
        <v>1</v>
      </c>
      <c r="I110" s="374">
        <f t="shared" ca="1" si="42"/>
        <v>0</v>
      </c>
      <c r="L110" s="379" t="str">
        <f t="shared" si="44"/>
        <v>Rusland</v>
      </c>
      <c r="M110" s="378">
        <f t="shared" ca="1" si="43"/>
        <v>1</v>
      </c>
    </row>
    <row r="111" spans="1:35">
      <c r="E111" s="374"/>
      <c r="F111" s="381"/>
      <c r="G111" s="383"/>
      <c r="I111" s="374"/>
      <c r="L111" s="379"/>
      <c r="M111" s="378"/>
    </row>
    <row r="112" spans="1:35">
      <c r="E112" s="374" t="s">
        <v>193</v>
      </c>
      <c r="F112" s="381">
        <f ca="1">COUNTIF($C$100:$Z$100,E112)</f>
        <v>0</v>
      </c>
      <c r="G112" s="383">
        <f ca="1">COUNTIF($C$92:$Z$93,$E112)-F112</f>
        <v>0</v>
      </c>
      <c r="I112" s="374">
        <f ca="1">COUNTIF($C$90:$Z$91,$E112)</f>
        <v>5</v>
      </c>
      <c r="L112" s="379" t="str">
        <f t="shared" si="44"/>
        <v>Italië</v>
      </c>
      <c r="M112" s="378">
        <f ca="1">SUM(F112:K112)</f>
        <v>5</v>
      </c>
    </row>
    <row r="113" spans="5:13">
      <c r="E113" s="374" t="s">
        <v>143</v>
      </c>
      <c r="F113" s="381">
        <f ca="1">COUNTIF($C$100:$Z$100,E113)</f>
        <v>0</v>
      </c>
      <c r="G113" s="383">
        <f ca="1">COUNTIF($C$92:$Z$93,$E113)-F113</f>
        <v>0</v>
      </c>
      <c r="I113" s="374">
        <f ca="1">COUNTIF($C$90:$Z$91,$E113)</f>
        <v>2</v>
      </c>
      <c r="L113" s="379" t="str">
        <f t="shared" si="44"/>
        <v>Frankrijk</v>
      </c>
      <c r="M113" s="378">
        <f ca="1">SUM(F113:K113)</f>
        <v>2</v>
      </c>
    </row>
    <row r="114" spans="5:13">
      <c r="E114" s="374" t="s">
        <v>97</v>
      </c>
      <c r="F114" s="381">
        <f ca="1">COUNTIF($C$100:$Z$100,E114)</f>
        <v>0</v>
      </c>
      <c r="G114" s="383">
        <f ca="1">COUNTIF($C$92:$Z$93,$E114)-F114</f>
        <v>0</v>
      </c>
      <c r="I114" s="374">
        <f ca="1">COUNTIF($C$90:$Z$91,$E114)</f>
        <v>2</v>
      </c>
      <c r="L114" s="379" t="str">
        <f t="shared" si="44"/>
        <v>Uruguay</v>
      </c>
      <c r="M114" s="378">
        <f ca="1">SUM(F114:K114)</f>
        <v>2</v>
      </c>
    </row>
    <row r="115" spans="5:13">
      <c r="E115" s="374" t="s">
        <v>392</v>
      </c>
      <c r="F115" s="381">
        <f ca="1">COUNTIF($C$100:$Z$100,E115)</f>
        <v>0</v>
      </c>
      <c r="G115" s="383">
        <f ca="1">COUNTIF($C$92:$Z$93,$E115)-F115</f>
        <v>0</v>
      </c>
      <c r="I115" s="374">
        <f ca="1">COUNTIF($C$90:$Z$91,$E115)</f>
        <v>1</v>
      </c>
      <c r="L115" s="379" t="str">
        <f t="shared" si="44"/>
        <v>Ecuador</v>
      </c>
      <c r="M115" s="378">
        <f ca="1">SUM(F115:K115)</f>
        <v>1</v>
      </c>
    </row>
    <row r="116" spans="5:13">
      <c r="E116" s="374" t="s">
        <v>572</v>
      </c>
      <c r="F116" s="381">
        <f ca="1">COUNTIF($C$100:$Z$100,E116)</f>
        <v>0</v>
      </c>
      <c r="G116" s="383">
        <f ca="1">COUNTIF($C$92:$Z$93,$E116)-F116</f>
        <v>0</v>
      </c>
      <c r="I116" s="374">
        <f ca="1">COUNTIF($C$90:$Z$91,$E116)</f>
        <v>1</v>
      </c>
      <c r="L116" s="379" t="str">
        <f t="shared" si="44"/>
        <v>Bosnië en Herzegovina</v>
      </c>
      <c r="M116" s="378">
        <f ca="1">SUM(F116:K116)</f>
        <v>1</v>
      </c>
    </row>
    <row r="118" spans="5:13">
      <c r="F118" s="375">
        <f ca="1">SUM(F103:F116)</f>
        <v>24</v>
      </c>
      <c r="G118" s="375">
        <f ca="1">SUM(G103:G116)</f>
        <v>24</v>
      </c>
      <c r="I118" s="375">
        <f ca="1">SUM(I103:I116)</f>
        <v>48</v>
      </c>
      <c r="M118" s="375">
        <f ca="1">SUM(M103:M116)</f>
        <v>96</v>
      </c>
    </row>
  </sheetData>
  <sheetProtection formatCells="0"/>
  <conditionalFormatting sqref="C50:Z100">
    <cfRule type="cellIs" dxfId="20" priority="20" operator="equal">
      <formula>"Engeland"</formula>
    </cfRule>
    <cfRule type="cellIs" dxfId="19" priority="21" operator="equal">
      <formula>"Spanje"</formula>
    </cfRule>
    <cfRule type="cellIs" dxfId="18" priority="19" operator="equal">
      <formula>"Kroatië"</formula>
    </cfRule>
    <cfRule type="cellIs" dxfId="17" priority="18" operator="equal">
      <formula>"Kameroen"</formula>
    </cfRule>
    <cfRule type="cellIs" dxfId="16" priority="17" operator="equal">
      <formula>"Bosnië en Herzegovina"</formula>
    </cfRule>
    <cfRule type="cellIs" dxfId="15" priority="16" operator="equal">
      <formula>"Zuid-Korea"</formula>
    </cfRule>
    <cfRule type="cellIs" dxfId="14" priority="15" operator="equal">
      <formula>"Portugal"</formula>
    </cfRule>
    <cfRule type="cellIs" dxfId="13" priority="14" operator="equal">
      <formula>"Japan"</formula>
    </cfRule>
    <cfRule type="cellIs" dxfId="12" priority="13" operator="equal">
      <formula>"Italië"</formula>
    </cfRule>
    <cfRule type="cellIs" dxfId="11" priority="12" operator="equal">
      <formula>"Ecuador"</formula>
    </cfRule>
    <cfRule type="cellIs" dxfId="10" priority="11" operator="equal">
      <formula>"Ivoorkust"</formula>
    </cfRule>
    <cfRule type="cellIs" dxfId="9" priority="9" operator="equal">
      <formula>"Rusland"</formula>
    </cfRule>
    <cfRule type="cellIs" dxfId="8" priority="8" operator="equal">
      <formula>"Ghana"</formula>
    </cfRule>
  </conditionalFormatting>
  <conditionalFormatting sqref="C50:Z93">
    <cfRule type="cellIs" dxfId="7" priority="10" operator="equal">
      <formula>"Honduras"</formula>
    </cfRule>
  </conditionalFormatting>
  <conditionalFormatting sqref="C74:Z100">
    <cfRule type="cellIs" dxfId="6" priority="7" operator="equal">
      <formula>"Uruguay"</formula>
    </cfRule>
    <cfRule type="cellIs" dxfId="5" priority="6" operator="equal">
      <formula>"Zwitserland"</formula>
    </cfRule>
    <cfRule type="cellIs" dxfId="4" priority="5" operator="equal">
      <formula>"USA"</formula>
    </cfRule>
    <cfRule type="cellIs" dxfId="3" priority="4" operator="equal">
      <formula>"Nigeria"</formula>
    </cfRule>
    <cfRule type="cellIs" dxfId="2" priority="3" operator="equal">
      <formula>"Griekenland"</formula>
    </cfRule>
  </conditionalFormatting>
  <conditionalFormatting sqref="C92:Z100">
    <cfRule type="cellIs" dxfId="1" priority="2" operator="equal">
      <formula>"Brazilië"</formula>
    </cfRule>
    <cfRule type="cellIs" dxfId="0" priority="1" operator="equal">
      <formula>"Nederland"</formula>
    </cfRule>
  </conditionalFormatting>
  <pageMargins left="0.7" right="0.7" top="0.75" bottom="0.75" header="0.51180555555555551" footer="0.51180555555555551"/>
  <pageSetup paperSize="9" firstPageNumber="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sheetPr codeName="Blad4" enableFormatConditionsCalculation="0">
    <tabColor indexed="10"/>
  </sheetPr>
  <dimension ref="A1:BA84"/>
  <sheetViews>
    <sheetView tabSelected="1" zoomScale="85" zoomScaleNormal="85" workbookViewId="0">
      <pane xSplit="2" ySplit="1" topLeftCell="C56" activePane="bottomRight" state="frozen"/>
      <selection activeCell="H1" sqref="H1"/>
      <selection pane="topRight" activeCell="H1" sqref="H1"/>
      <selection pane="bottomLeft" activeCell="H1" sqref="H1"/>
      <selection pane="bottomRight" activeCell="I92" sqref="I92"/>
    </sheetView>
  </sheetViews>
  <sheetFormatPr defaultRowHeight="12.75"/>
  <cols>
    <col min="1" max="1" width="1.140625" style="173" customWidth="1"/>
    <col min="2" max="2" width="27.5703125" style="155" customWidth="1"/>
    <col min="3" max="12" width="7.85546875" style="155" customWidth="1"/>
    <col min="13" max="16" width="6.5703125" style="155" customWidth="1"/>
    <col min="17" max="17" width="6.7109375" style="155" customWidth="1"/>
    <col min="18" max="26" width="6.5703125" style="155" customWidth="1"/>
    <col min="27" max="27" width="4.85546875" style="165" customWidth="1"/>
    <col min="28" max="29" width="6" style="174" customWidth="1"/>
    <col min="30" max="53" width="5.42578125" style="155" customWidth="1"/>
    <col min="54" max="16384" width="9.140625" style="155"/>
  </cols>
  <sheetData>
    <row r="1" spans="1:53" s="177" customFormat="1" ht="13.5" thickBot="1">
      <c r="A1" s="175"/>
      <c r="B1" s="176" t="s">
        <v>81</v>
      </c>
      <c r="C1" s="156" t="s">
        <v>483</v>
      </c>
      <c r="D1" s="156" t="s">
        <v>51</v>
      </c>
      <c r="E1" s="156" t="s">
        <v>60</v>
      </c>
      <c r="F1" s="156" t="s">
        <v>49</v>
      </c>
      <c r="G1" s="156" t="s">
        <v>485</v>
      </c>
      <c r="H1" s="156" t="s">
        <v>481</v>
      </c>
      <c r="I1" s="156" t="s">
        <v>52</v>
      </c>
      <c r="J1" s="156" t="s">
        <v>53</v>
      </c>
      <c r="K1" s="156" t="s">
        <v>500</v>
      </c>
      <c r="L1" s="156" t="s">
        <v>482</v>
      </c>
      <c r="M1" s="156" t="s">
        <v>55</v>
      </c>
      <c r="N1" s="156" t="s">
        <v>64</v>
      </c>
      <c r="O1" s="156" t="s">
        <v>56</v>
      </c>
      <c r="P1" s="156" t="s">
        <v>61</v>
      </c>
      <c r="Q1" s="156" t="s">
        <v>58</v>
      </c>
      <c r="R1" s="156" t="s">
        <v>487</v>
      </c>
      <c r="S1" s="156" t="s">
        <v>54</v>
      </c>
      <c r="T1" s="176" t="s">
        <v>486</v>
      </c>
      <c r="U1" s="156" t="s">
        <v>62</v>
      </c>
      <c r="V1" s="156" t="s">
        <v>57</v>
      </c>
      <c r="W1" s="156" t="s">
        <v>59</v>
      </c>
      <c r="X1" s="156" t="s">
        <v>50</v>
      </c>
      <c r="Y1" s="156" t="s">
        <v>63</v>
      </c>
      <c r="Z1" s="156" t="s">
        <v>484</v>
      </c>
      <c r="AA1" s="307"/>
      <c r="AB1" s="308"/>
      <c r="AC1" s="308"/>
      <c r="AD1" s="176" t="str">
        <f t="shared" ref="AD1:AN1" si="0">C1</f>
        <v>Marjon</v>
      </c>
      <c r="AE1" s="176" t="str">
        <f t="shared" si="0"/>
        <v>PeterK</v>
      </c>
      <c r="AF1" s="176" t="str">
        <f t="shared" si="0"/>
        <v>Gerard</v>
      </c>
      <c r="AG1" s="176" t="str">
        <f t="shared" si="0"/>
        <v>Willem</v>
      </c>
      <c r="AH1" s="176" t="str">
        <f t="shared" si="0"/>
        <v>Marc</v>
      </c>
      <c r="AI1" s="176" t="str">
        <f t="shared" si="0"/>
        <v>Carin</v>
      </c>
      <c r="AJ1" s="176" t="str">
        <f t="shared" si="0"/>
        <v>Paul</v>
      </c>
      <c r="AK1" s="176" t="str">
        <f t="shared" si="0"/>
        <v>Matthijs</v>
      </c>
      <c r="AL1" s="176" t="str">
        <f t="shared" si="0"/>
        <v>Jolanthe</v>
      </c>
      <c r="AM1" s="176" t="str">
        <f t="shared" si="0"/>
        <v>Ellen</v>
      </c>
      <c r="AN1" s="176" t="str">
        <f t="shared" si="0"/>
        <v>Lothar</v>
      </c>
      <c r="AO1" s="176" t="str">
        <f t="shared" ref="AO1" si="1">N1</f>
        <v>Angele</v>
      </c>
      <c r="AP1" s="176" t="str">
        <f t="shared" ref="AP1" si="2">O1</f>
        <v>Linda</v>
      </c>
      <c r="AQ1" s="176" t="str">
        <f t="shared" ref="AQ1" si="3">P1</f>
        <v>Frank</v>
      </c>
      <c r="AR1" s="176" t="str">
        <f t="shared" ref="AR1" si="4">Q1</f>
        <v>Joris</v>
      </c>
      <c r="AS1" s="176" t="str">
        <f t="shared" ref="AS1" si="5">R1</f>
        <v>Junior</v>
      </c>
      <c r="AT1" s="176" t="str">
        <f t="shared" ref="AT1" si="6">S1</f>
        <v>Mariel</v>
      </c>
      <c r="AU1" s="176" t="str">
        <f t="shared" ref="AU1" si="7">T1</f>
        <v>Nijdam_sr</v>
      </c>
      <c r="AV1" s="176" t="str">
        <f t="shared" ref="AV1" si="8">U1</f>
        <v>Eric</v>
      </c>
      <c r="AW1" s="176" t="str">
        <f t="shared" ref="AW1" si="9">V1</f>
        <v>Leen</v>
      </c>
      <c r="AX1" s="176" t="str">
        <f t="shared" ref="AX1" si="10">W1</f>
        <v>Jan</v>
      </c>
      <c r="AY1" s="176" t="str">
        <f t="shared" ref="AY1" si="11">X1</f>
        <v>Reindert</v>
      </c>
      <c r="AZ1" s="176" t="str">
        <f t="shared" ref="AZ1" si="12">Y1</f>
        <v>Annita</v>
      </c>
      <c r="BA1" s="176" t="str">
        <f t="shared" ref="BA1" si="13">Z1</f>
        <v>Dries</v>
      </c>
    </row>
    <row r="2" spans="1:53">
      <c r="A2" s="173">
        <v>1</v>
      </c>
      <c r="B2" s="157" t="str">
        <f t="shared" ref="B2:B35" si="14">VLOOKUP($A2,wedstrijden,6,0)&amp;"-"&amp;VLOOKUP($A2,wedstrijden,10,0)</f>
        <v>Brazilië-Kroatië</v>
      </c>
      <c r="C2" s="298">
        <f ca="1">IF(VLOOKUP($A2,INDIRECT(C$1&amp;loc_voorspell),15,0)&lt;&gt;"",VLOOKUP($A2,INDIRECT(C$1&amp;loc_voorspell),15,0),"")</f>
        <v>5</v>
      </c>
      <c r="D2" s="298">
        <f ca="1">IF(VLOOKUP($A2,INDIRECT(D$1&amp;loc_voorspell),15,0)&lt;&gt;"",VLOOKUP($A2,INDIRECT(D$1&amp;loc_voorspell),15,0),"")</f>
        <v>5</v>
      </c>
      <c r="E2" s="298">
        <f ca="1">IF(VLOOKUP($A2,INDIRECT(E$1&amp;loc_voorspell),15,0)&lt;&gt;"",VLOOKUP($A2,INDIRECT(E$1&amp;loc_voorspell),15,0),"")</f>
        <v>5</v>
      </c>
      <c r="F2" s="298">
        <f ca="1">IF(VLOOKUP($A2,INDIRECT(F$1&amp;loc_voorspell),15,0)&lt;&gt;"",VLOOKUP($A2,INDIRECT(F$1&amp;loc_voorspell),15,0),"")</f>
        <v>5</v>
      </c>
      <c r="G2" s="298">
        <f ca="1">IF(VLOOKUP($A2,INDIRECT(G$1&amp;loc_voorspell),15,0)&lt;&gt;"",VLOOKUP($A2,INDIRECT(G$1&amp;loc_voorspell),15,0),"")</f>
        <v>10</v>
      </c>
      <c r="H2" s="298">
        <f ca="1">IF(VLOOKUP($A2,INDIRECT(H$1&amp;loc_voorspell),15,0)&lt;&gt;"",VLOOKUP($A2,INDIRECT(H$1&amp;loc_voorspell),15,0),"")</f>
        <v>0</v>
      </c>
      <c r="I2" s="298">
        <f ca="1">IF(VLOOKUP($A2,INDIRECT(I$1&amp;loc_voorspell),15,0)&lt;&gt;"",VLOOKUP($A2,INDIRECT(I$1&amp;loc_voorspell),15,0),"")</f>
        <v>5</v>
      </c>
      <c r="J2" s="298">
        <f ca="1">IF(VLOOKUP($A2,INDIRECT(J$1&amp;loc_voorspell),15,0)&lt;&gt;"",VLOOKUP($A2,INDIRECT(J$1&amp;loc_voorspell),15,0),"")</f>
        <v>5</v>
      </c>
      <c r="K2" s="298">
        <f ca="1">IF(VLOOKUP($A2,INDIRECT(K$1&amp;loc_voorspell),15,0)&lt;&gt;"",VLOOKUP($A2,INDIRECT(K$1&amp;loc_voorspell),15,0),"")</f>
        <v>5</v>
      </c>
      <c r="L2" s="298">
        <f ca="1">IF(VLOOKUP($A2,INDIRECT(L$1&amp;loc_voorspell),15,0)&lt;&gt;"",VLOOKUP($A2,INDIRECT(L$1&amp;loc_voorspell),15,0),"")</f>
        <v>5</v>
      </c>
      <c r="M2" s="298">
        <f ca="1">IF(VLOOKUP($A2,INDIRECT(M$1&amp;loc_voorspell),15,0)&lt;&gt;"",VLOOKUP($A2,INDIRECT(M$1&amp;loc_voorspell),15,0),"")</f>
        <v>5</v>
      </c>
      <c r="N2" s="298">
        <f ca="1">IF(VLOOKUP($A2,INDIRECT(N$1&amp;loc_voorspell),15,0)&lt;&gt;"",VLOOKUP($A2,INDIRECT(N$1&amp;loc_voorspell),15,0),"")</f>
        <v>10</v>
      </c>
      <c r="O2" s="298">
        <f ca="1">IF(VLOOKUP($A2,INDIRECT(O$1&amp;loc_voorspell),15,0)&lt;&gt;"",VLOOKUP($A2,INDIRECT(O$1&amp;loc_voorspell),15,0),"")</f>
        <v>10</v>
      </c>
      <c r="P2" s="298">
        <f ca="1">IF(VLOOKUP($A2,INDIRECT(P$1&amp;loc_voorspell),15,0)&lt;&gt;"",VLOOKUP($A2,INDIRECT(P$1&amp;loc_voorspell),15,0),"")</f>
        <v>5</v>
      </c>
      <c r="Q2" s="298">
        <f ca="1">IF(VLOOKUP($A2,INDIRECT(Q$1&amp;loc_voorspell),15,0)&lt;&gt;"",VLOOKUP($A2,INDIRECT(Q$1&amp;loc_voorspell),15,0),"")</f>
        <v>5</v>
      </c>
      <c r="R2" s="298">
        <f ca="1">IF(VLOOKUP($A2,INDIRECT(R$1&amp;loc_voorspell),15,0)&lt;&gt;"",VLOOKUP($A2,INDIRECT(R$1&amp;loc_voorspell),15,0),"")</f>
        <v>10</v>
      </c>
      <c r="S2" s="298">
        <f ca="1">IF(VLOOKUP($A2,INDIRECT(S$1&amp;loc_voorspell),15,0)&lt;&gt;"",VLOOKUP($A2,INDIRECT(S$1&amp;loc_voorspell),15,0),"")</f>
        <v>5</v>
      </c>
      <c r="T2" s="298">
        <f ca="1">IF(VLOOKUP($A2,INDIRECT(T$1&amp;loc_voorspell),15,0)&lt;&gt;"",VLOOKUP($A2,INDIRECT(T$1&amp;loc_voorspell),15,0),"")</f>
        <v>10</v>
      </c>
      <c r="U2" s="298">
        <f ca="1">IF(VLOOKUP($A2,INDIRECT(U$1&amp;loc_voorspell),15,0)&lt;&gt;"",VLOOKUP($A2,INDIRECT(U$1&amp;loc_voorspell),15,0),"")</f>
        <v>5</v>
      </c>
      <c r="V2" s="298">
        <f ca="1">IF(VLOOKUP($A2,INDIRECT(V$1&amp;loc_voorspell),15,0)&lt;&gt;"",VLOOKUP($A2,INDIRECT(V$1&amp;loc_voorspell),15,0),"")</f>
        <v>0</v>
      </c>
      <c r="W2" s="298">
        <f ca="1">IF(VLOOKUP($A2,INDIRECT(W$1&amp;loc_voorspell),15,0)&lt;&gt;"",VLOOKUP($A2,INDIRECT(W$1&amp;loc_voorspell),15,0),"")</f>
        <v>5</v>
      </c>
      <c r="X2" s="298">
        <f ca="1">IF(VLOOKUP($A2,INDIRECT(X$1&amp;loc_voorspell),15,0)&lt;&gt;"",VLOOKUP($A2,INDIRECT(X$1&amp;loc_voorspell),15,0),"")</f>
        <v>5</v>
      </c>
      <c r="Y2" s="298">
        <f ca="1">IF(VLOOKUP($A2,INDIRECT(Y$1&amp;loc_voorspell),15,0)&lt;&gt;"",VLOOKUP($A2,INDIRECT(Y$1&amp;loc_voorspell),15,0),"")</f>
        <v>5</v>
      </c>
      <c r="Z2" s="298">
        <f ca="1">IF(VLOOKUP($A2,INDIRECT(Z$1&amp;loc_voorspell),15,0)&lt;&gt;"",VLOOKUP($A2,INDIRECT(Z$1&amp;loc_voorspell),15,0),"")</f>
        <v>5</v>
      </c>
      <c r="AA2" s="165">
        <f ca="1">IF(C2="","",AVERAGE(C2:Z2))</f>
        <v>5.625</v>
      </c>
      <c r="AB2" s="178">
        <f t="shared" ref="AB2:AB5" ca="1" si="15">IF(AA2="","",AA2-AA1)</f>
        <v>5.625</v>
      </c>
      <c r="AC2" s="331" t="str">
        <f>B2</f>
        <v>Brazilië-Kroatië</v>
      </c>
      <c r="AD2" s="179">
        <f t="shared" ref="AD2:AD33" ca="1" si="16">IF(C2&lt;&gt;"",C2-$AA2,"")</f>
        <v>-0.625</v>
      </c>
      <c r="AE2" s="179">
        <f t="shared" ref="AE2:AE33" ca="1" si="17">IF(D2&lt;&gt;"",D2-$AA2,"")</f>
        <v>-0.625</v>
      </c>
      <c r="AF2" s="179">
        <f t="shared" ref="AF2:AF33" ca="1" si="18">IF(E2&lt;&gt;"",E2-$AA2,"")</f>
        <v>-0.625</v>
      </c>
      <c r="AG2" s="179">
        <f t="shared" ref="AG2:AG33" ca="1" si="19">IF(F2&lt;&gt;"",F2-$AA2,"")</f>
        <v>-0.625</v>
      </c>
      <c r="AH2" s="179">
        <f t="shared" ref="AH2:AH33" ca="1" si="20">IF(G2&lt;&gt;"",G2-$AA2,"")</f>
        <v>4.375</v>
      </c>
      <c r="AI2" s="179">
        <f t="shared" ref="AI2:AI33" ca="1" si="21">IF(H2&lt;&gt;"",H2-$AA2,"")</f>
        <v>-5.625</v>
      </c>
      <c r="AJ2" s="179">
        <f t="shared" ref="AJ2:AJ33" ca="1" si="22">IF(I2&lt;&gt;"",I2-$AA2,"")</f>
        <v>-0.625</v>
      </c>
      <c r="AK2" s="179">
        <f t="shared" ref="AK2:AK33" ca="1" si="23">IF(J2&lt;&gt;"",J2-$AA2,"")</f>
        <v>-0.625</v>
      </c>
      <c r="AL2" s="179">
        <f t="shared" ref="AL2:AL33" ca="1" si="24">IF(K2&lt;&gt;"",K2-$AA2,"")</f>
        <v>-0.625</v>
      </c>
      <c r="AM2" s="179">
        <f t="shared" ref="AM2:AM33" ca="1" si="25">IF(L2&lt;&gt;"",L2-$AA2,"")</f>
        <v>-0.625</v>
      </c>
      <c r="AN2" s="179">
        <f t="shared" ref="AN2:AN33" ca="1" si="26">IF(M2&lt;&gt;"",M2-$AA2,"")</f>
        <v>-0.625</v>
      </c>
      <c r="AO2" s="179">
        <f t="shared" ref="AO2:AO65" ca="1" si="27">IF(O2&lt;&gt;"",O2-$AA2,"")</f>
        <v>4.375</v>
      </c>
      <c r="AP2" s="179">
        <f t="shared" ref="AP2:AQ65" ca="1" si="28">IF(O2&lt;&gt;"",O2-$AA2,"")</f>
        <v>4.375</v>
      </c>
      <c r="AQ2" s="179">
        <f t="shared" ca="1" si="28"/>
        <v>-0.625</v>
      </c>
      <c r="AR2" s="179">
        <f t="shared" ref="AR2:AR65" ca="1" si="29">IF(Q2&lt;&gt;"",Q2-$AA2,"")</f>
        <v>-0.625</v>
      </c>
      <c r="AS2" s="179">
        <f t="shared" ref="AS2:AS65" ca="1" si="30">IF(R2&lt;&gt;"",R2-$AA2,"")</f>
        <v>4.375</v>
      </c>
      <c r="AT2" s="179">
        <f t="shared" ref="AT2:AT65" ca="1" si="31">IF(S2&lt;&gt;"",S2-$AA2,"")</f>
        <v>-0.625</v>
      </c>
      <c r="AU2" s="179">
        <f t="shared" ref="AU2:AU65" ca="1" si="32">IF(T2&lt;&gt;"",T2-$AA2,"")</f>
        <v>4.375</v>
      </c>
      <c r="AV2" s="179">
        <f t="shared" ref="AV2:AV65" ca="1" si="33">IF(U2&lt;&gt;"",U2-$AA2,"")</f>
        <v>-0.625</v>
      </c>
      <c r="AW2" s="179">
        <f t="shared" ref="AW2:AW65" ca="1" si="34">IF(V2&lt;&gt;"",V2-$AA2,"")</f>
        <v>-5.625</v>
      </c>
      <c r="AX2" s="179">
        <f t="shared" ref="AX2:AX65" ca="1" si="35">IF(W2&lt;&gt;"",W2-$AA2,"")</f>
        <v>-0.625</v>
      </c>
      <c r="AY2" s="179">
        <f t="shared" ref="AY2:AY65" ca="1" si="36">IF(X2&lt;&gt;"",X2-$AA2,"")</f>
        <v>-0.625</v>
      </c>
      <c r="AZ2" s="179">
        <f t="shared" ref="AZ2:AZ65" ca="1" si="37">IF(Y2&lt;&gt;"",Y2-$AA2,"")</f>
        <v>-0.625</v>
      </c>
      <c r="BA2" s="179">
        <f t="shared" ref="BA2:BA65" ca="1" si="38">IF(Z2&lt;&gt;"",Z2-$AA2,"")</f>
        <v>-0.625</v>
      </c>
    </row>
    <row r="3" spans="1:53">
      <c r="A3" s="173">
        <v>2</v>
      </c>
      <c r="B3" s="158" t="str">
        <f t="shared" si="14"/>
        <v>Mexico-Kameroen</v>
      </c>
      <c r="C3" s="299">
        <f ca="1">IF(VLOOKUP($A3,INDIRECT(C$1&amp;loc_voorspell),15,0)&lt;&gt;"",VLOOKUP($A3,INDIRECT(C$1&amp;loc_voorspell),15,0)+C2,"")</f>
        <v>10</v>
      </c>
      <c r="D3" s="299">
        <f ca="1">IF(VLOOKUP($A3,INDIRECT(D$1&amp;loc_voorspell),15,0)&lt;&gt;"",VLOOKUP($A3,INDIRECT(D$1&amp;loc_voorspell),15,0)+D2,"")</f>
        <v>15</v>
      </c>
      <c r="E3" s="299">
        <f ca="1">IF(VLOOKUP($A3,INDIRECT(E$1&amp;loc_voorspell),15,0)&lt;&gt;"",VLOOKUP($A3,INDIRECT(E$1&amp;loc_voorspell),15,0)+E2,"")</f>
        <v>5</v>
      </c>
      <c r="F3" s="299">
        <f ca="1">IF(VLOOKUP($A3,INDIRECT(F$1&amp;loc_voorspell),15,0)&lt;&gt;"",VLOOKUP($A3,INDIRECT(F$1&amp;loc_voorspell),15,0)+F2,"")</f>
        <v>5</v>
      </c>
      <c r="G3" s="299">
        <f ca="1">IF(VLOOKUP($A3,INDIRECT(G$1&amp;loc_voorspell),15,0)&lt;&gt;"",VLOOKUP($A3,INDIRECT(G$1&amp;loc_voorspell),15,0)+G2,"")</f>
        <v>15</v>
      </c>
      <c r="H3" s="299">
        <f ca="1">IF(VLOOKUP($A3,INDIRECT(H$1&amp;loc_voorspell),15,0)&lt;&gt;"",VLOOKUP($A3,INDIRECT(H$1&amp;loc_voorspell),15,0)+H2,"")</f>
        <v>0</v>
      </c>
      <c r="I3" s="299">
        <f ca="1">IF(VLOOKUP($A3,INDIRECT(I$1&amp;loc_voorspell),15,0)&lt;&gt;"",VLOOKUP($A3,INDIRECT(I$1&amp;loc_voorspell),15,0)+I2,"")</f>
        <v>5</v>
      </c>
      <c r="J3" s="299">
        <f ca="1">IF(VLOOKUP($A3,INDIRECT(J$1&amp;loc_voorspell),15,0)&lt;&gt;"",VLOOKUP($A3,INDIRECT(J$1&amp;loc_voorspell),15,0)+J2,"")</f>
        <v>10</v>
      </c>
      <c r="K3" s="299">
        <f ca="1">IF(VLOOKUP($A3,INDIRECT(K$1&amp;loc_voorspell),15,0)&lt;&gt;"",VLOOKUP($A3,INDIRECT(K$1&amp;loc_voorspell),15,0)+K2,"")</f>
        <v>10</v>
      </c>
      <c r="L3" s="299">
        <f ca="1">IF(VLOOKUP($A3,INDIRECT(L$1&amp;loc_voorspell),15,0)&lt;&gt;"",VLOOKUP($A3,INDIRECT(L$1&amp;loc_voorspell),15,0)+L2,"")</f>
        <v>10</v>
      </c>
      <c r="M3" s="299">
        <f ca="1">IF(VLOOKUP($A3,INDIRECT(M$1&amp;loc_voorspell),15,0)&lt;&gt;"",VLOOKUP($A3,INDIRECT(M$1&amp;loc_voorspell),15,0)+M2,"")</f>
        <v>10</v>
      </c>
      <c r="N3" s="299">
        <f ca="1">IF(VLOOKUP($A3,INDIRECT(N$1&amp;loc_voorspell),15,0)&lt;&gt;"",VLOOKUP($A3,INDIRECT(N$1&amp;loc_voorspell),15,0)+N2,"")</f>
        <v>15</v>
      </c>
      <c r="O3" s="299">
        <f ca="1">IF(VLOOKUP($A3,INDIRECT(O$1&amp;loc_voorspell),15,0)&lt;&gt;"",VLOOKUP($A3,INDIRECT(O$1&amp;loc_voorspell),15,0)+O2,"")</f>
        <v>10</v>
      </c>
      <c r="P3" s="299">
        <f ca="1">IF(VLOOKUP($A3,INDIRECT(P$1&amp;loc_voorspell),15,0)&lt;&gt;"",VLOOKUP($A3,INDIRECT(P$1&amp;loc_voorspell),15,0)+P2,"")</f>
        <v>10</v>
      </c>
      <c r="Q3" s="299">
        <f ca="1">IF(VLOOKUP($A3,INDIRECT(Q$1&amp;loc_voorspell),15,0)&lt;&gt;"",VLOOKUP($A3,INDIRECT(Q$1&amp;loc_voorspell),15,0)+Q2,"")</f>
        <v>15</v>
      </c>
      <c r="R3" s="299">
        <f ca="1">IF(VLOOKUP($A3,INDIRECT(R$1&amp;loc_voorspell),15,0)&lt;&gt;"",VLOOKUP($A3,INDIRECT(R$1&amp;loc_voorspell),15,0)+R2,"")</f>
        <v>15</v>
      </c>
      <c r="S3" s="299">
        <f ca="1">IF(VLOOKUP($A3,INDIRECT(S$1&amp;loc_voorspell),15,0)&lt;&gt;"",VLOOKUP($A3,INDIRECT(S$1&amp;loc_voorspell),15,0)+S2,"")</f>
        <v>15</v>
      </c>
      <c r="T3" s="299">
        <f ca="1">IF(VLOOKUP($A3,INDIRECT(T$1&amp;loc_voorspell),15,0)&lt;&gt;"",VLOOKUP($A3,INDIRECT(T$1&amp;loc_voorspell),15,0)+T2,"")</f>
        <v>15</v>
      </c>
      <c r="U3" s="299">
        <f ca="1">IF(VLOOKUP($A3,INDIRECT(U$1&amp;loc_voorspell),15,0)&lt;&gt;"",VLOOKUP($A3,INDIRECT(U$1&amp;loc_voorspell),15,0)+U2,"")</f>
        <v>5</v>
      </c>
      <c r="V3" s="299">
        <f ca="1">IF(VLOOKUP($A3,INDIRECT(V$1&amp;loc_voorspell),15,0)&lt;&gt;"",VLOOKUP($A3,INDIRECT(V$1&amp;loc_voorspell),15,0)+V2,"")</f>
        <v>5</v>
      </c>
      <c r="W3" s="299">
        <f ca="1">IF(VLOOKUP($A3,INDIRECT(W$1&amp;loc_voorspell),15,0)&lt;&gt;"",VLOOKUP($A3,INDIRECT(W$1&amp;loc_voorspell),15,0)+W2,"")</f>
        <v>15</v>
      </c>
      <c r="X3" s="299">
        <f ca="1">IF(VLOOKUP($A3,INDIRECT(X$1&amp;loc_voorspell),15,0)&lt;&gt;"",VLOOKUP($A3,INDIRECT(X$1&amp;loc_voorspell),15,0)+X2,"")</f>
        <v>5</v>
      </c>
      <c r="Y3" s="299">
        <f ca="1">IF(VLOOKUP($A3,INDIRECT(Y$1&amp;loc_voorspell),15,0)&lt;&gt;"",VLOOKUP($A3,INDIRECT(Y$1&amp;loc_voorspell),15,0)+Y2,"")</f>
        <v>15</v>
      </c>
      <c r="Z3" s="299">
        <f ca="1">IF(VLOOKUP($A3,INDIRECT(Z$1&amp;loc_voorspell),15,0)&lt;&gt;"",VLOOKUP($A3,INDIRECT(Z$1&amp;loc_voorspell),15,0)+Z2,"")</f>
        <v>15</v>
      </c>
      <c r="AA3" s="165">
        <f t="shared" ref="AA3:AA66" ca="1" si="39">IF(C3="","",AVERAGE(C3:Z3))</f>
        <v>10.416666666666666</v>
      </c>
      <c r="AB3" s="178">
        <f t="shared" ca="1" si="15"/>
        <v>4.7916666666666661</v>
      </c>
      <c r="AC3" s="331" t="str">
        <f t="shared" ref="AC3:AC66" si="40">B3</f>
        <v>Mexico-Kameroen</v>
      </c>
      <c r="AD3" s="179">
        <f t="shared" ca="1" si="16"/>
        <v>-0.41666666666666607</v>
      </c>
      <c r="AE3" s="179">
        <f t="shared" ca="1" si="17"/>
        <v>4.5833333333333339</v>
      </c>
      <c r="AF3" s="179">
        <f t="shared" ca="1" si="18"/>
        <v>-5.4166666666666661</v>
      </c>
      <c r="AG3" s="179">
        <f t="shared" ca="1" si="19"/>
        <v>-5.4166666666666661</v>
      </c>
      <c r="AH3" s="179">
        <f t="shared" ca="1" si="20"/>
        <v>4.5833333333333339</v>
      </c>
      <c r="AI3" s="179">
        <f t="shared" ca="1" si="21"/>
        <v>-10.416666666666666</v>
      </c>
      <c r="AJ3" s="179">
        <f t="shared" ca="1" si="22"/>
        <v>-5.4166666666666661</v>
      </c>
      <c r="AK3" s="179">
        <f t="shared" ca="1" si="23"/>
        <v>-0.41666666666666607</v>
      </c>
      <c r="AL3" s="179">
        <f t="shared" ca="1" si="24"/>
        <v>-0.41666666666666607</v>
      </c>
      <c r="AM3" s="179">
        <f t="shared" ca="1" si="25"/>
        <v>-0.41666666666666607</v>
      </c>
      <c r="AN3" s="179">
        <f t="shared" ca="1" si="26"/>
        <v>-0.41666666666666607</v>
      </c>
      <c r="AO3" s="179">
        <f t="shared" ca="1" si="27"/>
        <v>-0.41666666666666607</v>
      </c>
      <c r="AP3" s="179">
        <f t="shared" ca="1" si="28"/>
        <v>-0.41666666666666607</v>
      </c>
      <c r="AQ3" s="179">
        <f t="shared" ca="1" si="28"/>
        <v>-0.41666666666666607</v>
      </c>
      <c r="AR3" s="179">
        <f t="shared" ca="1" si="29"/>
        <v>4.5833333333333339</v>
      </c>
      <c r="AS3" s="179">
        <f t="shared" ca="1" si="30"/>
        <v>4.5833333333333339</v>
      </c>
      <c r="AT3" s="179">
        <f t="shared" ca="1" si="31"/>
        <v>4.5833333333333339</v>
      </c>
      <c r="AU3" s="179">
        <f t="shared" ca="1" si="32"/>
        <v>4.5833333333333339</v>
      </c>
      <c r="AV3" s="179">
        <f t="shared" ca="1" si="33"/>
        <v>-5.4166666666666661</v>
      </c>
      <c r="AW3" s="179">
        <f t="shared" ca="1" si="34"/>
        <v>-5.4166666666666661</v>
      </c>
      <c r="AX3" s="179">
        <f t="shared" ca="1" si="35"/>
        <v>4.5833333333333339</v>
      </c>
      <c r="AY3" s="179">
        <f t="shared" ca="1" si="36"/>
        <v>-5.4166666666666661</v>
      </c>
      <c r="AZ3" s="179">
        <f t="shared" ca="1" si="37"/>
        <v>4.5833333333333339</v>
      </c>
      <c r="BA3" s="179">
        <f t="shared" ca="1" si="38"/>
        <v>4.5833333333333339</v>
      </c>
    </row>
    <row r="4" spans="1:53">
      <c r="A4" s="173">
        <v>3</v>
      </c>
      <c r="B4" s="157" t="str">
        <f t="shared" si="14"/>
        <v>Spanje-Nederland</v>
      </c>
      <c r="C4" s="298">
        <f ca="1">IF(VLOOKUP($A4,INDIRECT(C$1&amp;loc_voorspell),15,0)&lt;&gt;"",VLOOKUP($A4,INDIRECT(C$1&amp;loc_voorspell),15,0)+C3,"")</f>
        <v>10</v>
      </c>
      <c r="D4" s="298">
        <f ca="1">IF(VLOOKUP($A4,INDIRECT(D$1&amp;loc_voorspell),15,0)&lt;&gt;"",VLOOKUP($A4,INDIRECT(D$1&amp;loc_voorspell),15,0)+D3,"")</f>
        <v>15</v>
      </c>
      <c r="E4" s="298">
        <f ca="1">IF(VLOOKUP($A4,INDIRECT(E$1&amp;loc_voorspell),15,0)&lt;&gt;"",VLOOKUP($A4,INDIRECT(E$1&amp;loc_voorspell),15,0)+E3,"")</f>
        <v>5</v>
      </c>
      <c r="F4" s="298">
        <f ca="1">IF(VLOOKUP($A4,INDIRECT(F$1&amp;loc_voorspell),15,0)&lt;&gt;"",VLOOKUP($A4,INDIRECT(F$1&amp;loc_voorspell),15,0)+F3,"")</f>
        <v>5</v>
      </c>
      <c r="G4" s="298">
        <f ca="1">IF(VLOOKUP($A4,INDIRECT(G$1&amp;loc_voorspell),15,0)&lt;&gt;"",VLOOKUP($A4,INDIRECT(G$1&amp;loc_voorspell),15,0)+G3,"")</f>
        <v>15</v>
      </c>
      <c r="H4" s="298">
        <f ca="1">IF(VLOOKUP($A4,INDIRECT(H$1&amp;loc_voorspell),15,0)&lt;&gt;"",VLOOKUP($A4,INDIRECT(H$1&amp;loc_voorspell),15,0)+H3,"")</f>
        <v>5</v>
      </c>
      <c r="I4" s="298">
        <f ca="1">IF(VLOOKUP($A4,INDIRECT(I$1&amp;loc_voorspell),15,0)&lt;&gt;"",VLOOKUP($A4,INDIRECT(I$1&amp;loc_voorspell),15,0)+I3,"")</f>
        <v>5</v>
      </c>
      <c r="J4" s="298">
        <f ca="1">IF(VLOOKUP($A4,INDIRECT(J$1&amp;loc_voorspell),15,0)&lt;&gt;"",VLOOKUP($A4,INDIRECT(J$1&amp;loc_voorspell),15,0)+J3,"")</f>
        <v>10</v>
      </c>
      <c r="K4" s="298">
        <f ca="1">IF(VLOOKUP($A4,INDIRECT(K$1&amp;loc_voorspell),15,0)&lt;&gt;"",VLOOKUP($A4,INDIRECT(K$1&amp;loc_voorspell),15,0)+K3,"")</f>
        <v>10</v>
      </c>
      <c r="L4" s="298">
        <f ca="1">IF(VLOOKUP($A4,INDIRECT(L$1&amp;loc_voorspell),15,0)&lt;&gt;"",VLOOKUP($A4,INDIRECT(L$1&amp;loc_voorspell),15,0)+L3,"")</f>
        <v>10</v>
      </c>
      <c r="M4" s="298">
        <f ca="1">IF(VLOOKUP($A4,INDIRECT(M$1&amp;loc_voorspell),15,0)&lt;&gt;"",VLOOKUP($A4,INDIRECT(M$1&amp;loc_voorspell),15,0)+M3,"")</f>
        <v>10</v>
      </c>
      <c r="N4" s="298">
        <f ca="1">IF(VLOOKUP($A4,INDIRECT(N$1&amp;loc_voorspell),15,0)&lt;&gt;"",VLOOKUP($A4,INDIRECT(N$1&amp;loc_voorspell),15,0)+N3,"")</f>
        <v>15</v>
      </c>
      <c r="O4" s="298">
        <f ca="1">IF(VLOOKUP($A4,INDIRECT(O$1&amp;loc_voorspell),15,0)&lt;&gt;"",VLOOKUP($A4,INDIRECT(O$1&amp;loc_voorspell),15,0)+O3,"")</f>
        <v>10</v>
      </c>
      <c r="P4" s="298">
        <f ca="1">IF(VLOOKUP($A4,INDIRECT(P$1&amp;loc_voorspell),15,0)&lt;&gt;"",VLOOKUP($A4,INDIRECT(P$1&amp;loc_voorspell),15,0)+P3,"")</f>
        <v>10</v>
      </c>
      <c r="Q4" s="298">
        <f ca="1">IF(VLOOKUP($A4,INDIRECT(Q$1&amp;loc_voorspell),15,0)&lt;&gt;"",VLOOKUP($A4,INDIRECT(Q$1&amp;loc_voorspell),15,0)+Q3,"")</f>
        <v>15</v>
      </c>
      <c r="R4" s="298">
        <f ca="1">IF(VLOOKUP($A4,INDIRECT(R$1&amp;loc_voorspell),15,0)&lt;&gt;"",VLOOKUP($A4,INDIRECT(R$1&amp;loc_voorspell),15,0)+R3,"")</f>
        <v>20</v>
      </c>
      <c r="S4" s="298">
        <f ca="1">IF(VLOOKUP($A4,INDIRECT(S$1&amp;loc_voorspell),15,0)&lt;&gt;"",VLOOKUP($A4,INDIRECT(S$1&amp;loc_voorspell),15,0)+S3,"")</f>
        <v>15</v>
      </c>
      <c r="T4" s="298">
        <f ca="1">IF(VLOOKUP($A4,INDIRECT(T$1&amp;loc_voorspell),15,0)&lt;&gt;"",VLOOKUP($A4,INDIRECT(T$1&amp;loc_voorspell),15,0)+T3,"")</f>
        <v>20</v>
      </c>
      <c r="U4" s="298">
        <f ca="1">IF(VLOOKUP($A4,INDIRECT(U$1&amp;loc_voorspell),15,0)&lt;&gt;"",VLOOKUP($A4,INDIRECT(U$1&amp;loc_voorspell),15,0)+U3,"")</f>
        <v>5</v>
      </c>
      <c r="V4" s="298">
        <f ca="1">IF(VLOOKUP($A4,INDIRECT(V$1&amp;loc_voorspell),15,0)&lt;&gt;"",VLOOKUP($A4,INDIRECT(V$1&amp;loc_voorspell),15,0)+V3,"")</f>
        <v>10</v>
      </c>
      <c r="W4" s="298">
        <f ca="1">IF(VLOOKUP($A4,INDIRECT(W$1&amp;loc_voorspell),15,0)&lt;&gt;"",VLOOKUP($A4,INDIRECT(W$1&amp;loc_voorspell),15,0)+W3,"")</f>
        <v>15</v>
      </c>
      <c r="X4" s="298">
        <f ca="1">IF(VLOOKUP($A4,INDIRECT(X$1&amp;loc_voorspell),15,0)&lt;&gt;"",VLOOKUP($A4,INDIRECT(X$1&amp;loc_voorspell),15,0)+X3,"")</f>
        <v>5</v>
      </c>
      <c r="Y4" s="298">
        <f ca="1">IF(VLOOKUP($A4,INDIRECT(Y$1&amp;loc_voorspell),15,0)&lt;&gt;"",VLOOKUP($A4,INDIRECT(Y$1&amp;loc_voorspell),15,0)+Y3,"")</f>
        <v>15</v>
      </c>
      <c r="Z4" s="298">
        <f ca="1">IF(VLOOKUP($A4,INDIRECT(Z$1&amp;loc_voorspell),15,0)&lt;&gt;"",VLOOKUP($A4,INDIRECT(Z$1&amp;loc_voorspell),15,0)+Z3,"")</f>
        <v>15</v>
      </c>
      <c r="AA4" s="165">
        <f t="shared" ca="1" si="39"/>
        <v>11.25</v>
      </c>
      <c r="AB4" s="178">
        <f t="shared" ca="1" si="15"/>
        <v>0.83333333333333393</v>
      </c>
      <c r="AC4" s="331" t="str">
        <f t="shared" si="40"/>
        <v>Spanje-Nederland</v>
      </c>
      <c r="AD4" s="179">
        <f t="shared" ca="1" si="16"/>
        <v>-1.25</v>
      </c>
      <c r="AE4" s="179">
        <f t="shared" ca="1" si="17"/>
        <v>3.75</v>
      </c>
      <c r="AF4" s="179">
        <f t="shared" ca="1" si="18"/>
        <v>-6.25</v>
      </c>
      <c r="AG4" s="179">
        <f t="shared" ca="1" si="19"/>
        <v>-6.25</v>
      </c>
      <c r="AH4" s="179">
        <f t="shared" ca="1" si="20"/>
        <v>3.75</v>
      </c>
      <c r="AI4" s="179">
        <f t="shared" ca="1" si="21"/>
        <v>-6.25</v>
      </c>
      <c r="AJ4" s="179">
        <f t="shared" ca="1" si="22"/>
        <v>-6.25</v>
      </c>
      <c r="AK4" s="179">
        <f t="shared" ca="1" si="23"/>
        <v>-1.25</v>
      </c>
      <c r="AL4" s="179">
        <f t="shared" ca="1" si="24"/>
        <v>-1.25</v>
      </c>
      <c r="AM4" s="179">
        <f t="shared" ca="1" si="25"/>
        <v>-1.25</v>
      </c>
      <c r="AN4" s="179">
        <f t="shared" ca="1" si="26"/>
        <v>-1.25</v>
      </c>
      <c r="AO4" s="179">
        <f t="shared" ca="1" si="27"/>
        <v>-1.25</v>
      </c>
      <c r="AP4" s="179">
        <f t="shared" ca="1" si="28"/>
        <v>-1.25</v>
      </c>
      <c r="AQ4" s="179">
        <f t="shared" ca="1" si="28"/>
        <v>-1.25</v>
      </c>
      <c r="AR4" s="179">
        <f t="shared" ca="1" si="29"/>
        <v>3.75</v>
      </c>
      <c r="AS4" s="179">
        <f t="shared" ca="1" si="30"/>
        <v>8.75</v>
      </c>
      <c r="AT4" s="179">
        <f t="shared" ca="1" si="31"/>
        <v>3.75</v>
      </c>
      <c r="AU4" s="179">
        <f t="shared" ca="1" si="32"/>
        <v>8.75</v>
      </c>
      <c r="AV4" s="179">
        <f t="shared" ca="1" si="33"/>
        <v>-6.25</v>
      </c>
      <c r="AW4" s="179">
        <f t="shared" ca="1" si="34"/>
        <v>-1.25</v>
      </c>
      <c r="AX4" s="179">
        <f t="shared" ca="1" si="35"/>
        <v>3.75</v>
      </c>
      <c r="AY4" s="179">
        <f t="shared" ca="1" si="36"/>
        <v>-6.25</v>
      </c>
      <c r="AZ4" s="179">
        <f t="shared" ca="1" si="37"/>
        <v>3.75</v>
      </c>
      <c r="BA4" s="179">
        <f t="shared" ca="1" si="38"/>
        <v>3.75</v>
      </c>
    </row>
    <row r="5" spans="1:53" ht="14.25" customHeight="1">
      <c r="A5" s="173">
        <v>4</v>
      </c>
      <c r="B5" s="158" t="str">
        <f t="shared" si="14"/>
        <v>Chili-Australië</v>
      </c>
      <c r="C5" s="299">
        <f ca="1">IF(VLOOKUP($A5,INDIRECT(C$1&amp;loc_voorspell),15,0)&lt;&gt;"",VLOOKUP($A5,INDIRECT(C$1&amp;loc_voorspell),15,0)+C4,"")</f>
        <v>15</v>
      </c>
      <c r="D5" s="299">
        <f ca="1">IF(VLOOKUP($A5,INDIRECT(D$1&amp;loc_voorspell),15,0)&lt;&gt;"",VLOOKUP($A5,INDIRECT(D$1&amp;loc_voorspell),15,0)+D4,"")</f>
        <v>20</v>
      </c>
      <c r="E5" s="299">
        <f ca="1">IF(VLOOKUP($A5,INDIRECT(E$1&amp;loc_voorspell),15,0)&lt;&gt;"",VLOOKUP($A5,INDIRECT(E$1&amp;loc_voorspell),15,0)+E4,"")</f>
        <v>5</v>
      </c>
      <c r="F5" s="299">
        <f ca="1">IF(VLOOKUP($A5,INDIRECT(F$1&amp;loc_voorspell),15,0)&lt;&gt;"",VLOOKUP($A5,INDIRECT(F$1&amp;loc_voorspell),15,0)+F4,"")</f>
        <v>10</v>
      </c>
      <c r="G5" s="299">
        <f ca="1">IF(VLOOKUP($A5,INDIRECT(G$1&amp;loc_voorspell),15,0)&lt;&gt;"",VLOOKUP($A5,INDIRECT(G$1&amp;loc_voorspell),15,0)+G4,"")</f>
        <v>20</v>
      </c>
      <c r="H5" s="299">
        <f ca="1">IF(VLOOKUP($A5,INDIRECT(H$1&amp;loc_voorspell),15,0)&lt;&gt;"",VLOOKUP($A5,INDIRECT(H$1&amp;loc_voorspell),15,0)+H4,"")</f>
        <v>5</v>
      </c>
      <c r="I5" s="299">
        <f ca="1">IF(VLOOKUP($A5,INDIRECT(I$1&amp;loc_voorspell),15,0)&lt;&gt;"",VLOOKUP($A5,INDIRECT(I$1&amp;loc_voorspell),15,0)+I4,"")</f>
        <v>10</v>
      </c>
      <c r="J5" s="299">
        <f ca="1">IF(VLOOKUP($A5,INDIRECT(J$1&amp;loc_voorspell),15,0)&lt;&gt;"",VLOOKUP($A5,INDIRECT(J$1&amp;loc_voorspell),15,0)+J4,"")</f>
        <v>15</v>
      </c>
      <c r="K5" s="299">
        <f ca="1">IF(VLOOKUP($A5,INDIRECT(K$1&amp;loc_voorspell),15,0)&lt;&gt;"",VLOOKUP($A5,INDIRECT(K$1&amp;loc_voorspell),15,0)+K4,"")</f>
        <v>15</v>
      </c>
      <c r="L5" s="299">
        <f ca="1">IF(VLOOKUP($A5,INDIRECT(L$1&amp;loc_voorspell),15,0)&lt;&gt;"",VLOOKUP($A5,INDIRECT(L$1&amp;loc_voorspell),15,0)+L4,"")</f>
        <v>15</v>
      </c>
      <c r="M5" s="299">
        <f ca="1">IF(VLOOKUP($A5,INDIRECT(M$1&amp;loc_voorspell),15,0)&lt;&gt;"",VLOOKUP($A5,INDIRECT(M$1&amp;loc_voorspell),15,0)+M4,"")</f>
        <v>15</v>
      </c>
      <c r="N5" s="299">
        <f ca="1">IF(VLOOKUP($A5,INDIRECT(N$1&amp;loc_voorspell),15,0)&lt;&gt;"",VLOOKUP($A5,INDIRECT(N$1&amp;loc_voorspell),15,0)+N4,"")</f>
        <v>25</v>
      </c>
      <c r="O5" s="299">
        <f ca="1">IF(VLOOKUP($A5,INDIRECT(O$1&amp;loc_voorspell),15,0)&lt;&gt;"",VLOOKUP($A5,INDIRECT(O$1&amp;loc_voorspell),15,0)+O4,"")</f>
        <v>15</v>
      </c>
      <c r="P5" s="299">
        <f ca="1">IF(VLOOKUP($A5,INDIRECT(P$1&amp;loc_voorspell),15,0)&lt;&gt;"",VLOOKUP($A5,INDIRECT(P$1&amp;loc_voorspell),15,0)+P4,"")</f>
        <v>15</v>
      </c>
      <c r="Q5" s="299">
        <f ca="1">IF(VLOOKUP($A5,INDIRECT(Q$1&amp;loc_voorspell),15,0)&lt;&gt;"",VLOOKUP($A5,INDIRECT(Q$1&amp;loc_voorspell),15,0)+Q4,"")</f>
        <v>20</v>
      </c>
      <c r="R5" s="299">
        <f ca="1">IF(VLOOKUP($A5,INDIRECT(R$1&amp;loc_voorspell),15,0)&lt;&gt;"",VLOOKUP($A5,INDIRECT(R$1&amp;loc_voorspell),15,0)+R4,"")</f>
        <v>25</v>
      </c>
      <c r="S5" s="299">
        <f ca="1">IF(VLOOKUP($A5,INDIRECT(S$1&amp;loc_voorspell),15,0)&lt;&gt;"",VLOOKUP($A5,INDIRECT(S$1&amp;loc_voorspell),15,0)+S4,"")</f>
        <v>15</v>
      </c>
      <c r="T5" s="299">
        <f ca="1">IF(VLOOKUP($A5,INDIRECT(T$1&amp;loc_voorspell),15,0)&lt;&gt;"",VLOOKUP($A5,INDIRECT(T$1&amp;loc_voorspell),15,0)+T4,"")</f>
        <v>25</v>
      </c>
      <c r="U5" s="299">
        <f ca="1">IF(VLOOKUP($A5,INDIRECT(U$1&amp;loc_voorspell),15,0)&lt;&gt;"",VLOOKUP($A5,INDIRECT(U$1&amp;loc_voorspell),15,0)+U4,"")</f>
        <v>10</v>
      </c>
      <c r="V5" s="299">
        <f ca="1">IF(VLOOKUP($A5,INDIRECT(V$1&amp;loc_voorspell),15,0)&lt;&gt;"",VLOOKUP($A5,INDIRECT(V$1&amp;loc_voorspell),15,0)+V4,"")</f>
        <v>15</v>
      </c>
      <c r="W5" s="299">
        <f ca="1">IF(VLOOKUP($A5,INDIRECT(W$1&amp;loc_voorspell),15,0)&lt;&gt;"",VLOOKUP($A5,INDIRECT(W$1&amp;loc_voorspell),15,0)+W4,"")</f>
        <v>20</v>
      </c>
      <c r="X5" s="299">
        <f ca="1">IF(VLOOKUP($A5,INDIRECT(X$1&amp;loc_voorspell),15,0)&lt;&gt;"",VLOOKUP($A5,INDIRECT(X$1&amp;loc_voorspell),15,0)+X4,"")</f>
        <v>10</v>
      </c>
      <c r="Y5" s="299">
        <f ca="1">IF(VLOOKUP($A5,INDIRECT(Y$1&amp;loc_voorspell),15,0)&lt;&gt;"",VLOOKUP($A5,INDIRECT(Y$1&amp;loc_voorspell),15,0)+Y4,"")</f>
        <v>20</v>
      </c>
      <c r="Z5" s="299">
        <f ca="1">IF(VLOOKUP($A5,INDIRECT(Z$1&amp;loc_voorspell),15,0)&lt;&gt;"",VLOOKUP($A5,INDIRECT(Z$1&amp;loc_voorspell),15,0)+Z4,"")</f>
        <v>20</v>
      </c>
      <c r="AA5" s="165">
        <f t="shared" ca="1" si="39"/>
        <v>15.833333333333334</v>
      </c>
      <c r="AB5" s="178">
        <f t="shared" ca="1" si="15"/>
        <v>4.5833333333333339</v>
      </c>
      <c r="AC5" s="331" t="str">
        <f t="shared" si="40"/>
        <v>Chili-Australië</v>
      </c>
      <c r="AD5" s="179">
        <f t="shared" ca="1" si="16"/>
        <v>-0.83333333333333393</v>
      </c>
      <c r="AE5" s="179">
        <f t="shared" ca="1" si="17"/>
        <v>4.1666666666666661</v>
      </c>
      <c r="AF5" s="179">
        <f t="shared" ca="1" si="18"/>
        <v>-10.833333333333334</v>
      </c>
      <c r="AG5" s="179">
        <f t="shared" ca="1" si="19"/>
        <v>-5.8333333333333339</v>
      </c>
      <c r="AH5" s="179">
        <f t="shared" ca="1" si="20"/>
        <v>4.1666666666666661</v>
      </c>
      <c r="AI5" s="179">
        <f t="shared" ca="1" si="21"/>
        <v>-10.833333333333334</v>
      </c>
      <c r="AJ5" s="179">
        <f t="shared" ca="1" si="22"/>
        <v>-5.8333333333333339</v>
      </c>
      <c r="AK5" s="179">
        <f t="shared" ca="1" si="23"/>
        <v>-0.83333333333333393</v>
      </c>
      <c r="AL5" s="179">
        <f t="shared" ca="1" si="24"/>
        <v>-0.83333333333333393</v>
      </c>
      <c r="AM5" s="179">
        <f t="shared" ca="1" si="25"/>
        <v>-0.83333333333333393</v>
      </c>
      <c r="AN5" s="179">
        <f t="shared" ca="1" si="26"/>
        <v>-0.83333333333333393</v>
      </c>
      <c r="AO5" s="179">
        <f t="shared" ca="1" si="27"/>
        <v>-0.83333333333333393</v>
      </c>
      <c r="AP5" s="179">
        <f t="shared" ca="1" si="28"/>
        <v>-0.83333333333333393</v>
      </c>
      <c r="AQ5" s="179">
        <f t="shared" ca="1" si="28"/>
        <v>-0.83333333333333393</v>
      </c>
      <c r="AR5" s="179">
        <f t="shared" ca="1" si="29"/>
        <v>4.1666666666666661</v>
      </c>
      <c r="AS5" s="179">
        <f t="shared" ca="1" si="30"/>
        <v>9.1666666666666661</v>
      </c>
      <c r="AT5" s="179">
        <f t="shared" ca="1" si="31"/>
        <v>-0.83333333333333393</v>
      </c>
      <c r="AU5" s="179">
        <f t="shared" ca="1" si="32"/>
        <v>9.1666666666666661</v>
      </c>
      <c r="AV5" s="179">
        <f t="shared" ca="1" si="33"/>
        <v>-5.8333333333333339</v>
      </c>
      <c r="AW5" s="179">
        <f t="shared" ca="1" si="34"/>
        <v>-0.83333333333333393</v>
      </c>
      <c r="AX5" s="179">
        <f t="shared" ca="1" si="35"/>
        <v>4.1666666666666661</v>
      </c>
      <c r="AY5" s="179">
        <f t="shared" ca="1" si="36"/>
        <v>-5.8333333333333339</v>
      </c>
      <c r="AZ5" s="179">
        <f t="shared" ca="1" si="37"/>
        <v>4.1666666666666661</v>
      </c>
      <c r="BA5" s="179">
        <f t="shared" ca="1" si="38"/>
        <v>4.1666666666666661</v>
      </c>
    </row>
    <row r="6" spans="1:53">
      <c r="A6" s="173">
        <v>5</v>
      </c>
      <c r="B6" s="157" t="str">
        <f t="shared" si="14"/>
        <v>Colombia-Griekenland</v>
      </c>
      <c r="C6" s="298">
        <f ca="1">IF(VLOOKUP($A6,INDIRECT(C$1&amp;loc_voorspell),15,0)&lt;&gt;"",VLOOKUP($A6,INDIRECT(C$1&amp;loc_voorspell),15,0)+C5,"")</f>
        <v>20</v>
      </c>
      <c r="D6" s="298">
        <f ca="1">IF(VLOOKUP($A6,INDIRECT(D$1&amp;loc_voorspell),15,0)&lt;&gt;"",VLOOKUP($A6,INDIRECT(D$1&amp;loc_voorspell),15,0)+D5,"")</f>
        <v>25</v>
      </c>
      <c r="E6" s="298">
        <f ca="1">IF(VLOOKUP($A6,INDIRECT(E$1&amp;loc_voorspell),15,0)&lt;&gt;"",VLOOKUP($A6,INDIRECT(E$1&amp;loc_voorspell),15,0)+E5,"")</f>
        <v>5</v>
      </c>
      <c r="F6" s="298">
        <f ca="1">IF(VLOOKUP($A6,INDIRECT(F$1&amp;loc_voorspell),15,0)&lt;&gt;"",VLOOKUP($A6,INDIRECT(F$1&amp;loc_voorspell),15,0)+F5,"")</f>
        <v>15</v>
      </c>
      <c r="G6" s="298">
        <f ca="1">IF(VLOOKUP($A6,INDIRECT(G$1&amp;loc_voorspell),15,0)&lt;&gt;"",VLOOKUP($A6,INDIRECT(G$1&amp;loc_voorspell),15,0)+G5,"")</f>
        <v>25</v>
      </c>
      <c r="H6" s="298">
        <f ca="1">IF(VLOOKUP($A6,INDIRECT(H$1&amp;loc_voorspell),15,0)&lt;&gt;"",VLOOKUP($A6,INDIRECT(H$1&amp;loc_voorspell),15,0)+H5,"")</f>
        <v>10</v>
      </c>
      <c r="I6" s="298">
        <f ca="1">IF(VLOOKUP($A6,INDIRECT(I$1&amp;loc_voorspell),15,0)&lt;&gt;"",VLOOKUP($A6,INDIRECT(I$1&amp;loc_voorspell),15,0)+I5,"")</f>
        <v>15</v>
      </c>
      <c r="J6" s="298">
        <f ca="1">IF(VLOOKUP($A6,INDIRECT(J$1&amp;loc_voorspell),15,0)&lt;&gt;"",VLOOKUP($A6,INDIRECT(J$1&amp;loc_voorspell),15,0)+J5,"")</f>
        <v>15</v>
      </c>
      <c r="K6" s="298">
        <f ca="1">IF(VLOOKUP($A6,INDIRECT(K$1&amp;loc_voorspell),15,0)&lt;&gt;"",VLOOKUP($A6,INDIRECT(K$1&amp;loc_voorspell),15,0)+K5,"")</f>
        <v>20</v>
      </c>
      <c r="L6" s="298">
        <f ca="1">IF(VLOOKUP($A6,INDIRECT(L$1&amp;loc_voorspell),15,0)&lt;&gt;"",VLOOKUP($A6,INDIRECT(L$1&amp;loc_voorspell),15,0)+L5,"")</f>
        <v>20</v>
      </c>
      <c r="M6" s="298">
        <f ca="1">IF(VLOOKUP($A6,INDIRECT(M$1&amp;loc_voorspell),15,0)&lt;&gt;"",VLOOKUP($A6,INDIRECT(M$1&amp;loc_voorspell),15,0)+M5,"")</f>
        <v>15</v>
      </c>
      <c r="N6" s="298">
        <f ca="1">IF(VLOOKUP($A6,INDIRECT(N$1&amp;loc_voorspell),15,0)&lt;&gt;"",VLOOKUP($A6,INDIRECT(N$1&amp;loc_voorspell),15,0)+N5,"")</f>
        <v>30</v>
      </c>
      <c r="O6" s="298">
        <f ca="1">IF(VLOOKUP($A6,INDIRECT(O$1&amp;loc_voorspell),15,0)&lt;&gt;"",VLOOKUP($A6,INDIRECT(O$1&amp;loc_voorspell),15,0)+O5,"")</f>
        <v>20</v>
      </c>
      <c r="P6" s="298">
        <f ca="1">IF(VLOOKUP($A6,INDIRECT(P$1&amp;loc_voorspell),15,0)&lt;&gt;"",VLOOKUP($A6,INDIRECT(P$1&amp;loc_voorspell),15,0)+P5,"")</f>
        <v>15</v>
      </c>
      <c r="Q6" s="298">
        <f ca="1">IF(VLOOKUP($A6,INDIRECT(Q$1&amp;loc_voorspell),15,0)&lt;&gt;"",VLOOKUP($A6,INDIRECT(Q$1&amp;loc_voorspell),15,0)+Q5,"")</f>
        <v>25</v>
      </c>
      <c r="R6" s="298">
        <f ca="1">IF(VLOOKUP($A6,INDIRECT(R$1&amp;loc_voorspell),15,0)&lt;&gt;"",VLOOKUP($A6,INDIRECT(R$1&amp;loc_voorspell),15,0)+R5,"")</f>
        <v>30</v>
      </c>
      <c r="S6" s="298">
        <f ca="1">IF(VLOOKUP($A6,INDIRECT(S$1&amp;loc_voorspell),15,0)&lt;&gt;"",VLOOKUP($A6,INDIRECT(S$1&amp;loc_voorspell),15,0)+S5,"")</f>
        <v>15</v>
      </c>
      <c r="T6" s="298">
        <f ca="1">IF(VLOOKUP($A6,INDIRECT(T$1&amp;loc_voorspell),15,0)&lt;&gt;"",VLOOKUP($A6,INDIRECT(T$1&amp;loc_voorspell),15,0)+T5,"")</f>
        <v>25</v>
      </c>
      <c r="U6" s="298">
        <f ca="1">IF(VLOOKUP($A6,INDIRECT(U$1&amp;loc_voorspell),15,0)&lt;&gt;"",VLOOKUP($A6,INDIRECT(U$1&amp;loc_voorspell),15,0)+U5,"")</f>
        <v>15</v>
      </c>
      <c r="V6" s="298">
        <f ca="1">IF(VLOOKUP($A6,INDIRECT(V$1&amp;loc_voorspell),15,0)&lt;&gt;"",VLOOKUP($A6,INDIRECT(V$1&amp;loc_voorspell),15,0)+V5,"")</f>
        <v>20</v>
      </c>
      <c r="W6" s="298">
        <f ca="1">IF(VLOOKUP($A6,INDIRECT(W$1&amp;loc_voorspell),15,0)&lt;&gt;"",VLOOKUP($A6,INDIRECT(W$1&amp;loc_voorspell),15,0)+W5,"")</f>
        <v>25</v>
      </c>
      <c r="X6" s="298">
        <f ca="1">IF(VLOOKUP($A6,INDIRECT(X$1&amp;loc_voorspell),15,0)&lt;&gt;"",VLOOKUP($A6,INDIRECT(X$1&amp;loc_voorspell),15,0)+X5,"")</f>
        <v>15</v>
      </c>
      <c r="Y6" s="298">
        <f ca="1">IF(VLOOKUP($A6,INDIRECT(Y$1&amp;loc_voorspell),15,0)&lt;&gt;"",VLOOKUP($A6,INDIRECT(Y$1&amp;loc_voorspell),15,0)+Y5,"")</f>
        <v>25</v>
      </c>
      <c r="Z6" s="298">
        <f ca="1">IF(VLOOKUP($A6,INDIRECT(Z$1&amp;loc_voorspell),15,0)&lt;&gt;"",VLOOKUP($A6,INDIRECT(Z$1&amp;loc_voorspell),15,0)+Z5,"")</f>
        <v>25</v>
      </c>
      <c r="AA6" s="165">
        <f t="shared" ca="1" si="39"/>
        <v>19.583333333333332</v>
      </c>
      <c r="AB6" s="178">
        <f ca="1">IF(AA6="","",AA6-AA5)</f>
        <v>3.7499999999999982</v>
      </c>
      <c r="AC6" s="331" t="str">
        <f t="shared" si="40"/>
        <v>Colombia-Griekenland</v>
      </c>
      <c r="AD6" s="179">
        <f t="shared" ca="1" si="16"/>
        <v>0.41666666666666785</v>
      </c>
      <c r="AE6" s="179">
        <f t="shared" ca="1" si="17"/>
        <v>5.4166666666666679</v>
      </c>
      <c r="AF6" s="179">
        <f t="shared" ca="1" si="18"/>
        <v>-14.583333333333332</v>
      </c>
      <c r="AG6" s="179">
        <f t="shared" ca="1" si="19"/>
        <v>-4.5833333333333321</v>
      </c>
      <c r="AH6" s="179">
        <f t="shared" ca="1" si="20"/>
        <v>5.4166666666666679</v>
      </c>
      <c r="AI6" s="179">
        <f t="shared" ca="1" si="21"/>
        <v>-9.5833333333333321</v>
      </c>
      <c r="AJ6" s="179">
        <f t="shared" ca="1" si="22"/>
        <v>-4.5833333333333321</v>
      </c>
      <c r="AK6" s="179">
        <f t="shared" ca="1" si="23"/>
        <v>-4.5833333333333321</v>
      </c>
      <c r="AL6" s="179">
        <f t="shared" ca="1" si="24"/>
        <v>0.41666666666666785</v>
      </c>
      <c r="AM6" s="179">
        <f t="shared" ca="1" si="25"/>
        <v>0.41666666666666785</v>
      </c>
      <c r="AN6" s="179">
        <f t="shared" ca="1" si="26"/>
        <v>-4.5833333333333321</v>
      </c>
      <c r="AO6" s="179">
        <f t="shared" ca="1" si="27"/>
        <v>0.41666666666666785</v>
      </c>
      <c r="AP6" s="179">
        <f t="shared" ca="1" si="28"/>
        <v>0.41666666666666785</v>
      </c>
      <c r="AQ6" s="179">
        <f t="shared" ca="1" si="28"/>
        <v>-4.5833333333333321</v>
      </c>
      <c r="AR6" s="179">
        <f t="shared" ca="1" si="29"/>
        <v>5.4166666666666679</v>
      </c>
      <c r="AS6" s="179">
        <f t="shared" ca="1" si="30"/>
        <v>10.416666666666668</v>
      </c>
      <c r="AT6" s="179">
        <f t="shared" ca="1" si="31"/>
        <v>-4.5833333333333321</v>
      </c>
      <c r="AU6" s="179">
        <f t="shared" ca="1" si="32"/>
        <v>5.4166666666666679</v>
      </c>
      <c r="AV6" s="179">
        <f t="shared" ca="1" si="33"/>
        <v>-4.5833333333333321</v>
      </c>
      <c r="AW6" s="179">
        <f t="shared" ca="1" si="34"/>
        <v>0.41666666666666785</v>
      </c>
      <c r="AX6" s="179">
        <f t="shared" ca="1" si="35"/>
        <v>5.4166666666666679</v>
      </c>
      <c r="AY6" s="179">
        <f t="shared" ca="1" si="36"/>
        <v>-4.5833333333333321</v>
      </c>
      <c r="AZ6" s="179">
        <f t="shared" ca="1" si="37"/>
        <v>5.4166666666666679</v>
      </c>
      <c r="BA6" s="179">
        <f t="shared" ca="1" si="38"/>
        <v>5.4166666666666679</v>
      </c>
    </row>
    <row r="7" spans="1:53">
      <c r="A7" s="173">
        <v>7</v>
      </c>
      <c r="B7" s="158" t="str">
        <f t="shared" si="14"/>
        <v>Uruguay-Costa Rica</v>
      </c>
      <c r="C7" s="299">
        <f ca="1">IF(VLOOKUP($A7,INDIRECT(C$1&amp;loc_voorspell),15,0)&lt;&gt;"",VLOOKUP($A7,INDIRECT(C$1&amp;loc_voorspell),15,0)+C6,"")</f>
        <v>20</v>
      </c>
      <c r="D7" s="299">
        <f ca="1">IF(VLOOKUP($A7,INDIRECT(D$1&amp;loc_voorspell),15,0)&lt;&gt;"",VLOOKUP($A7,INDIRECT(D$1&amp;loc_voorspell),15,0)+D6,"")</f>
        <v>25</v>
      </c>
      <c r="E7" s="299">
        <f ca="1">IF(VLOOKUP($A7,INDIRECT(E$1&amp;loc_voorspell),15,0)&lt;&gt;"",VLOOKUP($A7,INDIRECT(E$1&amp;loc_voorspell),15,0)+E6,"")</f>
        <v>5</v>
      </c>
      <c r="F7" s="299">
        <f ca="1">IF(VLOOKUP($A7,INDIRECT(F$1&amp;loc_voorspell),15,0)&lt;&gt;"",VLOOKUP($A7,INDIRECT(F$1&amp;loc_voorspell),15,0)+F6,"")</f>
        <v>15</v>
      </c>
      <c r="G7" s="299">
        <f ca="1">IF(VLOOKUP($A7,INDIRECT(G$1&amp;loc_voorspell),15,0)&lt;&gt;"",VLOOKUP($A7,INDIRECT(G$1&amp;loc_voorspell),15,0)+G6,"")</f>
        <v>25</v>
      </c>
      <c r="H7" s="299">
        <f ca="1">IF(VLOOKUP($A7,INDIRECT(H$1&amp;loc_voorspell),15,0)&lt;&gt;"",VLOOKUP($A7,INDIRECT(H$1&amp;loc_voorspell),15,0)+H6,"")</f>
        <v>10</v>
      </c>
      <c r="I7" s="299">
        <f ca="1">IF(VLOOKUP($A7,INDIRECT(I$1&amp;loc_voorspell),15,0)&lt;&gt;"",VLOOKUP($A7,INDIRECT(I$1&amp;loc_voorspell),15,0)+I6,"")</f>
        <v>15</v>
      </c>
      <c r="J7" s="299">
        <f ca="1">IF(VLOOKUP($A7,INDIRECT(J$1&amp;loc_voorspell),15,0)&lt;&gt;"",VLOOKUP($A7,INDIRECT(J$1&amp;loc_voorspell),15,0)+J6,"")</f>
        <v>15</v>
      </c>
      <c r="K7" s="299">
        <f ca="1">IF(VLOOKUP($A7,INDIRECT(K$1&amp;loc_voorspell),15,0)&lt;&gt;"",VLOOKUP($A7,INDIRECT(K$1&amp;loc_voorspell),15,0)+K6,"")</f>
        <v>20</v>
      </c>
      <c r="L7" s="299">
        <f ca="1">IF(VLOOKUP($A7,INDIRECT(L$1&amp;loc_voorspell),15,0)&lt;&gt;"",VLOOKUP($A7,INDIRECT(L$1&amp;loc_voorspell),15,0)+L6,"")</f>
        <v>20</v>
      </c>
      <c r="M7" s="299">
        <f ca="1">IF(VLOOKUP($A7,INDIRECT(M$1&amp;loc_voorspell),15,0)&lt;&gt;"",VLOOKUP($A7,INDIRECT(M$1&amp;loc_voorspell),15,0)+M6,"")</f>
        <v>15</v>
      </c>
      <c r="N7" s="299">
        <f ca="1">IF(VLOOKUP($A7,INDIRECT(N$1&amp;loc_voorspell),15,0)&lt;&gt;"",VLOOKUP($A7,INDIRECT(N$1&amp;loc_voorspell),15,0)+N6,"")</f>
        <v>30</v>
      </c>
      <c r="O7" s="299">
        <f ca="1">IF(VLOOKUP($A7,INDIRECT(O$1&amp;loc_voorspell),15,0)&lt;&gt;"",VLOOKUP($A7,INDIRECT(O$1&amp;loc_voorspell),15,0)+O6,"")</f>
        <v>20</v>
      </c>
      <c r="P7" s="299">
        <f ca="1">IF(VLOOKUP($A7,INDIRECT(P$1&amp;loc_voorspell),15,0)&lt;&gt;"",VLOOKUP($A7,INDIRECT(P$1&amp;loc_voorspell),15,0)+P6,"")</f>
        <v>15</v>
      </c>
      <c r="Q7" s="299">
        <f ca="1">IF(VLOOKUP($A7,INDIRECT(Q$1&amp;loc_voorspell),15,0)&lt;&gt;"",VLOOKUP($A7,INDIRECT(Q$1&amp;loc_voorspell),15,0)+Q6,"")</f>
        <v>25</v>
      </c>
      <c r="R7" s="299">
        <f ca="1">IF(VLOOKUP($A7,INDIRECT(R$1&amp;loc_voorspell),15,0)&lt;&gt;"",VLOOKUP($A7,INDIRECT(R$1&amp;loc_voorspell),15,0)+R6,"")</f>
        <v>30</v>
      </c>
      <c r="S7" s="299">
        <f ca="1">IF(VLOOKUP($A7,INDIRECT(S$1&amp;loc_voorspell),15,0)&lt;&gt;"",VLOOKUP($A7,INDIRECT(S$1&amp;loc_voorspell),15,0)+S6,"")</f>
        <v>15</v>
      </c>
      <c r="T7" s="299">
        <f ca="1">IF(VLOOKUP($A7,INDIRECT(T$1&amp;loc_voorspell),15,0)&lt;&gt;"",VLOOKUP($A7,INDIRECT(T$1&amp;loc_voorspell),15,0)+T6,"")</f>
        <v>25</v>
      </c>
      <c r="U7" s="299">
        <f ca="1">IF(VLOOKUP($A7,INDIRECT(U$1&amp;loc_voorspell),15,0)&lt;&gt;"",VLOOKUP($A7,INDIRECT(U$1&amp;loc_voorspell),15,0)+U6,"")</f>
        <v>15</v>
      </c>
      <c r="V7" s="299">
        <f ca="1">IF(VLOOKUP($A7,INDIRECT(V$1&amp;loc_voorspell),15,0)&lt;&gt;"",VLOOKUP($A7,INDIRECT(V$1&amp;loc_voorspell),15,0)+V6,"")</f>
        <v>20</v>
      </c>
      <c r="W7" s="299">
        <f ca="1">IF(VLOOKUP($A7,INDIRECT(W$1&amp;loc_voorspell),15,0)&lt;&gt;"",VLOOKUP($A7,INDIRECT(W$1&amp;loc_voorspell),15,0)+W6,"")</f>
        <v>25</v>
      </c>
      <c r="X7" s="299">
        <f ca="1">IF(VLOOKUP($A7,INDIRECT(X$1&amp;loc_voorspell),15,0)&lt;&gt;"",VLOOKUP($A7,INDIRECT(X$1&amp;loc_voorspell),15,0)+X6,"")</f>
        <v>15</v>
      </c>
      <c r="Y7" s="299">
        <f ca="1">IF(VLOOKUP($A7,INDIRECT(Y$1&amp;loc_voorspell),15,0)&lt;&gt;"",VLOOKUP($A7,INDIRECT(Y$1&amp;loc_voorspell),15,0)+Y6,"")</f>
        <v>25</v>
      </c>
      <c r="Z7" s="299">
        <f ca="1">IF(VLOOKUP($A7,INDIRECT(Z$1&amp;loc_voorspell),15,0)&lt;&gt;"",VLOOKUP($A7,INDIRECT(Z$1&amp;loc_voorspell),15,0)+Z6,"")</f>
        <v>25</v>
      </c>
      <c r="AA7" s="165">
        <f t="shared" ca="1" si="39"/>
        <v>19.583333333333332</v>
      </c>
      <c r="AB7" s="178">
        <f t="shared" ref="AB7:AB70" ca="1" si="41">IF(AA7="","",AA7-AA6)</f>
        <v>0</v>
      </c>
      <c r="AC7" s="331" t="str">
        <f t="shared" si="40"/>
        <v>Uruguay-Costa Rica</v>
      </c>
      <c r="AD7" s="179">
        <f t="shared" ca="1" si="16"/>
        <v>0.41666666666666785</v>
      </c>
      <c r="AE7" s="179">
        <f t="shared" ca="1" si="17"/>
        <v>5.4166666666666679</v>
      </c>
      <c r="AF7" s="179">
        <f t="shared" ca="1" si="18"/>
        <v>-14.583333333333332</v>
      </c>
      <c r="AG7" s="179">
        <f t="shared" ca="1" si="19"/>
        <v>-4.5833333333333321</v>
      </c>
      <c r="AH7" s="179">
        <f t="shared" ca="1" si="20"/>
        <v>5.4166666666666679</v>
      </c>
      <c r="AI7" s="179">
        <f t="shared" ca="1" si="21"/>
        <v>-9.5833333333333321</v>
      </c>
      <c r="AJ7" s="179">
        <f t="shared" ca="1" si="22"/>
        <v>-4.5833333333333321</v>
      </c>
      <c r="AK7" s="179">
        <f t="shared" ca="1" si="23"/>
        <v>-4.5833333333333321</v>
      </c>
      <c r="AL7" s="179">
        <f t="shared" ca="1" si="24"/>
        <v>0.41666666666666785</v>
      </c>
      <c r="AM7" s="179">
        <f t="shared" ca="1" si="25"/>
        <v>0.41666666666666785</v>
      </c>
      <c r="AN7" s="179">
        <f t="shared" ca="1" si="26"/>
        <v>-4.5833333333333321</v>
      </c>
      <c r="AO7" s="179">
        <f t="shared" ca="1" si="27"/>
        <v>0.41666666666666785</v>
      </c>
      <c r="AP7" s="179">
        <f t="shared" ca="1" si="28"/>
        <v>0.41666666666666785</v>
      </c>
      <c r="AQ7" s="179">
        <f t="shared" ca="1" si="28"/>
        <v>-4.5833333333333321</v>
      </c>
      <c r="AR7" s="179">
        <f t="shared" ca="1" si="29"/>
        <v>5.4166666666666679</v>
      </c>
      <c r="AS7" s="179">
        <f t="shared" ca="1" si="30"/>
        <v>10.416666666666668</v>
      </c>
      <c r="AT7" s="179">
        <f t="shared" ca="1" si="31"/>
        <v>-4.5833333333333321</v>
      </c>
      <c r="AU7" s="179">
        <f t="shared" ca="1" si="32"/>
        <v>5.4166666666666679</v>
      </c>
      <c r="AV7" s="179">
        <f t="shared" ca="1" si="33"/>
        <v>-4.5833333333333321</v>
      </c>
      <c r="AW7" s="179">
        <f t="shared" ca="1" si="34"/>
        <v>0.41666666666666785</v>
      </c>
      <c r="AX7" s="179">
        <f t="shared" ca="1" si="35"/>
        <v>5.4166666666666679</v>
      </c>
      <c r="AY7" s="179">
        <f t="shared" ca="1" si="36"/>
        <v>-4.5833333333333321</v>
      </c>
      <c r="AZ7" s="179">
        <f t="shared" ca="1" si="37"/>
        <v>5.4166666666666679</v>
      </c>
      <c r="BA7" s="179">
        <f t="shared" ca="1" si="38"/>
        <v>5.4166666666666679</v>
      </c>
    </row>
    <row r="8" spans="1:53">
      <c r="A8" s="173">
        <v>8</v>
      </c>
      <c r="B8" s="157" t="str">
        <f t="shared" si="14"/>
        <v>Engeland-Italië</v>
      </c>
      <c r="C8" s="298">
        <f ca="1">IF(VLOOKUP($A8,INDIRECT(C$1&amp;loc_voorspell),15,0)&lt;&gt;"",VLOOKUP($A8,INDIRECT(C$1&amp;loc_voorspell),15,0)+C7,"")</f>
        <v>30</v>
      </c>
      <c r="D8" s="298">
        <f ca="1">IF(VLOOKUP($A8,INDIRECT(D$1&amp;loc_voorspell),15,0)&lt;&gt;"",VLOOKUP($A8,INDIRECT(D$1&amp;loc_voorspell),15,0)+D7,"")</f>
        <v>25</v>
      </c>
      <c r="E8" s="298">
        <f ca="1">IF(VLOOKUP($A8,INDIRECT(E$1&amp;loc_voorspell),15,0)&lt;&gt;"",VLOOKUP($A8,INDIRECT(E$1&amp;loc_voorspell),15,0)+E7,"")</f>
        <v>5</v>
      </c>
      <c r="F8" s="298">
        <f ca="1">IF(VLOOKUP($A8,INDIRECT(F$1&amp;loc_voorspell),15,0)&lt;&gt;"",VLOOKUP($A8,INDIRECT(F$1&amp;loc_voorspell),15,0)+F7,"")</f>
        <v>15</v>
      </c>
      <c r="G8" s="298">
        <f ca="1">IF(VLOOKUP($A8,INDIRECT(G$1&amp;loc_voorspell),15,0)&lt;&gt;"",VLOOKUP($A8,INDIRECT(G$1&amp;loc_voorspell),15,0)+G7,"")</f>
        <v>25</v>
      </c>
      <c r="H8" s="298">
        <f ca="1">IF(VLOOKUP($A8,INDIRECT(H$1&amp;loc_voorspell),15,0)&lt;&gt;"",VLOOKUP($A8,INDIRECT(H$1&amp;loc_voorspell),15,0)+H7,"")</f>
        <v>15</v>
      </c>
      <c r="I8" s="298">
        <f ca="1">IF(VLOOKUP($A8,INDIRECT(I$1&amp;loc_voorspell),15,0)&lt;&gt;"",VLOOKUP($A8,INDIRECT(I$1&amp;loc_voorspell),15,0)+I7,"")</f>
        <v>15</v>
      </c>
      <c r="J8" s="298">
        <f ca="1">IF(VLOOKUP($A8,INDIRECT(J$1&amp;loc_voorspell),15,0)&lt;&gt;"",VLOOKUP($A8,INDIRECT(J$1&amp;loc_voorspell),15,0)+J7,"")</f>
        <v>15</v>
      </c>
      <c r="K8" s="298">
        <f ca="1">IF(VLOOKUP($A8,INDIRECT(K$1&amp;loc_voorspell),15,0)&lt;&gt;"",VLOOKUP($A8,INDIRECT(K$1&amp;loc_voorspell),15,0)+K7,"")</f>
        <v>20</v>
      </c>
      <c r="L8" s="298">
        <f ca="1">IF(VLOOKUP($A8,INDIRECT(L$1&amp;loc_voorspell),15,0)&lt;&gt;"",VLOOKUP($A8,INDIRECT(L$1&amp;loc_voorspell),15,0)+L7,"")</f>
        <v>25</v>
      </c>
      <c r="M8" s="298">
        <f ca="1">IF(VLOOKUP($A8,INDIRECT(M$1&amp;loc_voorspell),15,0)&lt;&gt;"",VLOOKUP($A8,INDIRECT(M$1&amp;loc_voorspell),15,0)+M7,"")</f>
        <v>25</v>
      </c>
      <c r="N8" s="298">
        <f ca="1">IF(VLOOKUP($A8,INDIRECT(N$1&amp;loc_voorspell),15,0)&lt;&gt;"",VLOOKUP($A8,INDIRECT(N$1&amp;loc_voorspell),15,0)+N7,"")</f>
        <v>40</v>
      </c>
      <c r="O8" s="298">
        <f ca="1">IF(VLOOKUP($A8,INDIRECT(O$1&amp;loc_voorspell),15,0)&lt;&gt;"",VLOOKUP($A8,INDIRECT(O$1&amp;loc_voorspell),15,0)+O7,"")</f>
        <v>20</v>
      </c>
      <c r="P8" s="298">
        <f ca="1">IF(VLOOKUP($A8,INDIRECT(P$1&amp;loc_voorspell),15,0)&lt;&gt;"",VLOOKUP($A8,INDIRECT(P$1&amp;loc_voorspell),15,0)+P7,"")</f>
        <v>15</v>
      </c>
      <c r="Q8" s="298">
        <f ca="1">IF(VLOOKUP($A8,INDIRECT(Q$1&amp;loc_voorspell),15,0)&lt;&gt;"",VLOOKUP($A8,INDIRECT(Q$1&amp;loc_voorspell),15,0)+Q7,"")</f>
        <v>25</v>
      </c>
      <c r="R8" s="298">
        <f ca="1">IF(VLOOKUP($A8,INDIRECT(R$1&amp;loc_voorspell),15,0)&lt;&gt;"",VLOOKUP($A8,INDIRECT(R$1&amp;loc_voorspell),15,0)+R7,"")</f>
        <v>40</v>
      </c>
      <c r="S8" s="298">
        <f ca="1">IF(VLOOKUP($A8,INDIRECT(S$1&amp;loc_voorspell),15,0)&lt;&gt;"",VLOOKUP($A8,INDIRECT(S$1&amp;loc_voorspell),15,0)+S7,"")</f>
        <v>15</v>
      </c>
      <c r="T8" s="298">
        <f ca="1">IF(VLOOKUP($A8,INDIRECT(T$1&amp;loc_voorspell),15,0)&lt;&gt;"",VLOOKUP($A8,INDIRECT(T$1&amp;loc_voorspell),15,0)+T7,"")</f>
        <v>25</v>
      </c>
      <c r="U8" s="298">
        <f ca="1">IF(VLOOKUP($A8,INDIRECT(U$1&amp;loc_voorspell),15,0)&lt;&gt;"",VLOOKUP($A8,INDIRECT(U$1&amp;loc_voorspell),15,0)+U7,"")</f>
        <v>20</v>
      </c>
      <c r="V8" s="298">
        <f ca="1">IF(VLOOKUP($A8,INDIRECT(V$1&amp;loc_voorspell),15,0)&lt;&gt;"",VLOOKUP($A8,INDIRECT(V$1&amp;loc_voorspell),15,0)+V7,"")</f>
        <v>20</v>
      </c>
      <c r="W8" s="298">
        <f ca="1">IF(VLOOKUP($A8,INDIRECT(W$1&amp;loc_voorspell),15,0)&lt;&gt;"",VLOOKUP($A8,INDIRECT(W$1&amp;loc_voorspell),15,0)+W7,"")</f>
        <v>25</v>
      </c>
      <c r="X8" s="298">
        <f ca="1">IF(VLOOKUP($A8,INDIRECT(X$1&amp;loc_voorspell),15,0)&lt;&gt;"",VLOOKUP($A8,INDIRECT(X$1&amp;loc_voorspell),15,0)+X7,"")</f>
        <v>15</v>
      </c>
      <c r="Y8" s="298">
        <f ca="1">IF(VLOOKUP($A8,INDIRECT(Y$1&amp;loc_voorspell),15,0)&lt;&gt;"",VLOOKUP($A8,INDIRECT(Y$1&amp;loc_voorspell),15,0)+Y7,"")</f>
        <v>35</v>
      </c>
      <c r="Z8" s="298">
        <f ca="1">IF(VLOOKUP($A8,INDIRECT(Z$1&amp;loc_voorspell),15,0)&lt;&gt;"",VLOOKUP($A8,INDIRECT(Z$1&amp;loc_voorspell),15,0)+Z7,"")</f>
        <v>35</v>
      </c>
      <c r="AA8" s="165">
        <f t="shared" ca="1" si="39"/>
        <v>22.708333333333332</v>
      </c>
      <c r="AB8" s="178">
        <f t="shared" ca="1" si="41"/>
        <v>3.125</v>
      </c>
      <c r="AC8" s="331" t="str">
        <f t="shared" si="40"/>
        <v>Engeland-Italië</v>
      </c>
      <c r="AD8" s="179">
        <f t="shared" ca="1" si="16"/>
        <v>7.2916666666666679</v>
      </c>
      <c r="AE8" s="179">
        <f t="shared" ca="1" si="17"/>
        <v>2.2916666666666679</v>
      </c>
      <c r="AF8" s="179">
        <f t="shared" ca="1" si="18"/>
        <v>-17.708333333333332</v>
      </c>
      <c r="AG8" s="179">
        <f t="shared" ca="1" si="19"/>
        <v>-7.7083333333333321</v>
      </c>
      <c r="AH8" s="179">
        <f t="shared" ca="1" si="20"/>
        <v>2.2916666666666679</v>
      </c>
      <c r="AI8" s="179">
        <f t="shared" ca="1" si="21"/>
        <v>-7.7083333333333321</v>
      </c>
      <c r="AJ8" s="179">
        <f t="shared" ca="1" si="22"/>
        <v>-7.7083333333333321</v>
      </c>
      <c r="AK8" s="179">
        <f t="shared" ca="1" si="23"/>
        <v>-7.7083333333333321</v>
      </c>
      <c r="AL8" s="179">
        <f t="shared" ca="1" si="24"/>
        <v>-2.7083333333333321</v>
      </c>
      <c r="AM8" s="179">
        <f t="shared" ca="1" si="25"/>
        <v>2.2916666666666679</v>
      </c>
      <c r="AN8" s="179">
        <f t="shared" ca="1" si="26"/>
        <v>2.2916666666666679</v>
      </c>
      <c r="AO8" s="179">
        <f t="shared" ca="1" si="27"/>
        <v>-2.7083333333333321</v>
      </c>
      <c r="AP8" s="179">
        <f t="shared" ca="1" si="28"/>
        <v>-2.7083333333333321</v>
      </c>
      <c r="AQ8" s="179">
        <f t="shared" ca="1" si="28"/>
        <v>-7.7083333333333321</v>
      </c>
      <c r="AR8" s="179">
        <f t="shared" ca="1" si="29"/>
        <v>2.2916666666666679</v>
      </c>
      <c r="AS8" s="179">
        <f t="shared" ca="1" si="30"/>
        <v>17.291666666666668</v>
      </c>
      <c r="AT8" s="179">
        <f t="shared" ca="1" si="31"/>
        <v>-7.7083333333333321</v>
      </c>
      <c r="AU8" s="179">
        <f t="shared" ca="1" si="32"/>
        <v>2.2916666666666679</v>
      </c>
      <c r="AV8" s="179">
        <f t="shared" ca="1" si="33"/>
        <v>-2.7083333333333321</v>
      </c>
      <c r="AW8" s="179">
        <f t="shared" ca="1" si="34"/>
        <v>-2.7083333333333321</v>
      </c>
      <c r="AX8" s="179">
        <f t="shared" ca="1" si="35"/>
        <v>2.2916666666666679</v>
      </c>
      <c r="AY8" s="179">
        <f t="shared" ca="1" si="36"/>
        <v>-7.7083333333333321</v>
      </c>
      <c r="AZ8" s="179">
        <f t="shared" ca="1" si="37"/>
        <v>12.291666666666668</v>
      </c>
      <c r="BA8" s="179">
        <f t="shared" ca="1" si="38"/>
        <v>12.291666666666668</v>
      </c>
    </row>
    <row r="9" spans="1:53">
      <c r="A9" s="173">
        <v>6</v>
      </c>
      <c r="B9" s="158" t="str">
        <f t="shared" si="14"/>
        <v>Ivoorkust-Japan</v>
      </c>
      <c r="C9" s="299">
        <f ca="1">IF(VLOOKUP($A9,INDIRECT(C$1&amp;loc_voorspell),15,0)&lt;&gt;"",VLOOKUP($A9,INDIRECT(C$1&amp;loc_voorspell),15,0)+C8,"")</f>
        <v>30</v>
      </c>
      <c r="D9" s="299">
        <f ca="1">IF(VLOOKUP($A9,INDIRECT(D$1&amp;loc_voorspell),15,0)&lt;&gt;"",VLOOKUP($A9,INDIRECT(D$1&amp;loc_voorspell),15,0)+D8,"")</f>
        <v>25</v>
      </c>
      <c r="E9" s="299">
        <f ca="1">IF(VLOOKUP($A9,INDIRECT(E$1&amp;loc_voorspell),15,0)&lt;&gt;"",VLOOKUP($A9,INDIRECT(E$1&amp;loc_voorspell),15,0)+E8,"")</f>
        <v>5</v>
      </c>
      <c r="F9" s="299">
        <f ca="1">IF(VLOOKUP($A9,INDIRECT(F$1&amp;loc_voorspell),15,0)&lt;&gt;"",VLOOKUP($A9,INDIRECT(F$1&amp;loc_voorspell),15,0)+F8,"")</f>
        <v>15</v>
      </c>
      <c r="G9" s="299">
        <f ca="1">IF(VLOOKUP($A9,INDIRECT(G$1&amp;loc_voorspell),15,0)&lt;&gt;"",VLOOKUP($A9,INDIRECT(G$1&amp;loc_voorspell),15,0)+G8,"")</f>
        <v>30</v>
      </c>
      <c r="H9" s="299">
        <f ca="1">IF(VLOOKUP($A9,INDIRECT(H$1&amp;loc_voorspell),15,0)&lt;&gt;"",VLOOKUP($A9,INDIRECT(H$1&amp;loc_voorspell),15,0)+H8,"")</f>
        <v>20</v>
      </c>
      <c r="I9" s="299">
        <f ca="1">IF(VLOOKUP($A9,INDIRECT(I$1&amp;loc_voorspell),15,0)&lt;&gt;"",VLOOKUP($A9,INDIRECT(I$1&amp;loc_voorspell),15,0)+I8,"")</f>
        <v>20</v>
      </c>
      <c r="J9" s="299">
        <f ca="1">IF(VLOOKUP($A9,INDIRECT(J$1&amp;loc_voorspell),15,0)&lt;&gt;"",VLOOKUP($A9,INDIRECT(J$1&amp;loc_voorspell),15,0)+J8,"")</f>
        <v>25</v>
      </c>
      <c r="K9" s="299">
        <f ca="1">IF(VLOOKUP($A9,INDIRECT(K$1&amp;loc_voorspell),15,0)&lt;&gt;"",VLOOKUP($A9,INDIRECT(K$1&amp;loc_voorspell),15,0)+K8,"")</f>
        <v>20</v>
      </c>
      <c r="L9" s="299">
        <f ca="1">IF(VLOOKUP($A9,INDIRECT(L$1&amp;loc_voorspell),15,0)&lt;&gt;"",VLOOKUP($A9,INDIRECT(L$1&amp;loc_voorspell),15,0)+L8,"")</f>
        <v>25</v>
      </c>
      <c r="M9" s="299">
        <f ca="1">IF(VLOOKUP($A9,INDIRECT(M$1&amp;loc_voorspell),15,0)&lt;&gt;"",VLOOKUP($A9,INDIRECT(M$1&amp;loc_voorspell),15,0)+M8,"")</f>
        <v>25</v>
      </c>
      <c r="N9" s="299">
        <f ca="1">IF(VLOOKUP($A9,INDIRECT(N$1&amp;loc_voorspell),15,0)&lt;&gt;"",VLOOKUP($A9,INDIRECT(N$1&amp;loc_voorspell),15,0)+N8,"")</f>
        <v>50</v>
      </c>
      <c r="O9" s="299">
        <f ca="1">IF(VLOOKUP($A9,INDIRECT(O$1&amp;loc_voorspell),15,0)&lt;&gt;"",VLOOKUP($A9,INDIRECT(O$1&amp;loc_voorspell),15,0)+O8,"")</f>
        <v>20</v>
      </c>
      <c r="P9" s="299">
        <f ca="1">IF(VLOOKUP($A9,INDIRECT(P$1&amp;loc_voorspell),15,0)&lt;&gt;"",VLOOKUP($A9,INDIRECT(P$1&amp;loc_voorspell),15,0)+P8,"")</f>
        <v>15</v>
      </c>
      <c r="Q9" s="299">
        <f ca="1">IF(VLOOKUP($A9,INDIRECT(Q$1&amp;loc_voorspell),15,0)&lt;&gt;"",VLOOKUP($A9,INDIRECT(Q$1&amp;loc_voorspell),15,0)+Q8,"")</f>
        <v>25</v>
      </c>
      <c r="R9" s="299">
        <f ca="1">IF(VLOOKUP($A9,INDIRECT(R$1&amp;loc_voorspell),15,0)&lt;&gt;"",VLOOKUP($A9,INDIRECT(R$1&amp;loc_voorspell),15,0)+R8,"")</f>
        <v>45</v>
      </c>
      <c r="S9" s="299">
        <f ca="1">IF(VLOOKUP($A9,INDIRECT(S$1&amp;loc_voorspell),15,0)&lt;&gt;"",VLOOKUP($A9,INDIRECT(S$1&amp;loc_voorspell),15,0)+S8,"")</f>
        <v>20</v>
      </c>
      <c r="T9" s="299">
        <f ca="1">IF(VLOOKUP($A9,INDIRECT(T$1&amp;loc_voorspell),15,0)&lt;&gt;"",VLOOKUP($A9,INDIRECT(T$1&amp;loc_voorspell),15,0)+T8,"")</f>
        <v>30</v>
      </c>
      <c r="U9" s="299">
        <f ca="1">IF(VLOOKUP($A9,INDIRECT(U$1&amp;loc_voorspell),15,0)&lt;&gt;"",VLOOKUP($A9,INDIRECT(U$1&amp;loc_voorspell),15,0)+U8,"")</f>
        <v>25</v>
      </c>
      <c r="V9" s="299">
        <f ca="1">IF(VLOOKUP($A9,INDIRECT(V$1&amp;loc_voorspell),15,0)&lt;&gt;"",VLOOKUP($A9,INDIRECT(V$1&amp;loc_voorspell),15,0)+V8,"")</f>
        <v>20</v>
      </c>
      <c r="W9" s="299">
        <f ca="1">IF(VLOOKUP($A9,INDIRECT(W$1&amp;loc_voorspell),15,0)&lt;&gt;"",VLOOKUP($A9,INDIRECT(W$1&amp;loc_voorspell),15,0)+W8,"")</f>
        <v>30</v>
      </c>
      <c r="X9" s="299">
        <f ca="1">IF(VLOOKUP($A9,INDIRECT(X$1&amp;loc_voorspell),15,0)&lt;&gt;"",VLOOKUP($A9,INDIRECT(X$1&amp;loc_voorspell),15,0)+X8,"")</f>
        <v>15</v>
      </c>
      <c r="Y9" s="299">
        <f ca="1">IF(VLOOKUP($A9,INDIRECT(Y$1&amp;loc_voorspell),15,0)&lt;&gt;"",VLOOKUP($A9,INDIRECT(Y$1&amp;loc_voorspell),15,0)+Y8,"")</f>
        <v>35</v>
      </c>
      <c r="Z9" s="299">
        <f ca="1">IF(VLOOKUP($A9,INDIRECT(Z$1&amp;loc_voorspell),15,0)&lt;&gt;"",VLOOKUP($A9,INDIRECT(Z$1&amp;loc_voorspell),15,0)+Z8,"")</f>
        <v>35</v>
      </c>
      <c r="AA9" s="165">
        <f t="shared" ca="1" si="39"/>
        <v>25.208333333333332</v>
      </c>
      <c r="AB9" s="178">
        <f t="shared" ca="1" si="41"/>
        <v>2.5</v>
      </c>
      <c r="AC9" s="331" t="str">
        <f t="shared" si="40"/>
        <v>Ivoorkust-Japan</v>
      </c>
      <c r="AD9" s="179">
        <f t="shared" ca="1" si="16"/>
        <v>4.7916666666666679</v>
      </c>
      <c r="AE9" s="179">
        <f t="shared" ca="1" si="17"/>
        <v>-0.20833333333333215</v>
      </c>
      <c r="AF9" s="179">
        <f t="shared" ca="1" si="18"/>
        <v>-20.208333333333332</v>
      </c>
      <c r="AG9" s="179">
        <f t="shared" ca="1" si="19"/>
        <v>-10.208333333333332</v>
      </c>
      <c r="AH9" s="179">
        <f t="shared" ca="1" si="20"/>
        <v>4.7916666666666679</v>
      </c>
      <c r="AI9" s="179">
        <f t="shared" ca="1" si="21"/>
        <v>-5.2083333333333321</v>
      </c>
      <c r="AJ9" s="179">
        <f t="shared" ca="1" si="22"/>
        <v>-5.2083333333333321</v>
      </c>
      <c r="AK9" s="179">
        <f t="shared" ca="1" si="23"/>
        <v>-0.20833333333333215</v>
      </c>
      <c r="AL9" s="179">
        <f t="shared" ca="1" si="24"/>
        <v>-5.2083333333333321</v>
      </c>
      <c r="AM9" s="179">
        <f t="shared" ca="1" si="25"/>
        <v>-0.20833333333333215</v>
      </c>
      <c r="AN9" s="179">
        <f t="shared" ca="1" si="26"/>
        <v>-0.20833333333333215</v>
      </c>
      <c r="AO9" s="179">
        <f t="shared" ca="1" si="27"/>
        <v>-5.2083333333333321</v>
      </c>
      <c r="AP9" s="179">
        <f t="shared" ca="1" si="28"/>
        <v>-5.2083333333333321</v>
      </c>
      <c r="AQ9" s="179">
        <f t="shared" ca="1" si="28"/>
        <v>-10.208333333333332</v>
      </c>
      <c r="AR9" s="179">
        <f t="shared" ca="1" si="29"/>
        <v>-0.20833333333333215</v>
      </c>
      <c r="AS9" s="179">
        <f t="shared" ca="1" si="30"/>
        <v>19.791666666666668</v>
      </c>
      <c r="AT9" s="179">
        <f t="shared" ca="1" si="31"/>
        <v>-5.2083333333333321</v>
      </c>
      <c r="AU9" s="179">
        <f t="shared" ca="1" si="32"/>
        <v>4.7916666666666679</v>
      </c>
      <c r="AV9" s="179">
        <f t="shared" ca="1" si="33"/>
        <v>-0.20833333333333215</v>
      </c>
      <c r="AW9" s="179">
        <f t="shared" ca="1" si="34"/>
        <v>-5.2083333333333321</v>
      </c>
      <c r="AX9" s="179">
        <f t="shared" ca="1" si="35"/>
        <v>4.7916666666666679</v>
      </c>
      <c r="AY9" s="179">
        <f t="shared" ca="1" si="36"/>
        <v>-10.208333333333332</v>
      </c>
      <c r="AZ9" s="179">
        <f t="shared" ca="1" si="37"/>
        <v>9.7916666666666679</v>
      </c>
      <c r="BA9" s="179">
        <f t="shared" ca="1" si="38"/>
        <v>9.7916666666666679</v>
      </c>
    </row>
    <row r="10" spans="1:53">
      <c r="A10" s="173">
        <v>9</v>
      </c>
      <c r="B10" s="157" t="str">
        <f t="shared" si="14"/>
        <v>Zwitserland-Ecuador</v>
      </c>
      <c r="C10" s="298">
        <f ca="1">IF(VLOOKUP($A10,INDIRECT(C$1&amp;loc_voorspell),15,0)&lt;&gt;"",VLOOKUP($A10,INDIRECT(C$1&amp;loc_voorspell),15,0)+C9,"")</f>
        <v>30</v>
      </c>
      <c r="D10" s="298">
        <f ca="1">IF(VLOOKUP($A10,INDIRECT(D$1&amp;loc_voorspell),15,0)&lt;&gt;"",VLOOKUP($A10,INDIRECT(D$1&amp;loc_voorspell),15,0)+D9,"")</f>
        <v>30</v>
      </c>
      <c r="E10" s="298">
        <f ca="1">IF(VLOOKUP($A10,INDIRECT(E$1&amp;loc_voorspell),15,0)&lt;&gt;"",VLOOKUP($A10,INDIRECT(E$1&amp;loc_voorspell),15,0)+E9,"")</f>
        <v>10</v>
      </c>
      <c r="F10" s="298">
        <f ca="1">IF(VLOOKUP($A10,INDIRECT(F$1&amp;loc_voorspell),15,0)&lt;&gt;"",VLOOKUP($A10,INDIRECT(F$1&amp;loc_voorspell),15,0)+F9,"")</f>
        <v>15</v>
      </c>
      <c r="G10" s="298">
        <f ca="1">IF(VLOOKUP($A10,INDIRECT(G$1&amp;loc_voorspell),15,0)&lt;&gt;"",VLOOKUP($A10,INDIRECT(G$1&amp;loc_voorspell),15,0)+G9,"")</f>
        <v>30</v>
      </c>
      <c r="H10" s="298">
        <f ca="1">IF(VLOOKUP($A10,INDIRECT(H$1&amp;loc_voorspell),15,0)&lt;&gt;"",VLOOKUP($A10,INDIRECT(H$1&amp;loc_voorspell),15,0)+H9,"")</f>
        <v>25</v>
      </c>
      <c r="I10" s="298">
        <f ca="1">IF(VLOOKUP($A10,INDIRECT(I$1&amp;loc_voorspell),15,0)&lt;&gt;"",VLOOKUP($A10,INDIRECT(I$1&amp;loc_voorspell),15,0)+I9,"")</f>
        <v>20</v>
      </c>
      <c r="J10" s="298">
        <f ca="1">IF(VLOOKUP($A10,INDIRECT(J$1&amp;loc_voorspell),15,0)&lt;&gt;"",VLOOKUP($A10,INDIRECT(J$1&amp;loc_voorspell),15,0)+J9,"")</f>
        <v>30</v>
      </c>
      <c r="K10" s="298">
        <f ca="1">IF(VLOOKUP($A10,INDIRECT(K$1&amp;loc_voorspell),15,0)&lt;&gt;"",VLOOKUP($A10,INDIRECT(K$1&amp;loc_voorspell),15,0)+K9,"")</f>
        <v>30</v>
      </c>
      <c r="L10" s="298">
        <f ca="1">IF(VLOOKUP($A10,INDIRECT(L$1&amp;loc_voorspell),15,0)&lt;&gt;"",VLOOKUP($A10,INDIRECT(L$1&amp;loc_voorspell),15,0)+L9,"")</f>
        <v>25</v>
      </c>
      <c r="M10" s="298">
        <f ca="1">IF(VLOOKUP($A10,INDIRECT(M$1&amp;loc_voorspell),15,0)&lt;&gt;"",VLOOKUP($A10,INDIRECT(M$1&amp;loc_voorspell),15,0)+M9,"")</f>
        <v>30</v>
      </c>
      <c r="N10" s="298">
        <f ca="1">IF(VLOOKUP($A10,INDIRECT(N$1&amp;loc_voorspell),15,0)&lt;&gt;"",VLOOKUP($A10,INDIRECT(N$1&amp;loc_voorspell),15,0)+N9,"")</f>
        <v>50</v>
      </c>
      <c r="O10" s="298">
        <f ca="1">IF(VLOOKUP($A10,INDIRECT(O$1&amp;loc_voorspell),15,0)&lt;&gt;"",VLOOKUP($A10,INDIRECT(O$1&amp;loc_voorspell),15,0)+O9,"")</f>
        <v>20</v>
      </c>
      <c r="P10" s="298">
        <f ca="1">IF(VLOOKUP($A10,INDIRECT(P$1&amp;loc_voorspell),15,0)&lt;&gt;"",VLOOKUP($A10,INDIRECT(P$1&amp;loc_voorspell),15,0)+P9,"")</f>
        <v>15</v>
      </c>
      <c r="Q10" s="298">
        <f ca="1">IF(VLOOKUP($A10,INDIRECT(Q$1&amp;loc_voorspell),15,0)&lt;&gt;"",VLOOKUP($A10,INDIRECT(Q$1&amp;loc_voorspell),15,0)+Q9,"")</f>
        <v>25</v>
      </c>
      <c r="R10" s="298">
        <f ca="1">IF(VLOOKUP($A10,INDIRECT(R$1&amp;loc_voorspell),15,0)&lt;&gt;"",VLOOKUP($A10,INDIRECT(R$1&amp;loc_voorspell),15,0)+R9,"")</f>
        <v>50</v>
      </c>
      <c r="S10" s="298">
        <f ca="1">IF(VLOOKUP($A10,INDIRECT(S$1&amp;loc_voorspell),15,0)&lt;&gt;"",VLOOKUP($A10,INDIRECT(S$1&amp;loc_voorspell),15,0)+S9,"")</f>
        <v>20</v>
      </c>
      <c r="T10" s="298">
        <f ca="1">IF(VLOOKUP($A10,INDIRECT(T$1&amp;loc_voorspell),15,0)&lt;&gt;"",VLOOKUP($A10,INDIRECT(T$1&amp;loc_voorspell),15,0)+T9,"")</f>
        <v>35</v>
      </c>
      <c r="U10" s="298">
        <f ca="1">IF(VLOOKUP($A10,INDIRECT(U$1&amp;loc_voorspell),15,0)&lt;&gt;"",VLOOKUP($A10,INDIRECT(U$1&amp;loc_voorspell),15,0)+U9,"")</f>
        <v>25</v>
      </c>
      <c r="V10" s="298">
        <f ca="1">IF(VLOOKUP($A10,INDIRECT(V$1&amp;loc_voorspell),15,0)&lt;&gt;"",VLOOKUP($A10,INDIRECT(V$1&amp;loc_voorspell),15,0)+V9,"")</f>
        <v>25</v>
      </c>
      <c r="W10" s="298">
        <f ca="1">IF(VLOOKUP($A10,INDIRECT(W$1&amp;loc_voorspell),15,0)&lt;&gt;"",VLOOKUP($A10,INDIRECT(W$1&amp;loc_voorspell),15,0)+W9,"")</f>
        <v>35</v>
      </c>
      <c r="X10" s="298">
        <f ca="1">IF(VLOOKUP($A10,INDIRECT(X$1&amp;loc_voorspell),15,0)&lt;&gt;"",VLOOKUP($A10,INDIRECT(X$1&amp;loc_voorspell),15,0)+X9,"")</f>
        <v>25</v>
      </c>
      <c r="Y10" s="298">
        <f ca="1">IF(VLOOKUP($A10,INDIRECT(Y$1&amp;loc_voorspell),15,0)&lt;&gt;"",VLOOKUP($A10,INDIRECT(Y$1&amp;loc_voorspell),15,0)+Y9,"")</f>
        <v>35</v>
      </c>
      <c r="Z10" s="298">
        <f ca="1">IF(VLOOKUP($A10,INDIRECT(Z$1&amp;loc_voorspell),15,0)&lt;&gt;"",VLOOKUP($A10,INDIRECT(Z$1&amp;loc_voorspell),15,0)+Z9,"")</f>
        <v>40</v>
      </c>
      <c r="AA10" s="165">
        <f t="shared" ca="1" si="39"/>
        <v>28.125</v>
      </c>
      <c r="AB10" s="178">
        <f t="shared" ca="1" si="41"/>
        <v>2.9166666666666679</v>
      </c>
      <c r="AC10" s="331" t="str">
        <f t="shared" si="40"/>
        <v>Zwitserland-Ecuador</v>
      </c>
      <c r="AD10" s="179">
        <f t="shared" ca="1" si="16"/>
        <v>1.875</v>
      </c>
      <c r="AE10" s="179">
        <f t="shared" ca="1" si="17"/>
        <v>1.875</v>
      </c>
      <c r="AF10" s="179">
        <f t="shared" ca="1" si="18"/>
        <v>-18.125</v>
      </c>
      <c r="AG10" s="179">
        <f t="shared" ca="1" si="19"/>
        <v>-13.125</v>
      </c>
      <c r="AH10" s="179">
        <f t="shared" ca="1" si="20"/>
        <v>1.875</v>
      </c>
      <c r="AI10" s="179">
        <f t="shared" ca="1" si="21"/>
        <v>-3.125</v>
      </c>
      <c r="AJ10" s="179">
        <f t="shared" ca="1" si="22"/>
        <v>-8.125</v>
      </c>
      <c r="AK10" s="179">
        <f t="shared" ca="1" si="23"/>
        <v>1.875</v>
      </c>
      <c r="AL10" s="179">
        <f t="shared" ca="1" si="24"/>
        <v>1.875</v>
      </c>
      <c r="AM10" s="179">
        <f t="shared" ca="1" si="25"/>
        <v>-3.125</v>
      </c>
      <c r="AN10" s="179">
        <f t="shared" ca="1" si="26"/>
        <v>1.875</v>
      </c>
      <c r="AO10" s="179">
        <f t="shared" ca="1" si="27"/>
        <v>-8.125</v>
      </c>
      <c r="AP10" s="179">
        <f t="shared" ca="1" si="28"/>
        <v>-8.125</v>
      </c>
      <c r="AQ10" s="179">
        <f t="shared" ca="1" si="28"/>
        <v>-13.125</v>
      </c>
      <c r="AR10" s="179">
        <f t="shared" ca="1" si="29"/>
        <v>-3.125</v>
      </c>
      <c r="AS10" s="179">
        <f t="shared" ca="1" si="30"/>
        <v>21.875</v>
      </c>
      <c r="AT10" s="179">
        <f t="shared" ca="1" si="31"/>
        <v>-8.125</v>
      </c>
      <c r="AU10" s="179">
        <f t="shared" ca="1" si="32"/>
        <v>6.875</v>
      </c>
      <c r="AV10" s="179">
        <f t="shared" ca="1" si="33"/>
        <v>-3.125</v>
      </c>
      <c r="AW10" s="179">
        <f t="shared" ca="1" si="34"/>
        <v>-3.125</v>
      </c>
      <c r="AX10" s="179">
        <f t="shared" ca="1" si="35"/>
        <v>6.875</v>
      </c>
      <c r="AY10" s="179">
        <f t="shared" ca="1" si="36"/>
        <v>-3.125</v>
      </c>
      <c r="AZ10" s="179">
        <f t="shared" ca="1" si="37"/>
        <v>6.875</v>
      </c>
      <c r="BA10" s="179">
        <f t="shared" ca="1" si="38"/>
        <v>11.875</v>
      </c>
    </row>
    <row r="11" spans="1:53">
      <c r="A11" s="173">
        <v>10</v>
      </c>
      <c r="B11" s="158" t="str">
        <f t="shared" si="14"/>
        <v>Frankrijk-Honduras</v>
      </c>
      <c r="C11" s="299">
        <f ca="1">IF(VLOOKUP($A11,INDIRECT(C$1&amp;loc_voorspell),15,0)&lt;&gt;"",VLOOKUP($A11,INDIRECT(C$1&amp;loc_voorspell),15,0)+C10,"")</f>
        <v>35</v>
      </c>
      <c r="D11" s="299">
        <f ca="1">IF(VLOOKUP($A11,INDIRECT(D$1&amp;loc_voorspell),15,0)&lt;&gt;"",VLOOKUP($A11,INDIRECT(D$1&amp;loc_voorspell),15,0)+D10,"")</f>
        <v>35</v>
      </c>
      <c r="E11" s="299">
        <f ca="1">IF(VLOOKUP($A11,INDIRECT(E$1&amp;loc_voorspell),15,0)&lt;&gt;"",VLOOKUP($A11,INDIRECT(E$1&amp;loc_voorspell),15,0)+E10,"")</f>
        <v>15</v>
      </c>
      <c r="F11" s="299">
        <f ca="1">IF(VLOOKUP($A11,INDIRECT(F$1&amp;loc_voorspell),15,0)&lt;&gt;"",VLOOKUP($A11,INDIRECT(F$1&amp;loc_voorspell),15,0)+F10,"")</f>
        <v>20</v>
      </c>
      <c r="G11" s="299">
        <f ca="1">IF(VLOOKUP($A11,INDIRECT(G$1&amp;loc_voorspell),15,0)&lt;&gt;"",VLOOKUP($A11,INDIRECT(G$1&amp;loc_voorspell),15,0)+G10,"")</f>
        <v>40</v>
      </c>
      <c r="H11" s="299">
        <f ca="1">IF(VLOOKUP($A11,INDIRECT(H$1&amp;loc_voorspell),15,0)&lt;&gt;"",VLOOKUP($A11,INDIRECT(H$1&amp;loc_voorspell),15,0)+H10,"")</f>
        <v>30</v>
      </c>
      <c r="I11" s="299">
        <f ca="1">IF(VLOOKUP($A11,INDIRECT(I$1&amp;loc_voorspell),15,0)&lt;&gt;"",VLOOKUP($A11,INDIRECT(I$1&amp;loc_voorspell),15,0)+I10,"")</f>
        <v>25</v>
      </c>
      <c r="J11" s="299">
        <f ca="1">IF(VLOOKUP($A11,INDIRECT(J$1&amp;loc_voorspell),15,0)&lt;&gt;"",VLOOKUP($A11,INDIRECT(J$1&amp;loc_voorspell),15,0)+J10,"")</f>
        <v>35</v>
      </c>
      <c r="K11" s="299">
        <f ca="1">IF(VLOOKUP($A11,INDIRECT(K$1&amp;loc_voorspell),15,0)&lt;&gt;"",VLOOKUP($A11,INDIRECT(K$1&amp;loc_voorspell),15,0)+K10,"")</f>
        <v>35</v>
      </c>
      <c r="L11" s="299">
        <f ca="1">IF(VLOOKUP($A11,INDIRECT(L$1&amp;loc_voorspell),15,0)&lt;&gt;"",VLOOKUP($A11,INDIRECT(L$1&amp;loc_voorspell),15,0)+L10,"")</f>
        <v>30</v>
      </c>
      <c r="M11" s="299">
        <f ca="1">IF(VLOOKUP($A11,INDIRECT(M$1&amp;loc_voorspell),15,0)&lt;&gt;"",VLOOKUP($A11,INDIRECT(M$1&amp;loc_voorspell),15,0)+M10,"")</f>
        <v>40</v>
      </c>
      <c r="N11" s="299">
        <f ca="1">IF(VLOOKUP($A11,INDIRECT(N$1&amp;loc_voorspell),15,0)&lt;&gt;"",VLOOKUP($A11,INDIRECT(N$1&amp;loc_voorspell),15,0)+N10,"")</f>
        <v>55</v>
      </c>
      <c r="O11" s="299">
        <f ca="1">IF(VLOOKUP($A11,INDIRECT(O$1&amp;loc_voorspell),15,0)&lt;&gt;"",VLOOKUP($A11,INDIRECT(O$1&amp;loc_voorspell),15,0)+O10,"")</f>
        <v>25</v>
      </c>
      <c r="P11" s="299">
        <f ca="1">IF(VLOOKUP($A11,INDIRECT(P$1&amp;loc_voorspell),15,0)&lt;&gt;"",VLOOKUP($A11,INDIRECT(P$1&amp;loc_voorspell),15,0)+P10,"")</f>
        <v>20</v>
      </c>
      <c r="Q11" s="299">
        <f ca="1">IF(VLOOKUP($A11,INDIRECT(Q$1&amp;loc_voorspell),15,0)&lt;&gt;"",VLOOKUP($A11,INDIRECT(Q$1&amp;loc_voorspell),15,0)+Q10,"")</f>
        <v>30</v>
      </c>
      <c r="R11" s="299">
        <f ca="1">IF(VLOOKUP($A11,INDIRECT(R$1&amp;loc_voorspell),15,0)&lt;&gt;"",VLOOKUP($A11,INDIRECT(R$1&amp;loc_voorspell),15,0)+R10,"")</f>
        <v>60</v>
      </c>
      <c r="S11" s="299">
        <f ca="1">IF(VLOOKUP($A11,INDIRECT(S$1&amp;loc_voorspell),15,0)&lt;&gt;"",VLOOKUP($A11,INDIRECT(S$1&amp;loc_voorspell),15,0)+S10,"")</f>
        <v>20</v>
      </c>
      <c r="T11" s="299">
        <f ca="1">IF(VLOOKUP($A11,INDIRECT(T$1&amp;loc_voorspell),15,0)&lt;&gt;"",VLOOKUP($A11,INDIRECT(T$1&amp;loc_voorspell),15,0)+T10,"")</f>
        <v>45</v>
      </c>
      <c r="U11" s="299">
        <f ca="1">IF(VLOOKUP($A11,INDIRECT(U$1&amp;loc_voorspell),15,0)&lt;&gt;"",VLOOKUP($A11,INDIRECT(U$1&amp;loc_voorspell),15,0)+U10,"")</f>
        <v>30</v>
      </c>
      <c r="V11" s="299">
        <f ca="1">IF(VLOOKUP($A11,INDIRECT(V$1&amp;loc_voorspell),15,0)&lt;&gt;"",VLOOKUP($A11,INDIRECT(V$1&amp;loc_voorspell),15,0)+V10,"")</f>
        <v>30</v>
      </c>
      <c r="W11" s="299">
        <f ca="1">IF(VLOOKUP($A11,INDIRECT(W$1&amp;loc_voorspell),15,0)&lt;&gt;"",VLOOKUP($A11,INDIRECT(W$1&amp;loc_voorspell),15,0)+W10,"")</f>
        <v>40</v>
      </c>
      <c r="X11" s="299">
        <f ca="1">IF(VLOOKUP($A11,INDIRECT(X$1&amp;loc_voorspell),15,0)&lt;&gt;"",VLOOKUP($A11,INDIRECT(X$1&amp;loc_voorspell),15,0)+X10,"")</f>
        <v>35</v>
      </c>
      <c r="Y11" s="299">
        <f ca="1">IF(VLOOKUP($A11,INDIRECT(Y$1&amp;loc_voorspell),15,0)&lt;&gt;"",VLOOKUP($A11,INDIRECT(Y$1&amp;loc_voorspell),15,0)+Y10,"")</f>
        <v>40</v>
      </c>
      <c r="Z11" s="299">
        <f ca="1">IF(VLOOKUP($A11,INDIRECT(Z$1&amp;loc_voorspell),15,0)&lt;&gt;"",VLOOKUP($A11,INDIRECT(Z$1&amp;loc_voorspell),15,0)+Z10,"")</f>
        <v>45</v>
      </c>
      <c r="AA11" s="165">
        <f t="shared" ca="1" si="39"/>
        <v>33.958333333333336</v>
      </c>
      <c r="AB11" s="178">
        <f t="shared" ca="1" si="41"/>
        <v>5.8333333333333357</v>
      </c>
      <c r="AC11" s="331" t="str">
        <f t="shared" si="40"/>
        <v>Frankrijk-Honduras</v>
      </c>
      <c r="AD11" s="179">
        <f t="shared" ca="1" si="16"/>
        <v>1.0416666666666643</v>
      </c>
      <c r="AE11" s="179">
        <f t="shared" ca="1" si="17"/>
        <v>1.0416666666666643</v>
      </c>
      <c r="AF11" s="179">
        <f t="shared" ca="1" si="18"/>
        <v>-18.958333333333336</v>
      </c>
      <c r="AG11" s="179">
        <f t="shared" ca="1" si="19"/>
        <v>-13.958333333333336</v>
      </c>
      <c r="AH11" s="179">
        <f t="shared" ca="1" si="20"/>
        <v>6.0416666666666643</v>
      </c>
      <c r="AI11" s="179">
        <f t="shared" ca="1" si="21"/>
        <v>-3.9583333333333357</v>
      </c>
      <c r="AJ11" s="179">
        <f t="shared" ca="1" si="22"/>
        <v>-8.9583333333333357</v>
      </c>
      <c r="AK11" s="179">
        <f t="shared" ca="1" si="23"/>
        <v>1.0416666666666643</v>
      </c>
      <c r="AL11" s="179">
        <f t="shared" ca="1" si="24"/>
        <v>1.0416666666666643</v>
      </c>
      <c r="AM11" s="179">
        <f t="shared" ca="1" si="25"/>
        <v>-3.9583333333333357</v>
      </c>
      <c r="AN11" s="179">
        <f t="shared" ca="1" si="26"/>
        <v>6.0416666666666643</v>
      </c>
      <c r="AO11" s="179">
        <f t="shared" ca="1" si="27"/>
        <v>-8.9583333333333357</v>
      </c>
      <c r="AP11" s="179">
        <f t="shared" ca="1" si="28"/>
        <v>-8.9583333333333357</v>
      </c>
      <c r="AQ11" s="179">
        <f t="shared" ca="1" si="28"/>
        <v>-13.958333333333336</v>
      </c>
      <c r="AR11" s="179">
        <f t="shared" ca="1" si="29"/>
        <v>-3.9583333333333357</v>
      </c>
      <c r="AS11" s="179">
        <f t="shared" ca="1" si="30"/>
        <v>26.041666666666664</v>
      </c>
      <c r="AT11" s="179">
        <f t="shared" ca="1" si="31"/>
        <v>-13.958333333333336</v>
      </c>
      <c r="AU11" s="179">
        <f t="shared" ca="1" si="32"/>
        <v>11.041666666666664</v>
      </c>
      <c r="AV11" s="179">
        <f t="shared" ca="1" si="33"/>
        <v>-3.9583333333333357</v>
      </c>
      <c r="AW11" s="179">
        <f t="shared" ca="1" si="34"/>
        <v>-3.9583333333333357</v>
      </c>
      <c r="AX11" s="179">
        <f t="shared" ca="1" si="35"/>
        <v>6.0416666666666643</v>
      </c>
      <c r="AY11" s="179">
        <f t="shared" ca="1" si="36"/>
        <v>1.0416666666666643</v>
      </c>
      <c r="AZ11" s="179">
        <f t="shared" ca="1" si="37"/>
        <v>6.0416666666666643</v>
      </c>
      <c r="BA11" s="179">
        <f t="shared" ca="1" si="38"/>
        <v>11.041666666666664</v>
      </c>
    </row>
    <row r="12" spans="1:53">
      <c r="A12" s="173">
        <v>11</v>
      </c>
      <c r="B12" s="157" t="str">
        <f t="shared" si="14"/>
        <v>Argentinië-Bosnië-Herzegovina</v>
      </c>
      <c r="C12" s="298">
        <f ca="1">IF(VLOOKUP($A12,INDIRECT(C$1&amp;loc_voorspell),15,0)&lt;&gt;"",VLOOKUP($A12,INDIRECT(C$1&amp;loc_voorspell),15,0)+C11,"")</f>
        <v>45</v>
      </c>
      <c r="D12" s="298">
        <f ca="1">IF(VLOOKUP($A12,INDIRECT(D$1&amp;loc_voorspell),15,0)&lt;&gt;"",VLOOKUP($A12,INDIRECT(D$1&amp;loc_voorspell),15,0)+D11,"")</f>
        <v>40</v>
      </c>
      <c r="E12" s="298">
        <f ca="1">IF(VLOOKUP($A12,INDIRECT(E$1&amp;loc_voorspell),15,0)&lt;&gt;"",VLOOKUP($A12,INDIRECT(E$1&amp;loc_voorspell),15,0)+E11,"")</f>
        <v>20</v>
      </c>
      <c r="F12" s="298">
        <f ca="1">IF(VLOOKUP($A12,INDIRECT(F$1&amp;loc_voorspell),15,0)&lt;&gt;"",VLOOKUP($A12,INDIRECT(F$1&amp;loc_voorspell),15,0)+F11,"")</f>
        <v>25</v>
      </c>
      <c r="G12" s="298">
        <f ca="1">IF(VLOOKUP($A12,INDIRECT(G$1&amp;loc_voorspell),15,0)&lt;&gt;"",VLOOKUP($A12,INDIRECT(G$1&amp;loc_voorspell),15,0)+G11,"")</f>
        <v>40</v>
      </c>
      <c r="H12" s="298">
        <f ca="1">IF(VLOOKUP($A12,INDIRECT(H$1&amp;loc_voorspell),15,0)&lt;&gt;"",VLOOKUP($A12,INDIRECT(H$1&amp;loc_voorspell),15,0)+H11,"")</f>
        <v>40</v>
      </c>
      <c r="I12" s="298">
        <f ca="1">IF(VLOOKUP($A12,INDIRECT(I$1&amp;loc_voorspell),15,0)&lt;&gt;"",VLOOKUP($A12,INDIRECT(I$1&amp;loc_voorspell),15,0)+I11,"")</f>
        <v>30</v>
      </c>
      <c r="J12" s="298">
        <f ca="1">IF(VLOOKUP($A12,INDIRECT(J$1&amp;loc_voorspell),15,0)&lt;&gt;"",VLOOKUP($A12,INDIRECT(J$1&amp;loc_voorspell),15,0)+J11,"")</f>
        <v>45</v>
      </c>
      <c r="K12" s="298">
        <f ca="1">IF(VLOOKUP($A12,INDIRECT(K$1&amp;loc_voorspell),15,0)&lt;&gt;"",VLOOKUP($A12,INDIRECT(K$1&amp;loc_voorspell),15,0)+K11,"")</f>
        <v>40</v>
      </c>
      <c r="L12" s="298">
        <f ca="1">IF(VLOOKUP($A12,INDIRECT(L$1&amp;loc_voorspell),15,0)&lt;&gt;"",VLOOKUP($A12,INDIRECT(L$1&amp;loc_voorspell),15,0)+L11,"")</f>
        <v>35</v>
      </c>
      <c r="M12" s="298">
        <f ca="1">IF(VLOOKUP($A12,INDIRECT(M$1&amp;loc_voorspell),15,0)&lt;&gt;"",VLOOKUP($A12,INDIRECT(M$1&amp;loc_voorspell),15,0)+M11,"")</f>
        <v>40</v>
      </c>
      <c r="N12" s="298">
        <f ca="1">IF(VLOOKUP($A12,INDIRECT(N$1&amp;loc_voorspell),15,0)&lt;&gt;"",VLOOKUP($A12,INDIRECT(N$1&amp;loc_voorspell),15,0)+N11,"")</f>
        <v>60</v>
      </c>
      <c r="O12" s="298">
        <f ca="1">IF(VLOOKUP($A12,INDIRECT(O$1&amp;loc_voorspell),15,0)&lt;&gt;"",VLOOKUP($A12,INDIRECT(O$1&amp;loc_voorspell),15,0)+O11,"")</f>
        <v>30</v>
      </c>
      <c r="P12" s="298">
        <f ca="1">IF(VLOOKUP($A12,INDIRECT(P$1&amp;loc_voorspell),15,0)&lt;&gt;"",VLOOKUP($A12,INDIRECT(P$1&amp;loc_voorspell),15,0)+P11,"")</f>
        <v>30</v>
      </c>
      <c r="Q12" s="298">
        <f ca="1">IF(VLOOKUP($A12,INDIRECT(Q$1&amp;loc_voorspell),15,0)&lt;&gt;"",VLOOKUP($A12,INDIRECT(Q$1&amp;loc_voorspell),15,0)+Q11,"")</f>
        <v>35</v>
      </c>
      <c r="R12" s="298">
        <f ca="1">IF(VLOOKUP($A12,INDIRECT(R$1&amp;loc_voorspell),15,0)&lt;&gt;"",VLOOKUP($A12,INDIRECT(R$1&amp;loc_voorspell),15,0)+R11,"")</f>
        <v>65</v>
      </c>
      <c r="S12" s="298">
        <f ca="1">IF(VLOOKUP($A12,INDIRECT(S$1&amp;loc_voorspell),15,0)&lt;&gt;"",VLOOKUP($A12,INDIRECT(S$1&amp;loc_voorspell),15,0)+S11,"")</f>
        <v>25</v>
      </c>
      <c r="T12" s="298">
        <f ca="1">IF(VLOOKUP($A12,INDIRECT(T$1&amp;loc_voorspell),15,0)&lt;&gt;"",VLOOKUP($A12,INDIRECT(T$1&amp;loc_voorspell),15,0)+T11,"")</f>
        <v>50</v>
      </c>
      <c r="U12" s="298">
        <f ca="1">IF(VLOOKUP($A12,INDIRECT(U$1&amp;loc_voorspell),15,0)&lt;&gt;"",VLOOKUP($A12,INDIRECT(U$1&amp;loc_voorspell),15,0)+U11,"")</f>
        <v>35</v>
      </c>
      <c r="V12" s="298">
        <f ca="1">IF(VLOOKUP($A12,INDIRECT(V$1&amp;loc_voorspell),15,0)&lt;&gt;"",VLOOKUP($A12,INDIRECT(V$1&amp;loc_voorspell),15,0)+V11,"")</f>
        <v>30</v>
      </c>
      <c r="W12" s="298">
        <f ca="1">IF(VLOOKUP($A12,INDIRECT(W$1&amp;loc_voorspell),15,0)&lt;&gt;"",VLOOKUP($A12,INDIRECT(W$1&amp;loc_voorspell),15,0)+W11,"")</f>
        <v>45</v>
      </c>
      <c r="X12" s="298">
        <f ca="1">IF(VLOOKUP($A12,INDIRECT(X$1&amp;loc_voorspell),15,0)&lt;&gt;"",VLOOKUP($A12,INDIRECT(X$1&amp;loc_voorspell),15,0)+X11,"")</f>
        <v>40</v>
      </c>
      <c r="Y12" s="298">
        <f ca="1">IF(VLOOKUP($A12,INDIRECT(Y$1&amp;loc_voorspell),15,0)&lt;&gt;"",VLOOKUP($A12,INDIRECT(Y$1&amp;loc_voorspell),15,0)+Y11,"")</f>
        <v>45</v>
      </c>
      <c r="Z12" s="298">
        <f ca="1">IF(VLOOKUP($A12,INDIRECT(Z$1&amp;loc_voorspell),15,0)&lt;&gt;"",VLOOKUP($A12,INDIRECT(Z$1&amp;loc_voorspell),15,0)+Z11,"")</f>
        <v>50</v>
      </c>
      <c r="AA12" s="165">
        <f t="shared" ca="1" si="39"/>
        <v>39.166666666666664</v>
      </c>
      <c r="AB12" s="178">
        <f t="shared" ca="1" si="41"/>
        <v>5.2083333333333286</v>
      </c>
      <c r="AC12" s="331" t="str">
        <f t="shared" si="40"/>
        <v>Argentinië-Bosnië-Herzegovina</v>
      </c>
      <c r="AD12" s="179">
        <f t="shared" ca="1" si="16"/>
        <v>5.8333333333333357</v>
      </c>
      <c r="AE12" s="179">
        <f t="shared" ca="1" si="17"/>
        <v>0.8333333333333357</v>
      </c>
      <c r="AF12" s="179">
        <f t="shared" ca="1" si="18"/>
        <v>-19.166666666666664</v>
      </c>
      <c r="AG12" s="179">
        <f t="shared" ca="1" si="19"/>
        <v>-14.166666666666664</v>
      </c>
      <c r="AH12" s="179">
        <f t="shared" ca="1" si="20"/>
        <v>0.8333333333333357</v>
      </c>
      <c r="AI12" s="179">
        <f t="shared" ca="1" si="21"/>
        <v>0.8333333333333357</v>
      </c>
      <c r="AJ12" s="179">
        <f t="shared" ca="1" si="22"/>
        <v>-9.1666666666666643</v>
      </c>
      <c r="AK12" s="179">
        <f t="shared" ca="1" si="23"/>
        <v>5.8333333333333357</v>
      </c>
      <c r="AL12" s="179">
        <f t="shared" ca="1" si="24"/>
        <v>0.8333333333333357</v>
      </c>
      <c r="AM12" s="179">
        <f t="shared" ca="1" si="25"/>
        <v>-4.1666666666666643</v>
      </c>
      <c r="AN12" s="179">
        <f t="shared" ca="1" si="26"/>
        <v>0.8333333333333357</v>
      </c>
      <c r="AO12" s="179">
        <f t="shared" ca="1" si="27"/>
        <v>-9.1666666666666643</v>
      </c>
      <c r="AP12" s="179">
        <f t="shared" ca="1" si="28"/>
        <v>-9.1666666666666643</v>
      </c>
      <c r="AQ12" s="179">
        <f t="shared" ca="1" si="28"/>
        <v>-9.1666666666666643</v>
      </c>
      <c r="AR12" s="179">
        <f t="shared" ca="1" si="29"/>
        <v>-4.1666666666666643</v>
      </c>
      <c r="AS12" s="179">
        <f t="shared" ca="1" si="30"/>
        <v>25.833333333333336</v>
      </c>
      <c r="AT12" s="179">
        <f t="shared" ca="1" si="31"/>
        <v>-14.166666666666664</v>
      </c>
      <c r="AU12" s="179">
        <f t="shared" ca="1" si="32"/>
        <v>10.833333333333336</v>
      </c>
      <c r="AV12" s="179">
        <f t="shared" ca="1" si="33"/>
        <v>-4.1666666666666643</v>
      </c>
      <c r="AW12" s="179">
        <f t="shared" ca="1" si="34"/>
        <v>-9.1666666666666643</v>
      </c>
      <c r="AX12" s="179">
        <f t="shared" ca="1" si="35"/>
        <v>5.8333333333333357</v>
      </c>
      <c r="AY12" s="179">
        <f t="shared" ca="1" si="36"/>
        <v>0.8333333333333357</v>
      </c>
      <c r="AZ12" s="179">
        <f t="shared" ca="1" si="37"/>
        <v>5.8333333333333357</v>
      </c>
      <c r="BA12" s="179">
        <f t="shared" ca="1" si="38"/>
        <v>10.833333333333336</v>
      </c>
    </row>
    <row r="13" spans="1:53">
      <c r="A13" s="173">
        <v>13</v>
      </c>
      <c r="B13" s="158" t="str">
        <f t="shared" si="14"/>
        <v>Duitsland-Portugal</v>
      </c>
      <c r="C13" s="299">
        <f ca="1">IF(VLOOKUP($A13,INDIRECT(C$1&amp;loc_voorspell),15,0)&lt;&gt;"",VLOOKUP($A13,INDIRECT(C$1&amp;loc_voorspell),15,0)+C12,"")</f>
        <v>50</v>
      </c>
      <c r="D13" s="299">
        <f ca="1">IF(VLOOKUP($A13,INDIRECT(D$1&amp;loc_voorspell),15,0)&lt;&gt;"",VLOOKUP($A13,INDIRECT(D$1&amp;loc_voorspell),15,0)+D12,"")</f>
        <v>45</v>
      </c>
      <c r="E13" s="299">
        <f ca="1">IF(VLOOKUP($A13,INDIRECT(E$1&amp;loc_voorspell),15,0)&lt;&gt;"",VLOOKUP($A13,INDIRECT(E$1&amp;loc_voorspell),15,0)+E12,"")</f>
        <v>25</v>
      </c>
      <c r="F13" s="299">
        <f ca="1">IF(VLOOKUP($A13,INDIRECT(F$1&amp;loc_voorspell),15,0)&lt;&gt;"",VLOOKUP($A13,INDIRECT(F$1&amp;loc_voorspell),15,0)+F12,"")</f>
        <v>30</v>
      </c>
      <c r="G13" s="299">
        <f ca="1">IF(VLOOKUP($A13,INDIRECT(G$1&amp;loc_voorspell),15,0)&lt;&gt;"",VLOOKUP($A13,INDIRECT(G$1&amp;loc_voorspell),15,0)+G12,"")</f>
        <v>40</v>
      </c>
      <c r="H13" s="299">
        <f ca="1">IF(VLOOKUP($A13,INDIRECT(H$1&amp;loc_voorspell),15,0)&lt;&gt;"",VLOOKUP($A13,INDIRECT(H$1&amp;loc_voorspell),15,0)+H12,"")</f>
        <v>40</v>
      </c>
      <c r="I13" s="299">
        <f ca="1">IF(VLOOKUP($A13,INDIRECT(I$1&amp;loc_voorspell),15,0)&lt;&gt;"",VLOOKUP($A13,INDIRECT(I$1&amp;loc_voorspell),15,0)+I12,"")</f>
        <v>30</v>
      </c>
      <c r="J13" s="299">
        <f ca="1">IF(VLOOKUP($A13,INDIRECT(J$1&amp;loc_voorspell),15,0)&lt;&gt;"",VLOOKUP($A13,INDIRECT(J$1&amp;loc_voorspell),15,0)+J12,"")</f>
        <v>45</v>
      </c>
      <c r="K13" s="299">
        <f ca="1">IF(VLOOKUP($A13,INDIRECT(K$1&amp;loc_voorspell),15,0)&lt;&gt;"",VLOOKUP($A13,INDIRECT(K$1&amp;loc_voorspell),15,0)+K12,"")</f>
        <v>45</v>
      </c>
      <c r="L13" s="299">
        <f ca="1">IF(VLOOKUP($A13,INDIRECT(L$1&amp;loc_voorspell),15,0)&lt;&gt;"",VLOOKUP($A13,INDIRECT(L$1&amp;loc_voorspell),15,0)+L12,"")</f>
        <v>35</v>
      </c>
      <c r="M13" s="299">
        <f ca="1">IF(VLOOKUP($A13,INDIRECT(M$1&amp;loc_voorspell),15,0)&lt;&gt;"",VLOOKUP($A13,INDIRECT(M$1&amp;loc_voorspell),15,0)+M12,"")</f>
        <v>40</v>
      </c>
      <c r="N13" s="299">
        <f ca="1">IF(VLOOKUP($A13,INDIRECT(N$1&amp;loc_voorspell),15,0)&lt;&gt;"",VLOOKUP($A13,INDIRECT(N$1&amp;loc_voorspell),15,0)+N12,"")</f>
        <v>65</v>
      </c>
      <c r="O13" s="299">
        <f ca="1">IF(VLOOKUP($A13,INDIRECT(O$1&amp;loc_voorspell),15,0)&lt;&gt;"",VLOOKUP($A13,INDIRECT(O$1&amp;loc_voorspell),15,0)+O12,"")</f>
        <v>30</v>
      </c>
      <c r="P13" s="299">
        <f ca="1">IF(VLOOKUP($A13,INDIRECT(P$1&amp;loc_voorspell),15,0)&lt;&gt;"",VLOOKUP($A13,INDIRECT(P$1&amp;loc_voorspell),15,0)+P12,"")</f>
        <v>30</v>
      </c>
      <c r="Q13" s="299">
        <f ca="1">IF(VLOOKUP($A13,INDIRECT(Q$1&amp;loc_voorspell),15,0)&lt;&gt;"",VLOOKUP($A13,INDIRECT(Q$1&amp;loc_voorspell),15,0)+Q12,"")</f>
        <v>35</v>
      </c>
      <c r="R13" s="299">
        <f ca="1">IF(VLOOKUP($A13,INDIRECT(R$1&amp;loc_voorspell),15,0)&lt;&gt;"",VLOOKUP($A13,INDIRECT(R$1&amp;loc_voorspell),15,0)+R12,"")</f>
        <v>70</v>
      </c>
      <c r="S13" s="299">
        <f ca="1">IF(VLOOKUP($A13,INDIRECT(S$1&amp;loc_voorspell),15,0)&lt;&gt;"",VLOOKUP($A13,INDIRECT(S$1&amp;loc_voorspell),15,0)+S12,"")</f>
        <v>25</v>
      </c>
      <c r="T13" s="299">
        <f ca="1">IF(VLOOKUP($A13,INDIRECT(T$1&amp;loc_voorspell),15,0)&lt;&gt;"",VLOOKUP($A13,INDIRECT(T$1&amp;loc_voorspell),15,0)+T12,"")</f>
        <v>55</v>
      </c>
      <c r="U13" s="299">
        <f ca="1">IF(VLOOKUP($A13,INDIRECT(U$1&amp;loc_voorspell),15,0)&lt;&gt;"",VLOOKUP($A13,INDIRECT(U$1&amp;loc_voorspell),15,0)+U12,"")</f>
        <v>35</v>
      </c>
      <c r="V13" s="299">
        <f ca="1">IF(VLOOKUP($A13,INDIRECT(V$1&amp;loc_voorspell),15,0)&lt;&gt;"",VLOOKUP($A13,INDIRECT(V$1&amp;loc_voorspell),15,0)+V12,"")</f>
        <v>30</v>
      </c>
      <c r="W13" s="299">
        <f ca="1">IF(VLOOKUP($A13,INDIRECT(W$1&amp;loc_voorspell),15,0)&lt;&gt;"",VLOOKUP($A13,INDIRECT(W$1&amp;loc_voorspell),15,0)+W12,"")</f>
        <v>50</v>
      </c>
      <c r="X13" s="299">
        <f ca="1">IF(VLOOKUP($A13,INDIRECT(X$1&amp;loc_voorspell),15,0)&lt;&gt;"",VLOOKUP($A13,INDIRECT(X$1&amp;loc_voorspell),15,0)+X12,"")</f>
        <v>40</v>
      </c>
      <c r="Y13" s="299">
        <f ca="1">IF(VLOOKUP($A13,INDIRECT(Y$1&amp;loc_voorspell),15,0)&lt;&gt;"",VLOOKUP($A13,INDIRECT(Y$1&amp;loc_voorspell),15,0)+Y12,"")</f>
        <v>45</v>
      </c>
      <c r="Z13" s="299">
        <f ca="1">IF(VLOOKUP($A13,INDIRECT(Z$1&amp;loc_voorspell),15,0)&lt;&gt;"",VLOOKUP($A13,INDIRECT(Z$1&amp;loc_voorspell),15,0)+Z12,"")</f>
        <v>50</v>
      </c>
      <c r="AA13" s="165">
        <f t="shared" ca="1" si="39"/>
        <v>41.041666666666664</v>
      </c>
      <c r="AB13" s="178">
        <f t="shared" ca="1" si="41"/>
        <v>1.875</v>
      </c>
      <c r="AC13" s="331" t="str">
        <f t="shared" si="40"/>
        <v>Duitsland-Portugal</v>
      </c>
      <c r="AD13" s="179">
        <f t="shared" ca="1" si="16"/>
        <v>8.9583333333333357</v>
      </c>
      <c r="AE13" s="179">
        <f t="shared" ca="1" si="17"/>
        <v>3.9583333333333357</v>
      </c>
      <c r="AF13" s="179">
        <f t="shared" ca="1" si="18"/>
        <v>-16.041666666666664</v>
      </c>
      <c r="AG13" s="179">
        <f t="shared" ca="1" si="19"/>
        <v>-11.041666666666664</v>
      </c>
      <c r="AH13" s="179">
        <f t="shared" ca="1" si="20"/>
        <v>-1.0416666666666643</v>
      </c>
      <c r="AI13" s="179">
        <f t="shared" ca="1" si="21"/>
        <v>-1.0416666666666643</v>
      </c>
      <c r="AJ13" s="179">
        <f t="shared" ca="1" si="22"/>
        <v>-11.041666666666664</v>
      </c>
      <c r="AK13" s="179">
        <f t="shared" ca="1" si="23"/>
        <v>3.9583333333333357</v>
      </c>
      <c r="AL13" s="179">
        <f t="shared" ca="1" si="24"/>
        <v>3.9583333333333357</v>
      </c>
      <c r="AM13" s="179">
        <f t="shared" ca="1" si="25"/>
        <v>-6.0416666666666643</v>
      </c>
      <c r="AN13" s="179">
        <f t="shared" ca="1" si="26"/>
        <v>-1.0416666666666643</v>
      </c>
      <c r="AO13" s="179">
        <f t="shared" ca="1" si="27"/>
        <v>-11.041666666666664</v>
      </c>
      <c r="AP13" s="179">
        <f t="shared" ca="1" si="28"/>
        <v>-11.041666666666664</v>
      </c>
      <c r="AQ13" s="179">
        <f t="shared" ca="1" si="28"/>
        <v>-11.041666666666664</v>
      </c>
      <c r="AR13" s="179">
        <f t="shared" ca="1" si="29"/>
        <v>-6.0416666666666643</v>
      </c>
      <c r="AS13" s="179">
        <f t="shared" ca="1" si="30"/>
        <v>28.958333333333336</v>
      </c>
      <c r="AT13" s="179">
        <f t="shared" ca="1" si="31"/>
        <v>-16.041666666666664</v>
      </c>
      <c r="AU13" s="179">
        <f t="shared" ca="1" si="32"/>
        <v>13.958333333333336</v>
      </c>
      <c r="AV13" s="179">
        <f t="shared" ca="1" si="33"/>
        <v>-6.0416666666666643</v>
      </c>
      <c r="AW13" s="179">
        <f t="shared" ca="1" si="34"/>
        <v>-11.041666666666664</v>
      </c>
      <c r="AX13" s="179">
        <f t="shared" ca="1" si="35"/>
        <v>8.9583333333333357</v>
      </c>
      <c r="AY13" s="179">
        <f t="shared" ca="1" si="36"/>
        <v>-1.0416666666666643</v>
      </c>
      <c r="AZ13" s="179">
        <f t="shared" ca="1" si="37"/>
        <v>3.9583333333333357</v>
      </c>
      <c r="BA13" s="179">
        <f t="shared" ca="1" si="38"/>
        <v>8.9583333333333357</v>
      </c>
    </row>
    <row r="14" spans="1:53">
      <c r="A14" s="173">
        <v>12</v>
      </c>
      <c r="B14" s="157" t="str">
        <f t="shared" si="14"/>
        <v>Iran-Nigeria</v>
      </c>
      <c r="C14" s="298">
        <f ca="1">IF(VLOOKUP($A14,INDIRECT(C$1&amp;loc_voorspell),15,0)&lt;&gt;"",VLOOKUP($A14,INDIRECT(C$1&amp;loc_voorspell),15,0)+C13,"")</f>
        <v>50</v>
      </c>
      <c r="D14" s="298">
        <f ca="1">IF(VLOOKUP($A14,INDIRECT(D$1&amp;loc_voorspell),15,0)&lt;&gt;"",VLOOKUP($A14,INDIRECT(D$1&amp;loc_voorspell),15,0)+D13,"")</f>
        <v>45</v>
      </c>
      <c r="E14" s="298">
        <f ca="1">IF(VLOOKUP($A14,INDIRECT(E$1&amp;loc_voorspell),15,0)&lt;&gt;"",VLOOKUP($A14,INDIRECT(E$1&amp;loc_voorspell),15,0)+E13,"")</f>
        <v>25</v>
      </c>
      <c r="F14" s="298">
        <f ca="1">IF(VLOOKUP($A14,INDIRECT(F$1&amp;loc_voorspell),15,0)&lt;&gt;"",VLOOKUP($A14,INDIRECT(F$1&amp;loc_voorspell),15,0)+F13,"")</f>
        <v>40</v>
      </c>
      <c r="G14" s="298">
        <f ca="1">IF(VLOOKUP($A14,INDIRECT(G$1&amp;loc_voorspell),15,0)&lt;&gt;"",VLOOKUP($A14,INDIRECT(G$1&amp;loc_voorspell),15,0)+G13,"")</f>
        <v>45</v>
      </c>
      <c r="H14" s="298">
        <f ca="1">IF(VLOOKUP($A14,INDIRECT(H$1&amp;loc_voorspell),15,0)&lt;&gt;"",VLOOKUP($A14,INDIRECT(H$1&amp;loc_voorspell),15,0)+H13,"")</f>
        <v>40</v>
      </c>
      <c r="I14" s="298">
        <f ca="1">IF(VLOOKUP($A14,INDIRECT(I$1&amp;loc_voorspell),15,0)&lt;&gt;"",VLOOKUP($A14,INDIRECT(I$1&amp;loc_voorspell),15,0)+I13,"")</f>
        <v>30</v>
      </c>
      <c r="J14" s="298">
        <f ca="1">IF(VLOOKUP($A14,INDIRECT(J$1&amp;loc_voorspell),15,0)&lt;&gt;"",VLOOKUP($A14,INDIRECT(J$1&amp;loc_voorspell),15,0)+J13,"")</f>
        <v>50</v>
      </c>
      <c r="K14" s="298">
        <f ca="1">IF(VLOOKUP($A14,INDIRECT(K$1&amp;loc_voorspell),15,0)&lt;&gt;"",VLOOKUP($A14,INDIRECT(K$1&amp;loc_voorspell),15,0)+K13,"")</f>
        <v>45</v>
      </c>
      <c r="L14" s="298">
        <f ca="1">IF(VLOOKUP($A14,INDIRECT(L$1&amp;loc_voorspell),15,0)&lt;&gt;"",VLOOKUP($A14,INDIRECT(L$1&amp;loc_voorspell),15,0)+L13,"")</f>
        <v>35</v>
      </c>
      <c r="M14" s="298">
        <f ca="1">IF(VLOOKUP($A14,INDIRECT(M$1&amp;loc_voorspell),15,0)&lt;&gt;"",VLOOKUP($A14,INDIRECT(M$1&amp;loc_voorspell),15,0)+M13,"")</f>
        <v>40</v>
      </c>
      <c r="N14" s="298">
        <f ca="1">IF(VLOOKUP($A14,INDIRECT(N$1&amp;loc_voorspell),15,0)&lt;&gt;"",VLOOKUP($A14,INDIRECT(N$1&amp;loc_voorspell),15,0)+N13,"")</f>
        <v>65</v>
      </c>
      <c r="O14" s="298">
        <f ca="1">IF(VLOOKUP($A14,INDIRECT(O$1&amp;loc_voorspell),15,0)&lt;&gt;"",VLOOKUP($A14,INDIRECT(O$1&amp;loc_voorspell),15,0)+O13,"")</f>
        <v>30</v>
      </c>
      <c r="P14" s="298">
        <f ca="1">IF(VLOOKUP($A14,INDIRECT(P$1&amp;loc_voorspell),15,0)&lt;&gt;"",VLOOKUP($A14,INDIRECT(P$1&amp;loc_voorspell),15,0)+P13,"")</f>
        <v>30</v>
      </c>
      <c r="Q14" s="298">
        <f ca="1">IF(VLOOKUP($A14,INDIRECT(Q$1&amp;loc_voorspell),15,0)&lt;&gt;"",VLOOKUP($A14,INDIRECT(Q$1&amp;loc_voorspell),15,0)+Q13,"")</f>
        <v>40</v>
      </c>
      <c r="R14" s="298">
        <f ca="1">IF(VLOOKUP($A14,INDIRECT(R$1&amp;loc_voorspell),15,0)&lt;&gt;"",VLOOKUP($A14,INDIRECT(R$1&amp;loc_voorspell),15,0)+R13,"")</f>
        <v>70</v>
      </c>
      <c r="S14" s="298">
        <f ca="1">IF(VLOOKUP($A14,INDIRECT(S$1&amp;loc_voorspell),15,0)&lt;&gt;"",VLOOKUP($A14,INDIRECT(S$1&amp;loc_voorspell),15,0)+S13,"")</f>
        <v>35</v>
      </c>
      <c r="T14" s="298">
        <f ca="1">IF(VLOOKUP($A14,INDIRECT(T$1&amp;loc_voorspell),15,0)&lt;&gt;"",VLOOKUP($A14,INDIRECT(T$1&amp;loc_voorspell),15,0)+T13,"")</f>
        <v>55</v>
      </c>
      <c r="U14" s="298">
        <f ca="1">IF(VLOOKUP($A14,INDIRECT(U$1&amp;loc_voorspell),15,0)&lt;&gt;"",VLOOKUP($A14,INDIRECT(U$1&amp;loc_voorspell),15,0)+U13,"")</f>
        <v>35</v>
      </c>
      <c r="V14" s="298">
        <f ca="1">IF(VLOOKUP($A14,INDIRECT(V$1&amp;loc_voorspell),15,0)&lt;&gt;"",VLOOKUP($A14,INDIRECT(V$1&amp;loc_voorspell),15,0)+V13,"")</f>
        <v>30</v>
      </c>
      <c r="W14" s="298">
        <f ca="1">IF(VLOOKUP($A14,INDIRECT(W$1&amp;loc_voorspell),15,0)&lt;&gt;"",VLOOKUP($A14,INDIRECT(W$1&amp;loc_voorspell),15,0)+W13,"")</f>
        <v>50</v>
      </c>
      <c r="X14" s="298">
        <f ca="1">IF(VLOOKUP($A14,INDIRECT(X$1&amp;loc_voorspell),15,0)&lt;&gt;"",VLOOKUP($A14,INDIRECT(X$1&amp;loc_voorspell),15,0)+X13,"")</f>
        <v>40</v>
      </c>
      <c r="Y14" s="298">
        <f ca="1">IF(VLOOKUP($A14,INDIRECT(Y$1&amp;loc_voorspell),15,0)&lt;&gt;"",VLOOKUP($A14,INDIRECT(Y$1&amp;loc_voorspell),15,0)+Y13,"")</f>
        <v>45</v>
      </c>
      <c r="Z14" s="298">
        <f ca="1">IF(VLOOKUP($A14,INDIRECT(Z$1&amp;loc_voorspell),15,0)&lt;&gt;"",VLOOKUP($A14,INDIRECT(Z$1&amp;loc_voorspell),15,0)+Z13,"")</f>
        <v>50</v>
      </c>
      <c r="AA14" s="165">
        <f t="shared" ca="1" si="39"/>
        <v>42.5</v>
      </c>
      <c r="AB14" s="178">
        <f t="shared" ca="1" si="41"/>
        <v>1.4583333333333357</v>
      </c>
      <c r="AC14" s="331" t="str">
        <f t="shared" si="40"/>
        <v>Iran-Nigeria</v>
      </c>
      <c r="AD14" s="179">
        <f t="shared" ca="1" si="16"/>
        <v>7.5</v>
      </c>
      <c r="AE14" s="179">
        <f t="shared" ca="1" si="17"/>
        <v>2.5</v>
      </c>
      <c r="AF14" s="179">
        <f t="shared" ca="1" si="18"/>
        <v>-17.5</v>
      </c>
      <c r="AG14" s="179">
        <f t="shared" ca="1" si="19"/>
        <v>-2.5</v>
      </c>
      <c r="AH14" s="179">
        <f t="shared" ca="1" si="20"/>
        <v>2.5</v>
      </c>
      <c r="AI14" s="179">
        <f t="shared" ca="1" si="21"/>
        <v>-2.5</v>
      </c>
      <c r="AJ14" s="179">
        <f t="shared" ca="1" si="22"/>
        <v>-12.5</v>
      </c>
      <c r="AK14" s="179">
        <f t="shared" ca="1" si="23"/>
        <v>7.5</v>
      </c>
      <c r="AL14" s="179">
        <f t="shared" ca="1" si="24"/>
        <v>2.5</v>
      </c>
      <c r="AM14" s="179">
        <f t="shared" ca="1" si="25"/>
        <v>-7.5</v>
      </c>
      <c r="AN14" s="179">
        <f t="shared" ca="1" si="26"/>
        <v>-2.5</v>
      </c>
      <c r="AO14" s="179">
        <f t="shared" ca="1" si="27"/>
        <v>-12.5</v>
      </c>
      <c r="AP14" s="179">
        <f t="shared" ca="1" si="28"/>
        <v>-12.5</v>
      </c>
      <c r="AQ14" s="179">
        <f t="shared" ca="1" si="28"/>
        <v>-12.5</v>
      </c>
      <c r="AR14" s="179">
        <f t="shared" ca="1" si="29"/>
        <v>-2.5</v>
      </c>
      <c r="AS14" s="179">
        <f t="shared" ca="1" si="30"/>
        <v>27.5</v>
      </c>
      <c r="AT14" s="179">
        <f t="shared" ca="1" si="31"/>
        <v>-7.5</v>
      </c>
      <c r="AU14" s="179">
        <f t="shared" ca="1" si="32"/>
        <v>12.5</v>
      </c>
      <c r="AV14" s="179">
        <f t="shared" ca="1" si="33"/>
        <v>-7.5</v>
      </c>
      <c r="AW14" s="179">
        <f t="shared" ca="1" si="34"/>
        <v>-12.5</v>
      </c>
      <c r="AX14" s="179">
        <f t="shared" ca="1" si="35"/>
        <v>7.5</v>
      </c>
      <c r="AY14" s="179">
        <f t="shared" ca="1" si="36"/>
        <v>-2.5</v>
      </c>
      <c r="AZ14" s="179">
        <f t="shared" ca="1" si="37"/>
        <v>2.5</v>
      </c>
      <c r="BA14" s="179">
        <f t="shared" ca="1" si="38"/>
        <v>7.5</v>
      </c>
    </row>
    <row r="15" spans="1:53">
      <c r="A15" s="173">
        <v>14</v>
      </c>
      <c r="B15" s="158" t="str">
        <f t="shared" si="14"/>
        <v>Ghana-USA</v>
      </c>
      <c r="C15" s="299">
        <f ca="1">IF(VLOOKUP($A15,INDIRECT(C$1&amp;loc_voorspell),15,0)&lt;&gt;"",VLOOKUP($A15,INDIRECT(C$1&amp;loc_voorspell),15,0)+C14,"")</f>
        <v>50</v>
      </c>
      <c r="D15" s="299">
        <f ca="1">IF(VLOOKUP($A15,INDIRECT(D$1&amp;loc_voorspell),15,0)&lt;&gt;"",VLOOKUP($A15,INDIRECT(D$1&amp;loc_voorspell),15,0)+D14,"")</f>
        <v>55</v>
      </c>
      <c r="E15" s="299">
        <f ca="1">IF(VLOOKUP($A15,INDIRECT(E$1&amp;loc_voorspell),15,0)&lt;&gt;"",VLOOKUP($A15,INDIRECT(E$1&amp;loc_voorspell),15,0)+E14,"")</f>
        <v>35</v>
      </c>
      <c r="F15" s="299">
        <f ca="1">IF(VLOOKUP($A15,INDIRECT(F$1&amp;loc_voorspell),15,0)&lt;&gt;"",VLOOKUP($A15,INDIRECT(F$1&amp;loc_voorspell),15,0)+F14,"")</f>
        <v>40</v>
      </c>
      <c r="G15" s="299">
        <f ca="1">IF(VLOOKUP($A15,INDIRECT(G$1&amp;loc_voorspell),15,0)&lt;&gt;"",VLOOKUP($A15,INDIRECT(G$1&amp;loc_voorspell),15,0)+G14,"")</f>
        <v>55</v>
      </c>
      <c r="H15" s="299">
        <f ca="1">IF(VLOOKUP($A15,INDIRECT(H$1&amp;loc_voorspell),15,0)&lt;&gt;"",VLOOKUP($A15,INDIRECT(H$1&amp;loc_voorspell),15,0)+H14,"")</f>
        <v>40</v>
      </c>
      <c r="I15" s="299">
        <f ca="1">IF(VLOOKUP($A15,INDIRECT(I$1&amp;loc_voorspell),15,0)&lt;&gt;"",VLOOKUP($A15,INDIRECT(I$1&amp;loc_voorspell),15,0)+I14,"")</f>
        <v>35</v>
      </c>
      <c r="J15" s="299">
        <f ca="1">IF(VLOOKUP($A15,INDIRECT(J$1&amp;loc_voorspell),15,0)&lt;&gt;"",VLOOKUP($A15,INDIRECT(J$1&amp;loc_voorspell),15,0)+J14,"")</f>
        <v>60</v>
      </c>
      <c r="K15" s="299">
        <f ca="1">IF(VLOOKUP($A15,INDIRECT(K$1&amp;loc_voorspell),15,0)&lt;&gt;"",VLOOKUP($A15,INDIRECT(K$1&amp;loc_voorspell),15,0)+K14,"")</f>
        <v>45</v>
      </c>
      <c r="L15" s="299">
        <f ca="1">IF(VLOOKUP($A15,INDIRECT(L$1&amp;loc_voorspell),15,0)&lt;&gt;"",VLOOKUP($A15,INDIRECT(L$1&amp;loc_voorspell),15,0)+L14,"")</f>
        <v>45</v>
      </c>
      <c r="M15" s="299">
        <f ca="1">IF(VLOOKUP($A15,INDIRECT(M$1&amp;loc_voorspell),15,0)&lt;&gt;"",VLOOKUP($A15,INDIRECT(M$1&amp;loc_voorspell),15,0)+M14,"")</f>
        <v>40</v>
      </c>
      <c r="N15" s="299">
        <f ca="1">IF(VLOOKUP($A15,INDIRECT(N$1&amp;loc_voorspell),15,0)&lt;&gt;"",VLOOKUP($A15,INDIRECT(N$1&amp;loc_voorspell),15,0)+N14,"")</f>
        <v>75</v>
      </c>
      <c r="O15" s="299">
        <f ca="1">IF(VLOOKUP($A15,INDIRECT(O$1&amp;loc_voorspell),15,0)&lt;&gt;"",VLOOKUP($A15,INDIRECT(O$1&amp;loc_voorspell),15,0)+O14,"")</f>
        <v>35</v>
      </c>
      <c r="P15" s="299">
        <f ca="1">IF(VLOOKUP($A15,INDIRECT(P$1&amp;loc_voorspell),15,0)&lt;&gt;"",VLOOKUP($A15,INDIRECT(P$1&amp;loc_voorspell),15,0)+P14,"")</f>
        <v>30</v>
      </c>
      <c r="Q15" s="299">
        <f ca="1">IF(VLOOKUP($A15,INDIRECT(Q$1&amp;loc_voorspell),15,0)&lt;&gt;"",VLOOKUP($A15,INDIRECT(Q$1&amp;loc_voorspell),15,0)+Q14,"")</f>
        <v>40</v>
      </c>
      <c r="R15" s="299">
        <f ca="1">IF(VLOOKUP($A15,INDIRECT(R$1&amp;loc_voorspell),15,0)&lt;&gt;"",VLOOKUP($A15,INDIRECT(R$1&amp;loc_voorspell),15,0)+R14,"")</f>
        <v>70</v>
      </c>
      <c r="S15" s="299">
        <f ca="1">IF(VLOOKUP($A15,INDIRECT(S$1&amp;loc_voorspell),15,0)&lt;&gt;"",VLOOKUP($A15,INDIRECT(S$1&amp;loc_voorspell),15,0)+S14,"")</f>
        <v>35</v>
      </c>
      <c r="T15" s="299">
        <f ca="1">IF(VLOOKUP($A15,INDIRECT(T$1&amp;loc_voorspell),15,0)&lt;&gt;"",VLOOKUP($A15,INDIRECT(T$1&amp;loc_voorspell),15,0)+T14,"")</f>
        <v>55</v>
      </c>
      <c r="U15" s="299">
        <f ca="1">IF(VLOOKUP($A15,INDIRECT(U$1&amp;loc_voorspell),15,0)&lt;&gt;"",VLOOKUP($A15,INDIRECT(U$1&amp;loc_voorspell),15,0)+U14,"")</f>
        <v>45</v>
      </c>
      <c r="V15" s="299">
        <f ca="1">IF(VLOOKUP($A15,INDIRECT(V$1&amp;loc_voorspell),15,0)&lt;&gt;"",VLOOKUP($A15,INDIRECT(V$1&amp;loc_voorspell),15,0)+V14,"")</f>
        <v>30</v>
      </c>
      <c r="W15" s="299">
        <f ca="1">IF(VLOOKUP($A15,INDIRECT(W$1&amp;loc_voorspell),15,0)&lt;&gt;"",VLOOKUP($A15,INDIRECT(W$1&amp;loc_voorspell),15,0)+W14,"")</f>
        <v>55</v>
      </c>
      <c r="X15" s="299">
        <f ca="1">IF(VLOOKUP($A15,INDIRECT(X$1&amp;loc_voorspell),15,0)&lt;&gt;"",VLOOKUP($A15,INDIRECT(X$1&amp;loc_voorspell),15,0)+X14,"")</f>
        <v>40</v>
      </c>
      <c r="Y15" s="299">
        <f ca="1">IF(VLOOKUP($A15,INDIRECT(Y$1&amp;loc_voorspell),15,0)&lt;&gt;"",VLOOKUP($A15,INDIRECT(Y$1&amp;loc_voorspell),15,0)+Y14,"")</f>
        <v>45</v>
      </c>
      <c r="Z15" s="299">
        <f ca="1">IF(VLOOKUP($A15,INDIRECT(Z$1&amp;loc_voorspell),15,0)&lt;&gt;"",VLOOKUP($A15,INDIRECT(Z$1&amp;loc_voorspell),15,0)+Z14,"")</f>
        <v>50</v>
      </c>
      <c r="AA15" s="165">
        <f t="shared" ca="1" si="39"/>
        <v>46.041666666666664</v>
      </c>
      <c r="AB15" s="178">
        <f t="shared" ca="1" si="41"/>
        <v>3.5416666666666643</v>
      </c>
      <c r="AC15" s="331" t="str">
        <f t="shared" si="40"/>
        <v>Ghana-USA</v>
      </c>
      <c r="AD15" s="179">
        <f t="shared" ca="1" si="16"/>
        <v>3.9583333333333357</v>
      </c>
      <c r="AE15" s="179">
        <f t="shared" ca="1" si="17"/>
        <v>8.9583333333333357</v>
      </c>
      <c r="AF15" s="179">
        <f t="shared" ca="1" si="18"/>
        <v>-11.041666666666664</v>
      </c>
      <c r="AG15" s="179">
        <f t="shared" ca="1" si="19"/>
        <v>-6.0416666666666643</v>
      </c>
      <c r="AH15" s="179">
        <f t="shared" ca="1" si="20"/>
        <v>8.9583333333333357</v>
      </c>
      <c r="AI15" s="179">
        <f t="shared" ca="1" si="21"/>
        <v>-6.0416666666666643</v>
      </c>
      <c r="AJ15" s="179">
        <f t="shared" ca="1" si="22"/>
        <v>-11.041666666666664</v>
      </c>
      <c r="AK15" s="179">
        <f t="shared" ca="1" si="23"/>
        <v>13.958333333333336</v>
      </c>
      <c r="AL15" s="179">
        <f t="shared" ca="1" si="24"/>
        <v>-1.0416666666666643</v>
      </c>
      <c r="AM15" s="179">
        <f t="shared" ca="1" si="25"/>
        <v>-1.0416666666666643</v>
      </c>
      <c r="AN15" s="179">
        <f t="shared" ca="1" si="26"/>
        <v>-6.0416666666666643</v>
      </c>
      <c r="AO15" s="179">
        <f t="shared" ca="1" si="27"/>
        <v>-11.041666666666664</v>
      </c>
      <c r="AP15" s="179">
        <f t="shared" ca="1" si="28"/>
        <v>-11.041666666666664</v>
      </c>
      <c r="AQ15" s="179">
        <f t="shared" ca="1" si="28"/>
        <v>-16.041666666666664</v>
      </c>
      <c r="AR15" s="179">
        <f t="shared" ca="1" si="29"/>
        <v>-6.0416666666666643</v>
      </c>
      <c r="AS15" s="179">
        <f t="shared" ca="1" si="30"/>
        <v>23.958333333333336</v>
      </c>
      <c r="AT15" s="179">
        <f t="shared" ca="1" si="31"/>
        <v>-11.041666666666664</v>
      </c>
      <c r="AU15" s="179">
        <f t="shared" ca="1" si="32"/>
        <v>8.9583333333333357</v>
      </c>
      <c r="AV15" s="179">
        <f t="shared" ca="1" si="33"/>
        <v>-1.0416666666666643</v>
      </c>
      <c r="AW15" s="179">
        <f t="shared" ca="1" si="34"/>
        <v>-16.041666666666664</v>
      </c>
      <c r="AX15" s="179">
        <f t="shared" ca="1" si="35"/>
        <v>8.9583333333333357</v>
      </c>
      <c r="AY15" s="179">
        <f t="shared" ca="1" si="36"/>
        <v>-6.0416666666666643</v>
      </c>
      <c r="AZ15" s="179">
        <f t="shared" ca="1" si="37"/>
        <v>-1.0416666666666643</v>
      </c>
      <c r="BA15" s="179">
        <f t="shared" ca="1" si="38"/>
        <v>3.9583333333333357</v>
      </c>
    </row>
    <row r="16" spans="1:53">
      <c r="A16" s="173">
        <v>15</v>
      </c>
      <c r="B16" s="157" t="str">
        <f t="shared" si="14"/>
        <v>België-Algerije</v>
      </c>
      <c r="C16" s="298">
        <f ca="1">IF(VLOOKUP($A16,INDIRECT(C$1&amp;loc_voorspell),15,0)&lt;&gt;"",VLOOKUP($A16,INDIRECT(C$1&amp;loc_voorspell),15,0)+C15,"")</f>
        <v>60</v>
      </c>
      <c r="D16" s="298">
        <f ca="1">IF(VLOOKUP($A16,INDIRECT(D$1&amp;loc_voorspell),15,0)&lt;&gt;"",VLOOKUP($A16,INDIRECT(D$1&amp;loc_voorspell),15,0)+D15,"")</f>
        <v>60</v>
      </c>
      <c r="E16" s="298">
        <f ca="1">IF(VLOOKUP($A16,INDIRECT(E$1&amp;loc_voorspell),15,0)&lt;&gt;"",VLOOKUP($A16,INDIRECT(E$1&amp;loc_voorspell),15,0)+E15,"")</f>
        <v>40</v>
      </c>
      <c r="F16" s="298">
        <f ca="1">IF(VLOOKUP($A16,INDIRECT(F$1&amp;loc_voorspell),15,0)&lt;&gt;"",VLOOKUP($A16,INDIRECT(F$1&amp;loc_voorspell),15,0)+F15,"")</f>
        <v>45</v>
      </c>
      <c r="G16" s="298">
        <f ca="1">IF(VLOOKUP($A16,INDIRECT(G$1&amp;loc_voorspell),15,0)&lt;&gt;"",VLOOKUP($A16,INDIRECT(G$1&amp;loc_voorspell),15,0)+G15,"")</f>
        <v>60</v>
      </c>
      <c r="H16" s="298">
        <f ca="1">IF(VLOOKUP($A16,INDIRECT(H$1&amp;loc_voorspell),15,0)&lt;&gt;"",VLOOKUP($A16,INDIRECT(H$1&amp;loc_voorspell),15,0)+H15,"")</f>
        <v>40</v>
      </c>
      <c r="I16" s="298">
        <f ca="1">IF(VLOOKUP($A16,INDIRECT(I$1&amp;loc_voorspell),15,0)&lt;&gt;"",VLOOKUP($A16,INDIRECT(I$1&amp;loc_voorspell),15,0)+I15,"")</f>
        <v>40</v>
      </c>
      <c r="J16" s="298">
        <f ca="1">IF(VLOOKUP($A16,INDIRECT(J$1&amp;loc_voorspell),15,0)&lt;&gt;"",VLOOKUP($A16,INDIRECT(J$1&amp;loc_voorspell),15,0)+J15,"")</f>
        <v>70</v>
      </c>
      <c r="K16" s="298">
        <f ca="1">IF(VLOOKUP($A16,INDIRECT(K$1&amp;loc_voorspell),15,0)&lt;&gt;"",VLOOKUP($A16,INDIRECT(K$1&amp;loc_voorspell),15,0)+K15,"")</f>
        <v>55</v>
      </c>
      <c r="L16" s="298">
        <f ca="1">IF(VLOOKUP($A16,INDIRECT(L$1&amp;loc_voorspell),15,0)&lt;&gt;"",VLOOKUP($A16,INDIRECT(L$1&amp;loc_voorspell),15,0)+L15,"")</f>
        <v>50</v>
      </c>
      <c r="M16" s="298">
        <f ca="1">IF(VLOOKUP($A16,INDIRECT(M$1&amp;loc_voorspell),15,0)&lt;&gt;"",VLOOKUP($A16,INDIRECT(M$1&amp;loc_voorspell),15,0)+M15,"")</f>
        <v>45</v>
      </c>
      <c r="N16" s="298">
        <f ca="1">IF(VLOOKUP($A16,INDIRECT(N$1&amp;loc_voorspell),15,0)&lt;&gt;"",VLOOKUP($A16,INDIRECT(N$1&amp;loc_voorspell),15,0)+N15,"")</f>
        <v>75</v>
      </c>
      <c r="O16" s="298">
        <f ca="1">IF(VLOOKUP($A16,INDIRECT(O$1&amp;loc_voorspell),15,0)&lt;&gt;"",VLOOKUP($A16,INDIRECT(O$1&amp;loc_voorspell),15,0)+O15,"")</f>
        <v>45</v>
      </c>
      <c r="P16" s="298">
        <f ca="1">IF(VLOOKUP($A16,INDIRECT(P$1&amp;loc_voorspell),15,0)&lt;&gt;"",VLOOKUP($A16,INDIRECT(P$1&amp;loc_voorspell),15,0)+P15,"")</f>
        <v>35</v>
      </c>
      <c r="Q16" s="298">
        <f ca="1">IF(VLOOKUP($A16,INDIRECT(Q$1&amp;loc_voorspell),15,0)&lt;&gt;"",VLOOKUP($A16,INDIRECT(Q$1&amp;loc_voorspell),15,0)+Q15,"")</f>
        <v>45</v>
      </c>
      <c r="R16" s="298">
        <f ca="1">IF(VLOOKUP($A16,INDIRECT(R$1&amp;loc_voorspell),15,0)&lt;&gt;"",VLOOKUP($A16,INDIRECT(R$1&amp;loc_voorspell),15,0)+R15,"")</f>
        <v>75</v>
      </c>
      <c r="S16" s="298">
        <f ca="1">IF(VLOOKUP($A16,INDIRECT(S$1&amp;loc_voorspell),15,0)&lt;&gt;"",VLOOKUP($A16,INDIRECT(S$1&amp;loc_voorspell),15,0)+S15,"")</f>
        <v>40</v>
      </c>
      <c r="T16" s="298">
        <f ca="1">IF(VLOOKUP($A16,INDIRECT(T$1&amp;loc_voorspell),15,0)&lt;&gt;"",VLOOKUP($A16,INDIRECT(T$1&amp;loc_voorspell),15,0)+T15,"")</f>
        <v>60</v>
      </c>
      <c r="U16" s="298">
        <f ca="1">IF(VLOOKUP($A16,INDIRECT(U$1&amp;loc_voorspell),15,0)&lt;&gt;"",VLOOKUP($A16,INDIRECT(U$1&amp;loc_voorspell),15,0)+U15,"")</f>
        <v>45</v>
      </c>
      <c r="V16" s="298">
        <f ca="1">IF(VLOOKUP($A16,INDIRECT(V$1&amp;loc_voorspell),15,0)&lt;&gt;"",VLOOKUP($A16,INDIRECT(V$1&amp;loc_voorspell),15,0)+V15,"")</f>
        <v>35</v>
      </c>
      <c r="W16" s="298">
        <f ca="1">IF(VLOOKUP($A16,INDIRECT(W$1&amp;loc_voorspell),15,0)&lt;&gt;"",VLOOKUP($A16,INDIRECT(W$1&amp;loc_voorspell),15,0)+W15,"")</f>
        <v>60</v>
      </c>
      <c r="X16" s="298">
        <f ca="1">IF(VLOOKUP($A16,INDIRECT(X$1&amp;loc_voorspell),15,0)&lt;&gt;"",VLOOKUP($A16,INDIRECT(X$1&amp;loc_voorspell),15,0)+X15,"")</f>
        <v>45</v>
      </c>
      <c r="Y16" s="298">
        <f ca="1">IF(VLOOKUP($A16,INDIRECT(Y$1&amp;loc_voorspell),15,0)&lt;&gt;"",VLOOKUP($A16,INDIRECT(Y$1&amp;loc_voorspell),15,0)+Y15,"")</f>
        <v>50</v>
      </c>
      <c r="Z16" s="298">
        <f ca="1">IF(VLOOKUP($A16,INDIRECT(Z$1&amp;loc_voorspell),15,0)&lt;&gt;"",VLOOKUP($A16,INDIRECT(Z$1&amp;loc_voorspell),15,0)+Z15,"")</f>
        <v>55</v>
      </c>
      <c r="AA16" s="165">
        <f t="shared" ca="1" si="39"/>
        <v>51.25</v>
      </c>
      <c r="AB16" s="178">
        <f t="shared" ca="1" si="41"/>
        <v>5.2083333333333357</v>
      </c>
      <c r="AC16" s="331" t="str">
        <f t="shared" si="40"/>
        <v>België-Algerije</v>
      </c>
      <c r="AD16" s="179">
        <f t="shared" ca="1" si="16"/>
        <v>8.75</v>
      </c>
      <c r="AE16" s="179">
        <f t="shared" ca="1" si="17"/>
        <v>8.75</v>
      </c>
      <c r="AF16" s="179">
        <f t="shared" ca="1" si="18"/>
        <v>-11.25</v>
      </c>
      <c r="AG16" s="179">
        <f t="shared" ca="1" si="19"/>
        <v>-6.25</v>
      </c>
      <c r="AH16" s="179">
        <f t="shared" ca="1" si="20"/>
        <v>8.75</v>
      </c>
      <c r="AI16" s="179">
        <f t="shared" ca="1" si="21"/>
        <v>-11.25</v>
      </c>
      <c r="AJ16" s="179">
        <f t="shared" ca="1" si="22"/>
        <v>-11.25</v>
      </c>
      <c r="AK16" s="179">
        <f t="shared" ca="1" si="23"/>
        <v>18.75</v>
      </c>
      <c r="AL16" s="179">
        <f t="shared" ca="1" si="24"/>
        <v>3.75</v>
      </c>
      <c r="AM16" s="179">
        <f t="shared" ca="1" si="25"/>
        <v>-1.25</v>
      </c>
      <c r="AN16" s="179">
        <f t="shared" ca="1" si="26"/>
        <v>-6.25</v>
      </c>
      <c r="AO16" s="179">
        <f t="shared" ca="1" si="27"/>
        <v>-6.25</v>
      </c>
      <c r="AP16" s="179">
        <f t="shared" ca="1" si="28"/>
        <v>-6.25</v>
      </c>
      <c r="AQ16" s="179">
        <f t="shared" ca="1" si="28"/>
        <v>-16.25</v>
      </c>
      <c r="AR16" s="179">
        <f t="shared" ca="1" si="29"/>
        <v>-6.25</v>
      </c>
      <c r="AS16" s="179">
        <f t="shared" ca="1" si="30"/>
        <v>23.75</v>
      </c>
      <c r="AT16" s="179">
        <f t="shared" ca="1" si="31"/>
        <v>-11.25</v>
      </c>
      <c r="AU16" s="179">
        <f t="shared" ca="1" si="32"/>
        <v>8.75</v>
      </c>
      <c r="AV16" s="179">
        <f t="shared" ca="1" si="33"/>
        <v>-6.25</v>
      </c>
      <c r="AW16" s="179">
        <f t="shared" ca="1" si="34"/>
        <v>-16.25</v>
      </c>
      <c r="AX16" s="179">
        <f t="shared" ca="1" si="35"/>
        <v>8.75</v>
      </c>
      <c r="AY16" s="179">
        <f t="shared" ca="1" si="36"/>
        <v>-6.25</v>
      </c>
      <c r="AZ16" s="179">
        <f t="shared" ca="1" si="37"/>
        <v>-1.25</v>
      </c>
      <c r="BA16" s="179">
        <f t="shared" ca="1" si="38"/>
        <v>3.75</v>
      </c>
    </row>
    <row r="17" spans="1:53">
      <c r="A17" s="173">
        <v>17</v>
      </c>
      <c r="B17" s="158" t="str">
        <f t="shared" si="14"/>
        <v>Brazilië-Mexico</v>
      </c>
      <c r="C17" s="299">
        <f ca="1">IF(VLOOKUP($A17,INDIRECT(C$1&amp;loc_voorspell),15,0)&lt;&gt;"",VLOOKUP($A17,INDIRECT(C$1&amp;loc_voorspell),15,0)+C16,"")</f>
        <v>60</v>
      </c>
      <c r="D17" s="299">
        <f ca="1">IF(VLOOKUP($A17,INDIRECT(D$1&amp;loc_voorspell),15,0)&lt;&gt;"",VLOOKUP($A17,INDIRECT(D$1&amp;loc_voorspell),15,0)+D16,"")</f>
        <v>60</v>
      </c>
      <c r="E17" s="299">
        <f ca="1">IF(VLOOKUP($A17,INDIRECT(E$1&amp;loc_voorspell),15,0)&lt;&gt;"",VLOOKUP($A17,INDIRECT(E$1&amp;loc_voorspell),15,0)+E16,"")</f>
        <v>40</v>
      </c>
      <c r="F17" s="299">
        <f ca="1">IF(VLOOKUP($A17,INDIRECT(F$1&amp;loc_voorspell),15,0)&lt;&gt;"",VLOOKUP($A17,INDIRECT(F$1&amp;loc_voorspell),15,0)+F16,"")</f>
        <v>45</v>
      </c>
      <c r="G17" s="299">
        <f ca="1">IF(VLOOKUP($A17,INDIRECT(G$1&amp;loc_voorspell),15,0)&lt;&gt;"",VLOOKUP($A17,INDIRECT(G$1&amp;loc_voorspell),15,0)+G16,"")</f>
        <v>60</v>
      </c>
      <c r="H17" s="299">
        <f ca="1">IF(VLOOKUP($A17,INDIRECT(H$1&amp;loc_voorspell),15,0)&lt;&gt;"",VLOOKUP($A17,INDIRECT(H$1&amp;loc_voorspell),15,0)+H16,"")</f>
        <v>45</v>
      </c>
      <c r="I17" s="299">
        <f ca="1">IF(VLOOKUP($A17,INDIRECT(I$1&amp;loc_voorspell),15,0)&lt;&gt;"",VLOOKUP($A17,INDIRECT(I$1&amp;loc_voorspell),15,0)+I16,"")</f>
        <v>40</v>
      </c>
      <c r="J17" s="299">
        <f ca="1">IF(VLOOKUP($A17,INDIRECT(J$1&amp;loc_voorspell),15,0)&lt;&gt;"",VLOOKUP($A17,INDIRECT(J$1&amp;loc_voorspell),15,0)+J16,"")</f>
        <v>70</v>
      </c>
      <c r="K17" s="299">
        <f ca="1">IF(VLOOKUP($A17,INDIRECT(K$1&amp;loc_voorspell),15,0)&lt;&gt;"",VLOOKUP($A17,INDIRECT(K$1&amp;loc_voorspell),15,0)+K16,"")</f>
        <v>55</v>
      </c>
      <c r="L17" s="299">
        <f ca="1">IF(VLOOKUP($A17,INDIRECT(L$1&amp;loc_voorspell),15,0)&lt;&gt;"",VLOOKUP($A17,INDIRECT(L$1&amp;loc_voorspell),15,0)+L16,"")</f>
        <v>55</v>
      </c>
      <c r="M17" s="299">
        <f ca="1">IF(VLOOKUP($A17,INDIRECT(M$1&amp;loc_voorspell),15,0)&lt;&gt;"",VLOOKUP($A17,INDIRECT(M$1&amp;loc_voorspell),15,0)+M16,"")</f>
        <v>50</v>
      </c>
      <c r="N17" s="299">
        <f ca="1">IF(VLOOKUP($A17,INDIRECT(N$1&amp;loc_voorspell),15,0)&lt;&gt;"",VLOOKUP($A17,INDIRECT(N$1&amp;loc_voorspell),15,0)+N16,"")</f>
        <v>75</v>
      </c>
      <c r="O17" s="299">
        <f ca="1">IF(VLOOKUP($A17,INDIRECT(O$1&amp;loc_voorspell),15,0)&lt;&gt;"",VLOOKUP($A17,INDIRECT(O$1&amp;loc_voorspell),15,0)+O16,"")</f>
        <v>45</v>
      </c>
      <c r="P17" s="299">
        <f ca="1">IF(VLOOKUP($A17,INDIRECT(P$1&amp;loc_voorspell),15,0)&lt;&gt;"",VLOOKUP($A17,INDIRECT(P$1&amp;loc_voorspell),15,0)+P16,"")</f>
        <v>40</v>
      </c>
      <c r="Q17" s="299">
        <f ca="1">IF(VLOOKUP($A17,INDIRECT(Q$1&amp;loc_voorspell),15,0)&lt;&gt;"",VLOOKUP($A17,INDIRECT(Q$1&amp;loc_voorspell),15,0)+Q16,"")</f>
        <v>45</v>
      </c>
      <c r="R17" s="299">
        <f ca="1">IF(VLOOKUP($A17,INDIRECT(R$1&amp;loc_voorspell),15,0)&lt;&gt;"",VLOOKUP($A17,INDIRECT(R$1&amp;loc_voorspell),15,0)+R16,"")</f>
        <v>75</v>
      </c>
      <c r="S17" s="299">
        <f ca="1">IF(VLOOKUP($A17,INDIRECT(S$1&amp;loc_voorspell),15,0)&lt;&gt;"",VLOOKUP($A17,INDIRECT(S$1&amp;loc_voorspell),15,0)+S16,"")</f>
        <v>40</v>
      </c>
      <c r="T17" s="299">
        <f ca="1">IF(VLOOKUP($A17,INDIRECT(T$1&amp;loc_voorspell),15,0)&lt;&gt;"",VLOOKUP($A17,INDIRECT(T$1&amp;loc_voorspell),15,0)+T16,"")</f>
        <v>60</v>
      </c>
      <c r="U17" s="299">
        <f ca="1">IF(VLOOKUP($A17,INDIRECT(U$1&amp;loc_voorspell),15,0)&lt;&gt;"",VLOOKUP($A17,INDIRECT(U$1&amp;loc_voorspell),15,0)+U16,"")</f>
        <v>45</v>
      </c>
      <c r="V17" s="299">
        <f ca="1">IF(VLOOKUP($A17,INDIRECT(V$1&amp;loc_voorspell),15,0)&lt;&gt;"",VLOOKUP($A17,INDIRECT(V$1&amp;loc_voorspell),15,0)+V16,"")</f>
        <v>35</v>
      </c>
      <c r="W17" s="299">
        <f ca="1">IF(VLOOKUP($A17,INDIRECT(W$1&amp;loc_voorspell),15,0)&lt;&gt;"",VLOOKUP($A17,INDIRECT(W$1&amp;loc_voorspell),15,0)+W16,"")</f>
        <v>60</v>
      </c>
      <c r="X17" s="299">
        <f ca="1">IF(VLOOKUP($A17,INDIRECT(X$1&amp;loc_voorspell),15,0)&lt;&gt;"",VLOOKUP($A17,INDIRECT(X$1&amp;loc_voorspell),15,0)+X16,"")</f>
        <v>45</v>
      </c>
      <c r="Y17" s="299">
        <f ca="1">IF(VLOOKUP($A17,INDIRECT(Y$1&amp;loc_voorspell),15,0)&lt;&gt;"",VLOOKUP($A17,INDIRECT(Y$1&amp;loc_voorspell),15,0)+Y16,"")</f>
        <v>50</v>
      </c>
      <c r="Z17" s="299">
        <f ca="1">IF(VLOOKUP($A17,INDIRECT(Z$1&amp;loc_voorspell),15,0)&lt;&gt;"",VLOOKUP($A17,INDIRECT(Z$1&amp;loc_voorspell),15,0)+Z16,"")</f>
        <v>55</v>
      </c>
      <c r="AA17" s="165">
        <f t="shared" ca="1" si="39"/>
        <v>52.083333333333336</v>
      </c>
      <c r="AB17" s="178">
        <f t="shared" ca="1" si="41"/>
        <v>0.8333333333333357</v>
      </c>
      <c r="AC17" s="331" t="str">
        <f t="shared" si="40"/>
        <v>Brazilië-Mexico</v>
      </c>
      <c r="AD17" s="179">
        <f t="shared" ca="1" si="16"/>
        <v>7.9166666666666643</v>
      </c>
      <c r="AE17" s="179">
        <f t="shared" ca="1" si="17"/>
        <v>7.9166666666666643</v>
      </c>
      <c r="AF17" s="179">
        <f t="shared" ca="1" si="18"/>
        <v>-12.083333333333336</v>
      </c>
      <c r="AG17" s="179">
        <f t="shared" ca="1" si="19"/>
        <v>-7.0833333333333357</v>
      </c>
      <c r="AH17" s="179">
        <f t="shared" ca="1" si="20"/>
        <v>7.9166666666666643</v>
      </c>
      <c r="AI17" s="179">
        <f t="shared" ca="1" si="21"/>
        <v>-7.0833333333333357</v>
      </c>
      <c r="AJ17" s="179">
        <f t="shared" ca="1" si="22"/>
        <v>-12.083333333333336</v>
      </c>
      <c r="AK17" s="179">
        <f t="shared" ca="1" si="23"/>
        <v>17.916666666666664</v>
      </c>
      <c r="AL17" s="179">
        <f t="shared" ca="1" si="24"/>
        <v>2.9166666666666643</v>
      </c>
      <c r="AM17" s="179">
        <f t="shared" ca="1" si="25"/>
        <v>2.9166666666666643</v>
      </c>
      <c r="AN17" s="179">
        <f t="shared" ca="1" si="26"/>
        <v>-2.0833333333333357</v>
      </c>
      <c r="AO17" s="179">
        <f t="shared" ca="1" si="27"/>
        <v>-7.0833333333333357</v>
      </c>
      <c r="AP17" s="179">
        <f t="shared" ca="1" si="28"/>
        <v>-7.0833333333333357</v>
      </c>
      <c r="AQ17" s="179">
        <f t="shared" ca="1" si="28"/>
        <v>-12.083333333333336</v>
      </c>
      <c r="AR17" s="179">
        <f t="shared" ca="1" si="29"/>
        <v>-7.0833333333333357</v>
      </c>
      <c r="AS17" s="179">
        <f t="shared" ca="1" si="30"/>
        <v>22.916666666666664</v>
      </c>
      <c r="AT17" s="179">
        <f t="shared" ca="1" si="31"/>
        <v>-12.083333333333336</v>
      </c>
      <c r="AU17" s="179">
        <f t="shared" ca="1" si="32"/>
        <v>7.9166666666666643</v>
      </c>
      <c r="AV17" s="179">
        <f t="shared" ca="1" si="33"/>
        <v>-7.0833333333333357</v>
      </c>
      <c r="AW17" s="179">
        <f t="shared" ca="1" si="34"/>
        <v>-17.083333333333336</v>
      </c>
      <c r="AX17" s="179">
        <f t="shared" ca="1" si="35"/>
        <v>7.9166666666666643</v>
      </c>
      <c r="AY17" s="179">
        <f t="shared" ca="1" si="36"/>
        <v>-7.0833333333333357</v>
      </c>
      <c r="AZ17" s="179">
        <f t="shared" ca="1" si="37"/>
        <v>-2.0833333333333357</v>
      </c>
      <c r="BA17" s="179">
        <f t="shared" ca="1" si="38"/>
        <v>2.9166666666666643</v>
      </c>
    </row>
    <row r="18" spans="1:53">
      <c r="A18" s="173">
        <v>16</v>
      </c>
      <c r="B18" s="157" t="str">
        <f t="shared" si="14"/>
        <v>Rusland-Zuid-Korea</v>
      </c>
      <c r="C18" s="298">
        <f ca="1">IF(VLOOKUP($A18,INDIRECT(C$1&amp;loc_voorspell),15,0)&lt;&gt;"",VLOOKUP($A18,INDIRECT(C$1&amp;loc_voorspell),15,0)+C17,"")</f>
        <v>60</v>
      </c>
      <c r="D18" s="298">
        <f ca="1">IF(VLOOKUP($A18,INDIRECT(D$1&amp;loc_voorspell),15,0)&lt;&gt;"",VLOOKUP($A18,INDIRECT(D$1&amp;loc_voorspell),15,0)+D17,"")</f>
        <v>60</v>
      </c>
      <c r="E18" s="298">
        <f ca="1">IF(VLOOKUP($A18,INDIRECT(E$1&amp;loc_voorspell),15,0)&lt;&gt;"",VLOOKUP($A18,INDIRECT(E$1&amp;loc_voorspell),15,0)+E17,"")</f>
        <v>40</v>
      </c>
      <c r="F18" s="298">
        <f ca="1">IF(VLOOKUP($A18,INDIRECT(F$1&amp;loc_voorspell),15,0)&lt;&gt;"",VLOOKUP($A18,INDIRECT(F$1&amp;loc_voorspell),15,0)+F17,"")</f>
        <v>45</v>
      </c>
      <c r="G18" s="298">
        <f ca="1">IF(VLOOKUP($A18,INDIRECT(G$1&amp;loc_voorspell),15,0)&lt;&gt;"",VLOOKUP($A18,INDIRECT(G$1&amp;loc_voorspell),15,0)+G17,"")</f>
        <v>60</v>
      </c>
      <c r="H18" s="298">
        <f ca="1">IF(VLOOKUP($A18,INDIRECT(H$1&amp;loc_voorspell),15,0)&lt;&gt;"",VLOOKUP($A18,INDIRECT(H$1&amp;loc_voorspell),15,0)+H17,"")</f>
        <v>45</v>
      </c>
      <c r="I18" s="298">
        <f ca="1">IF(VLOOKUP($A18,INDIRECT(I$1&amp;loc_voorspell),15,0)&lt;&gt;"",VLOOKUP($A18,INDIRECT(I$1&amp;loc_voorspell),15,0)+I17,"")</f>
        <v>45</v>
      </c>
      <c r="J18" s="298">
        <f ca="1">IF(VLOOKUP($A18,INDIRECT(J$1&amp;loc_voorspell),15,0)&lt;&gt;"",VLOOKUP($A18,INDIRECT(J$1&amp;loc_voorspell),15,0)+J17,"")</f>
        <v>70</v>
      </c>
      <c r="K18" s="298">
        <f ca="1">IF(VLOOKUP($A18,INDIRECT(K$1&amp;loc_voorspell),15,0)&lt;&gt;"",VLOOKUP($A18,INDIRECT(K$1&amp;loc_voorspell),15,0)+K17,"")</f>
        <v>55</v>
      </c>
      <c r="L18" s="298">
        <f ca="1">IF(VLOOKUP($A18,INDIRECT(L$1&amp;loc_voorspell),15,0)&lt;&gt;"",VLOOKUP($A18,INDIRECT(L$1&amp;loc_voorspell),15,0)+L17,"")</f>
        <v>55</v>
      </c>
      <c r="M18" s="298">
        <f ca="1">IF(VLOOKUP($A18,INDIRECT(M$1&amp;loc_voorspell),15,0)&lt;&gt;"",VLOOKUP($A18,INDIRECT(M$1&amp;loc_voorspell),15,0)+M17,"")</f>
        <v>50</v>
      </c>
      <c r="N18" s="298">
        <f ca="1">IF(VLOOKUP($A18,INDIRECT(N$1&amp;loc_voorspell),15,0)&lt;&gt;"",VLOOKUP($A18,INDIRECT(N$1&amp;loc_voorspell),15,0)+N17,"")</f>
        <v>75</v>
      </c>
      <c r="O18" s="298">
        <f ca="1">IF(VLOOKUP($A18,INDIRECT(O$1&amp;loc_voorspell),15,0)&lt;&gt;"",VLOOKUP($A18,INDIRECT(O$1&amp;loc_voorspell),15,0)+O17,"")</f>
        <v>45</v>
      </c>
      <c r="P18" s="298">
        <f ca="1">IF(VLOOKUP($A18,INDIRECT(P$1&amp;loc_voorspell),15,0)&lt;&gt;"",VLOOKUP($A18,INDIRECT(P$1&amp;loc_voorspell),15,0)+P17,"")</f>
        <v>40</v>
      </c>
      <c r="Q18" s="298">
        <f ca="1">IF(VLOOKUP($A18,INDIRECT(Q$1&amp;loc_voorspell),15,0)&lt;&gt;"",VLOOKUP($A18,INDIRECT(Q$1&amp;loc_voorspell),15,0)+Q17,"")</f>
        <v>50</v>
      </c>
      <c r="R18" s="298">
        <f ca="1">IF(VLOOKUP($A18,INDIRECT(R$1&amp;loc_voorspell),15,0)&lt;&gt;"",VLOOKUP($A18,INDIRECT(R$1&amp;loc_voorspell),15,0)+R17,"")</f>
        <v>75</v>
      </c>
      <c r="S18" s="298">
        <f ca="1">IF(VLOOKUP($A18,INDIRECT(S$1&amp;loc_voorspell),15,0)&lt;&gt;"",VLOOKUP($A18,INDIRECT(S$1&amp;loc_voorspell),15,0)+S17,"")</f>
        <v>45</v>
      </c>
      <c r="T18" s="298">
        <f ca="1">IF(VLOOKUP($A18,INDIRECT(T$1&amp;loc_voorspell),15,0)&lt;&gt;"",VLOOKUP($A18,INDIRECT(T$1&amp;loc_voorspell),15,0)+T17,"")</f>
        <v>60</v>
      </c>
      <c r="U18" s="298">
        <f ca="1">IF(VLOOKUP($A18,INDIRECT(U$1&amp;loc_voorspell),15,0)&lt;&gt;"",VLOOKUP($A18,INDIRECT(U$1&amp;loc_voorspell),15,0)+U17,"")</f>
        <v>55</v>
      </c>
      <c r="V18" s="298">
        <f ca="1">IF(VLOOKUP($A18,INDIRECT(V$1&amp;loc_voorspell),15,0)&lt;&gt;"",VLOOKUP($A18,INDIRECT(V$1&amp;loc_voorspell),15,0)+V17,"")</f>
        <v>35</v>
      </c>
      <c r="W18" s="298">
        <f ca="1">IF(VLOOKUP($A18,INDIRECT(W$1&amp;loc_voorspell),15,0)&lt;&gt;"",VLOOKUP($A18,INDIRECT(W$1&amp;loc_voorspell),15,0)+W17,"")</f>
        <v>60</v>
      </c>
      <c r="X18" s="298">
        <f ca="1">IF(VLOOKUP($A18,INDIRECT(X$1&amp;loc_voorspell),15,0)&lt;&gt;"",VLOOKUP($A18,INDIRECT(X$1&amp;loc_voorspell),15,0)+X17,"")</f>
        <v>45</v>
      </c>
      <c r="Y18" s="298">
        <f ca="1">IF(VLOOKUP($A18,INDIRECT(Y$1&amp;loc_voorspell),15,0)&lt;&gt;"",VLOOKUP($A18,INDIRECT(Y$1&amp;loc_voorspell),15,0)+Y17,"")</f>
        <v>55</v>
      </c>
      <c r="Z18" s="298">
        <f ca="1">IF(VLOOKUP($A18,INDIRECT(Z$1&amp;loc_voorspell),15,0)&lt;&gt;"",VLOOKUP($A18,INDIRECT(Z$1&amp;loc_voorspell),15,0)+Z17,"")</f>
        <v>55</v>
      </c>
      <c r="AA18" s="165">
        <f t="shared" ca="1" si="39"/>
        <v>53.333333333333336</v>
      </c>
      <c r="AB18" s="178">
        <f t="shared" ca="1" si="41"/>
        <v>1.25</v>
      </c>
      <c r="AC18" s="331" t="str">
        <f t="shared" si="40"/>
        <v>Rusland-Zuid-Korea</v>
      </c>
      <c r="AD18" s="179">
        <f t="shared" ca="1" si="16"/>
        <v>6.6666666666666643</v>
      </c>
      <c r="AE18" s="179">
        <f t="shared" ca="1" si="17"/>
        <v>6.6666666666666643</v>
      </c>
      <c r="AF18" s="179">
        <f t="shared" ca="1" si="18"/>
        <v>-13.333333333333336</v>
      </c>
      <c r="AG18" s="179">
        <f t="shared" ca="1" si="19"/>
        <v>-8.3333333333333357</v>
      </c>
      <c r="AH18" s="179">
        <f t="shared" ca="1" si="20"/>
        <v>6.6666666666666643</v>
      </c>
      <c r="AI18" s="179">
        <f t="shared" ca="1" si="21"/>
        <v>-8.3333333333333357</v>
      </c>
      <c r="AJ18" s="179">
        <f t="shared" ca="1" si="22"/>
        <v>-8.3333333333333357</v>
      </c>
      <c r="AK18" s="179">
        <f t="shared" ca="1" si="23"/>
        <v>16.666666666666664</v>
      </c>
      <c r="AL18" s="179">
        <f t="shared" ca="1" si="24"/>
        <v>1.6666666666666643</v>
      </c>
      <c r="AM18" s="179">
        <f t="shared" ca="1" si="25"/>
        <v>1.6666666666666643</v>
      </c>
      <c r="AN18" s="179">
        <f t="shared" ca="1" si="26"/>
        <v>-3.3333333333333357</v>
      </c>
      <c r="AO18" s="179">
        <f t="shared" ca="1" si="27"/>
        <v>-8.3333333333333357</v>
      </c>
      <c r="AP18" s="179">
        <f t="shared" ca="1" si="28"/>
        <v>-8.3333333333333357</v>
      </c>
      <c r="AQ18" s="179">
        <f t="shared" ca="1" si="28"/>
        <v>-13.333333333333336</v>
      </c>
      <c r="AR18" s="179">
        <f t="shared" ca="1" si="29"/>
        <v>-3.3333333333333357</v>
      </c>
      <c r="AS18" s="179">
        <f t="shared" ca="1" si="30"/>
        <v>21.666666666666664</v>
      </c>
      <c r="AT18" s="179">
        <f t="shared" ca="1" si="31"/>
        <v>-8.3333333333333357</v>
      </c>
      <c r="AU18" s="179">
        <f t="shared" ca="1" si="32"/>
        <v>6.6666666666666643</v>
      </c>
      <c r="AV18" s="179">
        <f t="shared" ca="1" si="33"/>
        <v>1.6666666666666643</v>
      </c>
      <c r="AW18" s="179">
        <f t="shared" ca="1" si="34"/>
        <v>-18.333333333333336</v>
      </c>
      <c r="AX18" s="179">
        <f t="shared" ca="1" si="35"/>
        <v>6.6666666666666643</v>
      </c>
      <c r="AY18" s="179">
        <f t="shared" ca="1" si="36"/>
        <v>-8.3333333333333357</v>
      </c>
      <c r="AZ18" s="179">
        <f t="shared" ca="1" si="37"/>
        <v>1.6666666666666643</v>
      </c>
      <c r="BA18" s="179">
        <f t="shared" ca="1" si="38"/>
        <v>1.6666666666666643</v>
      </c>
    </row>
    <row r="19" spans="1:53">
      <c r="A19" s="173">
        <v>20</v>
      </c>
      <c r="B19" s="158" t="str">
        <f t="shared" si="14"/>
        <v>Australië-Nederland</v>
      </c>
      <c r="C19" s="299">
        <f ca="1">IF(VLOOKUP($A19,INDIRECT(C$1&amp;loc_voorspell),15,0)&lt;&gt;"",VLOOKUP($A19,INDIRECT(C$1&amp;loc_voorspell),15,0)+C18,"")</f>
        <v>65</v>
      </c>
      <c r="D19" s="299">
        <f ca="1">IF(VLOOKUP($A19,INDIRECT(D$1&amp;loc_voorspell),15,0)&lt;&gt;"",VLOOKUP($A19,INDIRECT(D$1&amp;loc_voorspell),15,0)+D18,"")</f>
        <v>65</v>
      </c>
      <c r="E19" s="299">
        <f ca="1">IF(VLOOKUP($A19,INDIRECT(E$1&amp;loc_voorspell),15,0)&lt;&gt;"",VLOOKUP($A19,INDIRECT(E$1&amp;loc_voorspell),15,0)+E18,"")</f>
        <v>45</v>
      </c>
      <c r="F19" s="299">
        <f ca="1">IF(VLOOKUP($A19,INDIRECT(F$1&amp;loc_voorspell),15,0)&lt;&gt;"",VLOOKUP($A19,INDIRECT(F$1&amp;loc_voorspell),15,0)+F18,"")</f>
        <v>50</v>
      </c>
      <c r="G19" s="299">
        <f ca="1">IF(VLOOKUP($A19,INDIRECT(G$1&amp;loc_voorspell),15,0)&lt;&gt;"",VLOOKUP($A19,INDIRECT(G$1&amp;loc_voorspell),15,0)+G18,"")</f>
        <v>65</v>
      </c>
      <c r="H19" s="299">
        <f ca="1">IF(VLOOKUP($A19,INDIRECT(H$1&amp;loc_voorspell),15,0)&lt;&gt;"",VLOOKUP($A19,INDIRECT(H$1&amp;loc_voorspell),15,0)+H18,"")</f>
        <v>50</v>
      </c>
      <c r="I19" s="299">
        <f ca="1">IF(VLOOKUP($A19,INDIRECT(I$1&amp;loc_voorspell),15,0)&lt;&gt;"",VLOOKUP($A19,INDIRECT(I$1&amp;loc_voorspell),15,0)+I18,"")</f>
        <v>50</v>
      </c>
      <c r="J19" s="299">
        <f ca="1">IF(VLOOKUP($A19,INDIRECT(J$1&amp;loc_voorspell),15,0)&lt;&gt;"",VLOOKUP($A19,INDIRECT(J$1&amp;loc_voorspell),15,0)+J18,"")</f>
        <v>75</v>
      </c>
      <c r="K19" s="299">
        <f ca="1">IF(VLOOKUP($A19,INDIRECT(K$1&amp;loc_voorspell),15,0)&lt;&gt;"",VLOOKUP($A19,INDIRECT(K$1&amp;loc_voorspell),15,0)+K18,"")</f>
        <v>60</v>
      </c>
      <c r="L19" s="299">
        <f ca="1">IF(VLOOKUP($A19,INDIRECT(L$1&amp;loc_voorspell),15,0)&lt;&gt;"",VLOOKUP($A19,INDIRECT(L$1&amp;loc_voorspell),15,0)+L18,"")</f>
        <v>55</v>
      </c>
      <c r="M19" s="299">
        <f ca="1">IF(VLOOKUP($A19,INDIRECT(M$1&amp;loc_voorspell),15,0)&lt;&gt;"",VLOOKUP($A19,INDIRECT(M$1&amp;loc_voorspell),15,0)+M18,"")</f>
        <v>55</v>
      </c>
      <c r="N19" s="299">
        <f ca="1">IF(VLOOKUP($A19,INDIRECT(N$1&amp;loc_voorspell),15,0)&lt;&gt;"",VLOOKUP($A19,INDIRECT(N$1&amp;loc_voorspell),15,0)+N18,"")</f>
        <v>80</v>
      </c>
      <c r="O19" s="299">
        <f ca="1">IF(VLOOKUP($A19,INDIRECT(O$1&amp;loc_voorspell),15,0)&lt;&gt;"",VLOOKUP($A19,INDIRECT(O$1&amp;loc_voorspell),15,0)+O18,"")</f>
        <v>50</v>
      </c>
      <c r="P19" s="299">
        <f ca="1">IF(VLOOKUP($A19,INDIRECT(P$1&amp;loc_voorspell),15,0)&lt;&gt;"",VLOOKUP($A19,INDIRECT(P$1&amp;loc_voorspell),15,0)+P18,"")</f>
        <v>40</v>
      </c>
      <c r="Q19" s="299">
        <f ca="1">IF(VLOOKUP($A19,INDIRECT(Q$1&amp;loc_voorspell),15,0)&lt;&gt;"",VLOOKUP($A19,INDIRECT(Q$1&amp;loc_voorspell),15,0)+Q18,"")</f>
        <v>50</v>
      </c>
      <c r="R19" s="299">
        <f ca="1">IF(VLOOKUP($A19,INDIRECT(R$1&amp;loc_voorspell),15,0)&lt;&gt;"",VLOOKUP($A19,INDIRECT(R$1&amp;loc_voorspell),15,0)+R18,"")</f>
        <v>80</v>
      </c>
      <c r="S19" s="299">
        <f ca="1">IF(VLOOKUP($A19,INDIRECT(S$1&amp;loc_voorspell),15,0)&lt;&gt;"",VLOOKUP($A19,INDIRECT(S$1&amp;loc_voorspell),15,0)+S18,"")</f>
        <v>50</v>
      </c>
      <c r="T19" s="299">
        <f ca="1">IF(VLOOKUP($A19,INDIRECT(T$1&amp;loc_voorspell),15,0)&lt;&gt;"",VLOOKUP($A19,INDIRECT(T$1&amp;loc_voorspell),15,0)+T18,"")</f>
        <v>65</v>
      </c>
      <c r="U19" s="299">
        <f ca="1">IF(VLOOKUP($A19,INDIRECT(U$1&amp;loc_voorspell),15,0)&lt;&gt;"",VLOOKUP($A19,INDIRECT(U$1&amp;loc_voorspell),15,0)+U18,"")</f>
        <v>60</v>
      </c>
      <c r="V19" s="299">
        <f ca="1">IF(VLOOKUP($A19,INDIRECT(V$1&amp;loc_voorspell),15,0)&lt;&gt;"",VLOOKUP($A19,INDIRECT(V$1&amp;loc_voorspell),15,0)+V18,"")</f>
        <v>40</v>
      </c>
      <c r="W19" s="299">
        <f ca="1">IF(VLOOKUP($A19,INDIRECT(W$1&amp;loc_voorspell),15,0)&lt;&gt;"",VLOOKUP($A19,INDIRECT(W$1&amp;loc_voorspell),15,0)+W18,"")</f>
        <v>65</v>
      </c>
      <c r="X19" s="299">
        <f ca="1">IF(VLOOKUP($A19,INDIRECT(X$1&amp;loc_voorspell),15,0)&lt;&gt;"",VLOOKUP($A19,INDIRECT(X$1&amp;loc_voorspell),15,0)+X18,"")</f>
        <v>50</v>
      </c>
      <c r="Y19" s="299">
        <f ca="1">IF(VLOOKUP($A19,INDIRECT(Y$1&amp;loc_voorspell),15,0)&lt;&gt;"",VLOOKUP($A19,INDIRECT(Y$1&amp;loc_voorspell),15,0)+Y18,"")</f>
        <v>60</v>
      </c>
      <c r="Z19" s="299">
        <f ca="1">IF(VLOOKUP($A19,INDIRECT(Z$1&amp;loc_voorspell),15,0)&lt;&gt;"",VLOOKUP($A19,INDIRECT(Z$1&amp;loc_voorspell),15,0)+Z18,"")</f>
        <v>60</v>
      </c>
      <c r="AA19" s="165">
        <f t="shared" ca="1" si="39"/>
        <v>57.708333333333336</v>
      </c>
      <c r="AB19" s="178">
        <f t="shared" ca="1" si="41"/>
        <v>4.375</v>
      </c>
      <c r="AC19" s="331" t="str">
        <f t="shared" si="40"/>
        <v>Australië-Nederland</v>
      </c>
      <c r="AD19" s="179">
        <f t="shared" ca="1" si="16"/>
        <v>7.2916666666666643</v>
      </c>
      <c r="AE19" s="179">
        <f t="shared" ca="1" si="17"/>
        <v>7.2916666666666643</v>
      </c>
      <c r="AF19" s="179">
        <f t="shared" ca="1" si="18"/>
        <v>-12.708333333333336</v>
      </c>
      <c r="AG19" s="179">
        <f t="shared" ca="1" si="19"/>
        <v>-7.7083333333333357</v>
      </c>
      <c r="AH19" s="179">
        <f t="shared" ca="1" si="20"/>
        <v>7.2916666666666643</v>
      </c>
      <c r="AI19" s="179">
        <f t="shared" ca="1" si="21"/>
        <v>-7.7083333333333357</v>
      </c>
      <c r="AJ19" s="179">
        <f t="shared" ca="1" si="22"/>
        <v>-7.7083333333333357</v>
      </c>
      <c r="AK19" s="179">
        <f t="shared" ca="1" si="23"/>
        <v>17.291666666666664</v>
      </c>
      <c r="AL19" s="179">
        <f t="shared" ca="1" si="24"/>
        <v>2.2916666666666643</v>
      </c>
      <c r="AM19" s="179">
        <f t="shared" ca="1" si="25"/>
        <v>-2.7083333333333357</v>
      </c>
      <c r="AN19" s="179">
        <f t="shared" ca="1" si="26"/>
        <v>-2.7083333333333357</v>
      </c>
      <c r="AO19" s="179">
        <f t="shared" ca="1" si="27"/>
        <v>-7.7083333333333357</v>
      </c>
      <c r="AP19" s="179">
        <f t="shared" ca="1" si="28"/>
        <v>-7.7083333333333357</v>
      </c>
      <c r="AQ19" s="179">
        <f t="shared" ca="1" si="28"/>
        <v>-17.708333333333336</v>
      </c>
      <c r="AR19" s="179">
        <f t="shared" ca="1" si="29"/>
        <v>-7.7083333333333357</v>
      </c>
      <c r="AS19" s="179">
        <f t="shared" ca="1" si="30"/>
        <v>22.291666666666664</v>
      </c>
      <c r="AT19" s="179">
        <f t="shared" ca="1" si="31"/>
        <v>-7.7083333333333357</v>
      </c>
      <c r="AU19" s="179">
        <f t="shared" ca="1" si="32"/>
        <v>7.2916666666666643</v>
      </c>
      <c r="AV19" s="179">
        <f t="shared" ca="1" si="33"/>
        <v>2.2916666666666643</v>
      </c>
      <c r="AW19" s="179">
        <f t="shared" ca="1" si="34"/>
        <v>-17.708333333333336</v>
      </c>
      <c r="AX19" s="179">
        <f t="shared" ca="1" si="35"/>
        <v>7.2916666666666643</v>
      </c>
      <c r="AY19" s="179">
        <f t="shared" ca="1" si="36"/>
        <v>-7.7083333333333357</v>
      </c>
      <c r="AZ19" s="179">
        <f t="shared" ca="1" si="37"/>
        <v>2.2916666666666643</v>
      </c>
      <c r="BA19" s="179">
        <f t="shared" ca="1" si="38"/>
        <v>2.2916666666666643</v>
      </c>
    </row>
    <row r="20" spans="1:53">
      <c r="A20" s="173">
        <v>19</v>
      </c>
      <c r="B20" s="157" t="str">
        <f t="shared" si="14"/>
        <v>Spanje-Chili</v>
      </c>
      <c r="C20" s="298">
        <f ca="1">IF(VLOOKUP($A20,INDIRECT(C$1&amp;loc_voorspell),15,0)&lt;&gt;"",VLOOKUP($A20,INDIRECT(C$1&amp;loc_voorspell),15,0)+C19,"")</f>
        <v>65</v>
      </c>
      <c r="D20" s="298">
        <f ca="1">IF(VLOOKUP($A20,INDIRECT(D$1&amp;loc_voorspell),15,0)&lt;&gt;"",VLOOKUP($A20,INDIRECT(D$1&amp;loc_voorspell),15,0)+D19,"")</f>
        <v>65</v>
      </c>
      <c r="E20" s="298">
        <f ca="1">IF(VLOOKUP($A20,INDIRECT(E$1&amp;loc_voorspell),15,0)&lt;&gt;"",VLOOKUP($A20,INDIRECT(E$1&amp;loc_voorspell),15,0)+E19,"")</f>
        <v>45</v>
      </c>
      <c r="F20" s="298">
        <f ca="1">IF(VLOOKUP($A20,INDIRECT(F$1&amp;loc_voorspell),15,0)&lt;&gt;"",VLOOKUP($A20,INDIRECT(F$1&amp;loc_voorspell),15,0)+F19,"")</f>
        <v>50</v>
      </c>
      <c r="G20" s="298">
        <f ca="1">IF(VLOOKUP($A20,INDIRECT(G$1&amp;loc_voorspell),15,0)&lt;&gt;"",VLOOKUP($A20,INDIRECT(G$1&amp;loc_voorspell),15,0)+G19,"")</f>
        <v>65</v>
      </c>
      <c r="H20" s="298">
        <f ca="1">IF(VLOOKUP($A20,INDIRECT(H$1&amp;loc_voorspell),15,0)&lt;&gt;"",VLOOKUP($A20,INDIRECT(H$1&amp;loc_voorspell),15,0)+H19,"")</f>
        <v>50</v>
      </c>
      <c r="I20" s="298">
        <f ca="1">IF(VLOOKUP($A20,INDIRECT(I$1&amp;loc_voorspell),15,0)&lt;&gt;"",VLOOKUP($A20,INDIRECT(I$1&amp;loc_voorspell),15,0)+I19,"")</f>
        <v>50</v>
      </c>
      <c r="J20" s="298">
        <f ca="1">IF(VLOOKUP($A20,INDIRECT(J$1&amp;loc_voorspell),15,0)&lt;&gt;"",VLOOKUP($A20,INDIRECT(J$1&amp;loc_voorspell),15,0)+J19,"")</f>
        <v>75</v>
      </c>
      <c r="K20" s="298">
        <f ca="1">IF(VLOOKUP($A20,INDIRECT(K$1&amp;loc_voorspell),15,0)&lt;&gt;"",VLOOKUP($A20,INDIRECT(K$1&amp;loc_voorspell),15,0)+K19,"")</f>
        <v>60</v>
      </c>
      <c r="L20" s="298">
        <f ca="1">IF(VLOOKUP($A20,INDIRECT(L$1&amp;loc_voorspell),15,0)&lt;&gt;"",VLOOKUP($A20,INDIRECT(L$1&amp;loc_voorspell),15,0)+L19,"")</f>
        <v>55</v>
      </c>
      <c r="M20" s="298">
        <f ca="1">IF(VLOOKUP($A20,INDIRECT(M$1&amp;loc_voorspell),15,0)&lt;&gt;"",VLOOKUP($A20,INDIRECT(M$1&amp;loc_voorspell),15,0)+M19,"")</f>
        <v>55</v>
      </c>
      <c r="N20" s="298">
        <f ca="1">IF(VLOOKUP($A20,INDIRECT(N$1&amp;loc_voorspell),15,0)&lt;&gt;"",VLOOKUP($A20,INDIRECT(N$1&amp;loc_voorspell),15,0)+N19,"")</f>
        <v>80</v>
      </c>
      <c r="O20" s="298">
        <f ca="1">IF(VLOOKUP($A20,INDIRECT(O$1&amp;loc_voorspell),15,0)&lt;&gt;"",VLOOKUP($A20,INDIRECT(O$1&amp;loc_voorspell),15,0)+O19,"")</f>
        <v>50</v>
      </c>
      <c r="P20" s="298">
        <f ca="1">IF(VLOOKUP($A20,INDIRECT(P$1&amp;loc_voorspell),15,0)&lt;&gt;"",VLOOKUP($A20,INDIRECT(P$1&amp;loc_voorspell),15,0)+P19,"")</f>
        <v>40</v>
      </c>
      <c r="Q20" s="298">
        <f ca="1">IF(VLOOKUP($A20,INDIRECT(Q$1&amp;loc_voorspell),15,0)&lt;&gt;"",VLOOKUP($A20,INDIRECT(Q$1&amp;loc_voorspell),15,0)+Q19,"")</f>
        <v>50</v>
      </c>
      <c r="R20" s="298">
        <f ca="1">IF(VLOOKUP($A20,INDIRECT(R$1&amp;loc_voorspell),15,0)&lt;&gt;"",VLOOKUP($A20,INDIRECT(R$1&amp;loc_voorspell),15,0)+R19,"")</f>
        <v>80</v>
      </c>
      <c r="S20" s="298">
        <f ca="1">IF(VLOOKUP($A20,INDIRECT(S$1&amp;loc_voorspell),15,0)&lt;&gt;"",VLOOKUP($A20,INDIRECT(S$1&amp;loc_voorspell),15,0)+S19,"")</f>
        <v>50</v>
      </c>
      <c r="T20" s="298">
        <f ca="1">IF(VLOOKUP($A20,INDIRECT(T$1&amp;loc_voorspell),15,0)&lt;&gt;"",VLOOKUP($A20,INDIRECT(T$1&amp;loc_voorspell),15,0)+T19,"")</f>
        <v>65</v>
      </c>
      <c r="U20" s="298">
        <f ca="1">IF(VLOOKUP($A20,INDIRECT(U$1&amp;loc_voorspell),15,0)&lt;&gt;"",VLOOKUP($A20,INDIRECT(U$1&amp;loc_voorspell),15,0)+U19,"")</f>
        <v>60</v>
      </c>
      <c r="V20" s="298">
        <f ca="1">IF(VLOOKUP($A20,INDIRECT(V$1&amp;loc_voorspell),15,0)&lt;&gt;"",VLOOKUP($A20,INDIRECT(V$1&amp;loc_voorspell),15,0)+V19,"")</f>
        <v>40</v>
      </c>
      <c r="W20" s="298">
        <f ca="1">IF(VLOOKUP($A20,INDIRECT(W$1&amp;loc_voorspell),15,0)&lt;&gt;"",VLOOKUP($A20,INDIRECT(W$1&amp;loc_voorspell),15,0)+W19,"")</f>
        <v>65</v>
      </c>
      <c r="X20" s="298">
        <f ca="1">IF(VLOOKUP($A20,INDIRECT(X$1&amp;loc_voorspell),15,0)&lt;&gt;"",VLOOKUP($A20,INDIRECT(X$1&amp;loc_voorspell),15,0)+X19,"")</f>
        <v>50</v>
      </c>
      <c r="Y20" s="298">
        <f ca="1">IF(VLOOKUP($A20,INDIRECT(Y$1&amp;loc_voorspell),15,0)&lt;&gt;"",VLOOKUP($A20,INDIRECT(Y$1&amp;loc_voorspell),15,0)+Y19,"")</f>
        <v>60</v>
      </c>
      <c r="Z20" s="298">
        <f ca="1">IF(VLOOKUP($A20,INDIRECT(Z$1&amp;loc_voorspell),15,0)&lt;&gt;"",VLOOKUP($A20,INDIRECT(Z$1&amp;loc_voorspell),15,0)+Z19,"")</f>
        <v>60</v>
      </c>
      <c r="AA20" s="165">
        <f t="shared" ca="1" si="39"/>
        <v>57.708333333333336</v>
      </c>
      <c r="AB20" s="178">
        <f t="shared" ca="1" si="41"/>
        <v>0</v>
      </c>
      <c r="AC20" s="331" t="str">
        <f t="shared" si="40"/>
        <v>Spanje-Chili</v>
      </c>
      <c r="AD20" s="179">
        <f t="shared" ca="1" si="16"/>
        <v>7.2916666666666643</v>
      </c>
      <c r="AE20" s="179">
        <f t="shared" ca="1" si="17"/>
        <v>7.2916666666666643</v>
      </c>
      <c r="AF20" s="179">
        <f t="shared" ca="1" si="18"/>
        <v>-12.708333333333336</v>
      </c>
      <c r="AG20" s="179">
        <f t="shared" ca="1" si="19"/>
        <v>-7.7083333333333357</v>
      </c>
      <c r="AH20" s="179">
        <f t="shared" ca="1" si="20"/>
        <v>7.2916666666666643</v>
      </c>
      <c r="AI20" s="179">
        <f t="shared" ca="1" si="21"/>
        <v>-7.7083333333333357</v>
      </c>
      <c r="AJ20" s="179">
        <f t="shared" ca="1" si="22"/>
        <v>-7.7083333333333357</v>
      </c>
      <c r="AK20" s="179">
        <f t="shared" ca="1" si="23"/>
        <v>17.291666666666664</v>
      </c>
      <c r="AL20" s="179">
        <f t="shared" ca="1" si="24"/>
        <v>2.2916666666666643</v>
      </c>
      <c r="AM20" s="179">
        <f t="shared" ca="1" si="25"/>
        <v>-2.7083333333333357</v>
      </c>
      <c r="AN20" s="179">
        <f t="shared" ca="1" si="26"/>
        <v>-2.7083333333333357</v>
      </c>
      <c r="AO20" s="179">
        <f t="shared" ca="1" si="27"/>
        <v>-7.7083333333333357</v>
      </c>
      <c r="AP20" s="179">
        <f t="shared" ca="1" si="28"/>
        <v>-7.7083333333333357</v>
      </c>
      <c r="AQ20" s="179">
        <f t="shared" ca="1" si="28"/>
        <v>-17.708333333333336</v>
      </c>
      <c r="AR20" s="179">
        <f t="shared" ca="1" si="29"/>
        <v>-7.7083333333333357</v>
      </c>
      <c r="AS20" s="179">
        <f t="shared" ca="1" si="30"/>
        <v>22.291666666666664</v>
      </c>
      <c r="AT20" s="179">
        <f t="shared" ca="1" si="31"/>
        <v>-7.7083333333333357</v>
      </c>
      <c r="AU20" s="179">
        <f t="shared" ca="1" si="32"/>
        <v>7.2916666666666643</v>
      </c>
      <c r="AV20" s="179">
        <f t="shared" ca="1" si="33"/>
        <v>2.2916666666666643</v>
      </c>
      <c r="AW20" s="179">
        <f t="shared" ca="1" si="34"/>
        <v>-17.708333333333336</v>
      </c>
      <c r="AX20" s="179">
        <f t="shared" ca="1" si="35"/>
        <v>7.2916666666666643</v>
      </c>
      <c r="AY20" s="179">
        <f t="shared" ca="1" si="36"/>
        <v>-7.7083333333333357</v>
      </c>
      <c r="AZ20" s="179">
        <f t="shared" ca="1" si="37"/>
        <v>2.2916666666666643</v>
      </c>
      <c r="BA20" s="179">
        <f t="shared" ca="1" si="38"/>
        <v>2.2916666666666643</v>
      </c>
    </row>
    <row r="21" spans="1:53">
      <c r="A21" s="173">
        <v>18</v>
      </c>
      <c r="B21" s="158" t="str">
        <f t="shared" si="14"/>
        <v>Kameroen-Kroatië</v>
      </c>
      <c r="C21" s="299">
        <f ca="1">IF(VLOOKUP($A21,INDIRECT(C$1&amp;loc_voorspell),15,0)&lt;&gt;"",VLOOKUP($A21,INDIRECT(C$1&amp;loc_voorspell),15,0)+C20,"")</f>
        <v>70</v>
      </c>
      <c r="D21" s="299">
        <f ca="1">IF(VLOOKUP($A21,INDIRECT(D$1&amp;loc_voorspell),15,0)&lt;&gt;"",VLOOKUP($A21,INDIRECT(D$1&amp;loc_voorspell),15,0)+D20,"")</f>
        <v>70</v>
      </c>
      <c r="E21" s="299">
        <f ca="1">IF(VLOOKUP($A21,INDIRECT(E$1&amp;loc_voorspell),15,0)&lt;&gt;"",VLOOKUP($A21,INDIRECT(E$1&amp;loc_voorspell),15,0)+E20,"")</f>
        <v>50</v>
      </c>
      <c r="F21" s="299">
        <f ca="1">IF(VLOOKUP($A21,INDIRECT(F$1&amp;loc_voorspell),15,0)&lt;&gt;"",VLOOKUP($A21,INDIRECT(F$1&amp;loc_voorspell),15,0)+F20,"")</f>
        <v>55</v>
      </c>
      <c r="G21" s="299">
        <f ca="1">IF(VLOOKUP($A21,INDIRECT(G$1&amp;loc_voorspell),15,0)&lt;&gt;"",VLOOKUP($A21,INDIRECT(G$1&amp;loc_voorspell),15,0)+G20,"")</f>
        <v>70</v>
      </c>
      <c r="H21" s="299">
        <f ca="1">IF(VLOOKUP($A21,INDIRECT(H$1&amp;loc_voorspell),15,0)&lt;&gt;"",VLOOKUP($A21,INDIRECT(H$1&amp;loc_voorspell),15,0)+H20,"")</f>
        <v>55</v>
      </c>
      <c r="I21" s="299">
        <f ca="1">IF(VLOOKUP($A21,INDIRECT(I$1&amp;loc_voorspell),15,0)&lt;&gt;"",VLOOKUP($A21,INDIRECT(I$1&amp;loc_voorspell),15,0)+I20,"")</f>
        <v>50</v>
      </c>
      <c r="J21" s="299">
        <f ca="1">IF(VLOOKUP($A21,INDIRECT(J$1&amp;loc_voorspell),15,0)&lt;&gt;"",VLOOKUP($A21,INDIRECT(J$1&amp;loc_voorspell),15,0)+J20,"")</f>
        <v>80</v>
      </c>
      <c r="K21" s="299">
        <f ca="1">IF(VLOOKUP($A21,INDIRECT(K$1&amp;loc_voorspell),15,0)&lt;&gt;"",VLOOKUP($A21,INDIRECT(K$1&amp;loc_voorspell),15,0)+K20,"")</f>
        <v>65</v>
      </c>
      <c r="L21" s="299">
        <f ca="1">IF(VLOOKUP($A21,INDIRECT(L$1&amp;loc_voorspell),15,0)&lt;&gt;"",VLOOKUP($A21,INDIRECT(L$1&amp;loc_voorspell),15,0)+L20,"")</f>
        <v>55</v>
      </c>
      <c r="M21" s="299">
        <f ca="1">IF(VLOOKUP($A21,INDIRECT(M$1&amp;loc_voorspell),15,0)&lt;&gt;"",VLOOKUP($A21,INDIRECT(M$1&amp;loc_voorspell),15,0)+M20,"")</f>
        <v>55</v>
      </c>
      <c r="N21" s="299">
        <f ca="1">IF(VLOOKUP($A21,INDIRECT(N$1&amp;loc_voorspell),15,0)&lt;&gt;"",VLOOKUP($A21,INDIRECT(N$1&amp;loc_voorspell),15,0)+N20,"")</f>
        <v>80</v>
      </c>
      <c r="O21" s="299">
        <f ca="1">IF(VLOOKUP($A21,INDIRECT(O$1&amp;loc_voorspell),15,0)&lt;&gt;"",VLOOKUP($A21,INDIRECT(O$1&amp;loc_voorspell),15,0)+O20,"")</f>
        <v>50</v>
      </c>
      <c r="P21" s="299">
        <f ca="1">IF(VLOOKUP($A21,INDIRECT(P$1&amp;loc_voorspell),15,0)&lt;&gt;"",VLOOKUP($A21,INDIRECT(P$1&amp;loc_voorspell),15,0)+P20,"")</f>
        <v>45</v>
      </c>
      <c r="Q21" s="299">
        <f ca="1">IF(VLOOKUP($A21,INDIRECT(Q$1&amp;loc_voorspell),15,0)&lt;&gt;"",VLOOKUP($A21,INDIRECT(Q$1&amp;loc_voorspell),15,0)+Q20,"")</f>
        <v>55</v>
      </c>
      <c r="R21" s="299">
        <f ca="1">IF(VLOOKUP($A21,INDIRECT(R$1&amp;loc_voorspell),15,0)&lt;&gt;"",VLOOKUP($A21,INDIRECT(R$1&amp;loc_voorspell),15,0)+R20,"")</f>
        <v>85</v>
      </c>
      <c r="S21" s="299">
        <f ca="1">IF(VLOOKUP($A21,INDIRECT(S$1&amp;loc_voorspell),15,0)&lt;&gt;"",VLOOKUP($A21,INDIRECT(S$1&amp;loc_voorspell),15,0)+S20,"")</f>
        <v>50</v>
      </c>
      <c r="T21" s="299">
        <f ca="1">IF(VLOOKUP($A21,INDIRECT(T$1&amp;loc_voorspell),15,0)&lt;&gt;"",VLOOKUP($A21,INDIRECT(T$1&amp;loc_voorspell),15,0)+T20,"")</f>
        <v>70</v>
      </c>
      <c r="U21" s="299">
        <f ca="1">IF(VLOOKUP($A21,INDIRECT(U$1&amp;loc_voorspell),15,0)&lt;&gt;"",VLOOKUP($A21,INDIRECT(U$1&amp;loc_voorspell),15,0)+U20,"")</f>
        <v>60</v>
      </c>
      <c r="V21" s="299">
        <f ca="1">IF(VLOOKUP($A21,INDIRECT(V$1&amp;loc_voorspell),15,0)&lt;&gt;"",VLOOKUP($A21,INDIRECT(V$1&amp;loc_voorspell),15,0)+V20,"")</f>
        <v>45</v>
      </c>
      <c r="W21" s="299">
        <f ca="1">IF(VLOOKUP($A21,INDIRECT(W$1&amp;loc_voorspell),15,0)&lt;&gt;"",VLOOKUP($A21,INDIRECT(W$1&amp;loc_voorspell),15,0)+W20,"")</f>
        <v>70</v>
      </c>
      <c r="X21" s="299">
        <f ca="1">IF(VLOOKUP($A21,INDIRECT(X$1&amp;loc_voorspell),15,0)&lt;&gt;"",VLOOKUP($A21,INDIRECT(X$1&amp;loc_voorspell),15,0)+X20,"")</f>
        <v>50</v>
      </c>
      <c r="Y21" s="299">
        <f ca="1">IF(VLOOKUP($A21,INDIRECT(Y$1&amp;loc_voorspell),15,0)&lt;&gt;"",VLOOKUP($A21,INDIRECT(Y$1&amp;loc_voorspell),15,0)+Y20,"")</f>
        <v>65</v>
      </c>
      <c r="Z21" s="299">
        <f ca="1">IF(VLOOKUP($A21,INDIRECT(Z$1&amp;loc_voorspell),15,0)&lt;&gt;"",VLOOKUP($A21,INDIRECT(Z$1&amp;loc_voorspell),15,0)+Z20,"")</f>
        <v>65</v>
      </c>
      <c r="AA21" s="165">
        <f t="shared" ca="1" si="39"/>
        <v>61.041666666666664</v>
      </c>
      <c r="AB21" s="178">
        <f t="shared" ca="1" si="41"/>
        <v>3.3333333333333286</v>
      </c>
      <c r="AC21" s="331" t="str">
        <f t="shared" si="40"/>
        <v>Kameroen-Kroatië</v>
      </c>
      <c r="AD21" s="179">
        <f t="shared" ca="1" si="16"/>
        <v>8.9583333333333357</v>
      </c>
      <c r="AE21" s="179">
        <f t="shared" ca="1" si="17"/>
        <v>8.9583333333333357</v>
      </c>
      <c r="AF21" s="179">
        <f t="shared" ca="1" si="18"/>
        <v>-11.041666666666664</v>
      </c>
      <c r="AG21" s="179">
        <f t="shared" ca="1" si="19"/>
        <v>-6.0416666666666643</v>
      </c>
      <c r="AH21" s="179">
        <f t="shared" ca="1" si="20"/>
        <v>8.9583333333333357</v>
      </c>
      <c r="AI21" s="179">
        <f t="shared" ca="1" si="21"/>
        <v>-6.0416666666666643</v>
      </c>
      <c r="AJ21" s="179">
        <f t="shared" ca="1" si="22"/>
        <v>-11.041666666666664</v>
      </c>
      <c r="AK21" s="179">
        <f t="shared" ca="1" si="23"/>
        <v>18.958333333333336</v>
      </c>
      <c r="AL21" s="179">
        <f t="shared" ca="1" si="24"/>
        <v>3.9583333333333357</v>
      </c>
      <c r="AM21" s="179">
        <f t="shared" ca="1" si="25"/>
        <v>-6.0416666666666643</v>
      </c>
      <c r="AN21" s="179">
        <f t="shared" ca="1" si="26"/>
        <v>-6.0416666666666643</v>
      </c>
      <c r="AO21" s="179">
        <f t="shared" ca="1" si="27"/>
        <v>-11.041666666666664</v>
      </c>
      <c r="AP21" s="179">
        <f t="shared" ca="1" si="28"/>
        <v>-11.041666666666664</v>
      </c>
      <c r="AQ21" s="179">
        <f t="shared" ca="1" si="28"/>
        <v>-16.041666666666664</v>
      </c>
      <c r="AR21" s="179">
        <f t="shared" ca="1" si="29"/>
        <v>-6.0416666666666643</v>
      </c>
      <c r="AS21" s="179">
        <f t="shared" ca="1" si="30"/>
        <v>23.958333333333336</v>
      </c>
      <c r="AT21" s="179">
        <f t="shared" ca="1" si="31"/>
        <v>-11.041666666666664</v>
      </c>
      <c r="AU21" s="179">
        <f t="shared" ca="1" si="32"/>
        <v>8.9583333333333357</v>
      </c>
      <c r="AV21" s="179">
        <f t="shared" ca="1" si="33"/>
        <v>-1.0416666666666643</v>
      </c>
      <c r="AW21" s="179">
        <f t="shared" ca="1" si="34"/>
        <v>-16.041666666666664</v>
      </c>
      <c r="AX21" s="179">
        <f t="shared" ca="1" si="35"/>
        <v>8.9583333333333357</v>
      </c>
      <c r="AY21" s="179">
        <f t="shared" ca="1" si="36"/>
        <v>-11.041666666666664</v>
      </c>
      <c r="AZ21" s="179">
        <f t="shared" ca="1" si="37"/>
        <v>3.9583333333333357</v>
      </c>
      <c r="BA21" s="179">
        <f t="shared" ca="1" si="38"/>
        <v>3.9583333333333357</v>
      </c>
    </row>
    <row r="22" spans="1:53" ht="12.75" customHeight="1">
      <c r="A22" s="173">
        <v>21</v>
      </c>
      <c r="B22" s="157" t="str">
        <f t="shared" si="14"/>
        <v>Colombia-Ivoorkust</v>
      </c>
      <c r="C22" s="298">
        <f ca="1">IF(VLOOKUP($A22,INDIRECT(C$1&amp;loc_voorspell),15,0)&lt;&gt;"",VLOOKUP($A22,INDIRECT(C$1&amp;loc_voorspell),15,0)+C21,"")</f>
        <v>70</v>
      </c>
      <c r="D22" s="298">
        <f ca="1">IF(VLOOKUP($A22,INDIRECT(D$1&amp;loc_voorspell),15,0)&lt;&gt;"",VLOOKUP($A22,INDIRECT(D$1&amp;loc_voorspell),15,0)+D21,"")</f>
        <v>75</v>
      </c>
      <c r="E22" s="298">
        <f ca="1">IF(VLOOKUP($A22,INDIRECT(E$1&amp;loc_voorspell),15,0)&lt;&gt;"",VLOOKUP($A22,INDIRECT(E$1&amp;loc_voorspell),15,0)+E21,"")</f>
        <v>55</v>
      </c>
      <c r="F22" s="298">
        <f ca="1">IF(VLOOKUP($A22,INDIRECT(F$1&amp;loc_voorspell),15,0)&lt;&gt;"",VLOOKUP($A22,INDIRECT(F$1&amp;loc_voorspell),15,0)+F21,"")</f>
        <v>60</v>
      </c>
      <c r="G22" s="298">
        <f ca="1">IF(VLOOKUP($A22,INDIRECT(G$1&amp;loc_voorspell),15,0)&lt;&gt;"",VLOOKUP($A22,INDIRECT(G$1&amp;loc_voorspell),15,0)+G21,"")</f>
        <v>70</v>
      </c>
      <c r="H22" s="298">
        <f ca="1">IF(VLOOKUP($A22,INDIRECT(H$1&amp;loc_voorspell),15,0)&lt;&gt;"",VLOOKUP($A22,INDIRECT(H$1&amp;loc_voorspell),15,0)+H21,"")</f>
        <v>55</v>
      </c>
      <c r="I22" s="298">
        <f ca="1">IF(VLOOKUP($A22,INDIRECT(I$1&amp;loc_voorspell),15,0)&lt;&gt;"",VLOOKUP($A22,INDIRECT(I$1&amp;loc_voorspell),15,0)+I21,"")</f>
        <v>50</v>
      </c>
      <c r="J22" s="298">
        <f ca="1">IF(VLOOKUP($A22,INDIRECT(J$1&amp;loc_voorspell),15,0)&lt;&gt;"",VLOOKUP($A22,INDIRECT(J$1&amp;loc_voorspell),15,0)+J21,"")</f>
        <v>90</v>
      </c>
      <c r="K22" s="298">
        <f ca="1">IF(VLOOKUP($A22,INDIRECT(K$1&amp;loc_voorspell),15,0)&lt;&gt;"",VLOOKUP($A22,INDIRECT(K$1&amp;loc_voorspell),15,0)+K21,"")</f>
        <v>65</v>
      </c>
      <c r="L22" s="298">
        <f ca="1">IF(VLOOKUP($A22,INDIRECT(L$1&amp;loc_voorspell),15,0)&lt;&gt;"",VLOOKUP($A22,INDIRECT(L$1&amp;loc_voorspell),15,0)+L21,"")</f>
        <v>60</v>
      </c>
      <c r="M22" s="298">
        <f ca="1">IF(VLOOKUP($A22,INDIRECT(M$1&amp;loc_voorspell),15,0)&lt;&gt;"",VLOOKUP($A22,INDIRECT(M$1&amp;loc_voorspell),15,0)+M21,"")</f>
        <v>60</v>
      </c>
      <c r="N22" s="298">
        <f ca="1">IF(VLOOKUP($A22,INDIRECT(N$1&amp;loc_voorspell),15,0)&lt;&gt;"",VLOOKUP($A22,INDIRECT(N$1&amp;loc_voorspell),15,0)+N21,"")</f>
        <v>80</v>
      </c>
      <c r="O22" s="298">
        <f ca="1">IF(VLOOKUP($A22,INDIRECT(O$1&amp;loc_voorspell),15,0)&lt;&gt;"",VLOOKUP($A22,INDIRECT(O$1&amp;loc_voorspell),15,0)+O21,"")</f>
        <v>55</v>
      </c>
      <c r="P22" s="298">
        <f ca="1">IF(VLOOKUP($A22,INDIRECT(P$1&amp;loc_voorspell),15,0)&lt;&gt;"",VLOOKUP($A22,INDIRECT(P$1&amp;loc_voorspell),15,0)+P21,"")</f>
        <v>45</v>
      </c>
      <c r="Q22" s="298">
        <f ca="1">IF(VLOOKUP($A22,INDIRECT(Q$1&amp;loc_voorspell),15,0)&lt;&gt;"",VLOOKUP($A22,INDIRECT(Q$1&amp;loc_voorspell),15,0)+Q21,"")</f>
        <v>60</v>
      </c>
      <c r="R22" s="298">
        <f ca="1">IF(VLOOKUP($A22,INDIRECT(R$1&amp;loc_voorspell),15,0)&lt;&gt;"",VLOOKUP($A22,INDIRECT(R$1&amp;loc_voorspell),15,0)+R21,"")</f>
        <v>85</v>
      </c>
      <c r="S22" s="298">
        <f ca="1">IF(VLOOKUP($A22,INDIRECT(S$1&amp;loc_voorspell),15,0)&lt;&gt;"",VLOOKUP($A22,INDIRECT(S$1&amp;loc_voorspell),15,0)+S21,"")</f>
        <v>50</v>
      </c>
      <c r="T22" s="298">
        <f ca="1">IF(VLOOKUP($A22,INDIRECT(T$1&amp;loc_voorspell),15,0)&lt;&gt;"",VLOOKUP($A22,INDIRECT(T$1&amp;loc_voorspell),15,0)+T21,"")</f>
        <v>70</v>
      </c>
      <c r="U22" s="298">
        <f ca="1">IF(VLOOKUP($A22,INDIRECT(U$1&amp;loc_voorspell),15,0)&lt;&gt;"",VLOOKUP($A22,INDIRECT(U$1&amp;loc_voorspell),15,0)+U21,"")</f>
        <v>60</v>
      </c>
      <c r="V22" s="298">
        <f ca="1">IF(VLOOKUP($A22,INDIRECT(V$1&amp;loc_voorspell),15,0)&lt;&gt;"",VLOOKUP($A22,INDIRECT(V$1&amp;loc_voorspell),15,0)+V21,"")</f>
        <v>45</v>
      </c>
      <c r="W22" s="298">
        <f ca="1">IF(VLOOKUP($A22,INDIRECT(W$1&amp;loc_voorspell),15,0)&lt;&gt;"",VLOOKUP($A22,INDIRECT(W$1&amp;loc_voorspell),15,0)+W21,"")</f>
        <v>75</v>
      </c>
      <c r="X22" s="298">
        <f ca="1">IF(VLOOKUP($A22,INDIRECT(X$1&amp;loc_voorspell),15,0)&lt;&gt;"",VLOOKUP($A22,INDIRECT(X$1&amp;loc_voorspell),15,0)+X21,"")</f>
        <v>50</v>
      </c>
      <c r="Y22" s="298">
        <f ca="1">IF(VLOOKUP($A22,INDIRECT(Y$1&amp;loc_voorspell),15,0)&lt;&gt;"",VLOOKUP($A22,INDIRECT(Y$1&amp;loc_voorspell),15,0)+Y21,"")</f>
        <v>75</v>
      </c>
      <c r="Z22" s="298">
        <f ca="1">IF(VLOOKUP($A22,INDIRECT(Z$1&amp;loc_voorspell),15,0)&lt;&gt;"",VLOOKUP($A22,INDIRECT(Z$1&amp;loc_voorspell),15,0)+Z21,"")</f>
        <v>70</v>
      </c>
      <c r="AA22" s="165">
        <f t="shared" ca="1" si="39"/>
        <v>63.75</v>
      </c>
      <c r="AB22" s="178">
        <f t="shared" ca="1" si="41"/>
        <v>2.7083333333333357</v>
      </c>
      <c r="AC22" s="331" t="str">
        <f t="shared" si="40"/>
        <v>Colombia-Ivoorkust</v>
      </c>
      <c r="AD22" s="179">
        <f t="shared" ca="1" si="16"/>
        <v>6.25</v>
      </c>
      <c r="AE22" s="179">
        <f t="shared" ca="1" si="17"/>
        <v>11.25</v>
      </c>
      <c r="AF22" s="179">
        <f t="shared" ca="1" si="18"/>
        <v>-8.75</v>
      </c>
      <c r="AG22" s="179">
        <f t="shared" ca="1" si="19"/>
        <v>-3.75</v>
      </c>
      <c r="AH22" s="179">
        <f t="shared" ca="1" si="20"/>
        <v>6.25</v>
      </c>
      <c r="AI22" s="179">
        <f t="shared" ca="1" si="21"/>
        <v>-8.75</v>
      </c>
      <c r="AJ22" s="179">
        <f t="shared" ca="1" si="22"/>
        <v>-13.75</v>
      </c>
      <c r="AK22" s="179">
        <f t="shared" ca="1" si="23"/>
        <v>26.25</v>
      </c>
      <c r="AL22" s="179">
        <f t="shared" ca="1" si="24"/>
        <v>1.25</v>
      </c>
      <c r="AM22" s="179">
        <f t="shared" ca="1" si="25"/>
        <v>-3.75</v>
      </c>
      <c r="AN22" s="179">
        <f t="shared" ca="1" si="26"/>
        <v>-3.75</v>
      </c>
      <c r="AO22" s="179">
        <f t="shared" ca="1" si="27"/>
        <v>-8.75</v>
      </c>
      <c r="AP22" s="179">
        <f t="shared" ca="1" si="28"/>
        <v>-8.75</v>
      </c>
      <c r="AQ22" s="179">
        <f t="shared" ca="1" si="28"/>
        <v>-18.75</v>
      </c>
      <c r="AR22" s="179">
        <f t="shared" ca="1" si="29"/>
        <v>-3.75</v>
      </c>
      <c r="AS22" s="179">
        <f t="shared" ca="1" si="30"/>
        <v>21.25</v>
      </c>
      <c r="AT22" s="179">
        <f t="shared" ca="1" si="31"/>
        <v>-13.75</v>
      </c>
      <c r="AU22" s="179">
        <f t="shared" ca="1" si="32"/>
        <v>6.25</v>
      </c>
      <c r="AV22" s="179">
        <f t="shared" ca="1" si="33"/>
        <v>-3.75</v>
      </c>
      <c r="AW22" s="179">
        <f t="shared" ca="1" si="34"/>
        <v>-18.75</v>
      </c>
      <c r="AX22" s="179">
        <f t="shared" ca="1" si="35"/>
        <v>11.25</v>
      </c>
      <c r="AY22" s="179">
        <f t="shared" ca="1" si="36"/>
        <v>-13.75</v>
      </c>
      <c r="AZ22" s="179">
        <f t="shared" ca="1" si="37"/>
        <v>11.25</v>
      </c>
      <c r="BA22" s="179">
        <f t="shared" ca="1" si="38"/>
        <v>6.25</v>
      </c>
    </row>
    <row r="23" spans="1:53" ht="12.75" customHeight="1">
      <c r="A23" s="173">
        <v>23</v>
      </c>
      <c r="B23" s="158" t="str">
        <f t="shared" si="14"/>
        <v>Uruguay-Engeland</v>
      </c>
      <c r="C23" s="299">
        <f ca="1">IF(VLOOKUP($A23,INDIRECT(C$1&amp;loc_voorspell),15,0)&lt;&gt;"",VLOOKUP($A23,INDIRECT(C$1&amp;loc_voorspell),15,0)+C22,"")</f>
        <v>80</v>
      </c>
      <c r="D23" s="299">
        <f ca="1">IF(VLOOKUP($A23,INDIRECT(D$1&amp;loc_voorspell),15,0)&lt;&gt;"",VLOOKUP($A23,INDIRECT(D$1&amp;loc_voorspell),15,0)+D22,"")</f>
        <v>75</v>
      </c>
      <c r="E23" s="299">
        <f ca="1">IF(VLOOKUP($A23,INDIRECT(E$1&amp;loc_voorspell),15,0)&lt;&gt;"",VLOOKUP($A23,INDIRECT(E$1&amp;loc_voorspell),15,0)+E22,"")</f>
        <v>55</v>
      </c>
      <c r="F23" s="299">
        <f ca="1">IF(VLOOKUP($A23,INDIRECT(F$1&amp;loc_voorspell),15,0)&lt;&gt;"",VLOOKUP($A23,INDIRECT(F$1&amp;loc_voorspell),15,0)+F22,"")</f>
        <v>70</v>
      </c>
      <c r="G23" s="299">
        <f ca="1">IF(VLOOKUP($A23,INDIRECT(G$1&amp;loc_voorspell),15,0)&lt;&gt;"",VLOOKUP($A23,INDIRECT(G$1&amp;loc_voorspell),15,0)+G22,"")</f>
        <v>80</v>
      </c>
      <c r="H23" s="299">
        <f ca="1">IF(VLOOKUP($A23,INDIRECT(H$1&amp;loc_voorspell),15,0)&lt;&gt;"",VLOOKUP($A23,INDIRECT(H$1&amp;loc_voorspell),15,0)+H22,"")</f>
        <v>55</v>
      </c>
      <c r="I23" s="299">
        <f ca="1">IF(VLOOKUP($A23,INDIRECT(I$1&amp;loc_voorspell),15,0)&lt;&gt;"",VLOOKUP($A23,INDIRECT(I$1&amp;loc_voorspell),15,0)+I22,"")</f>
        <v>50</v>
      </c>
      <c r="J23" s="299">
        <f ca="1">IF(VLOOKUP($A23,INDIRECT(J$1&amp;loc_voorspell),15,0)&lt;&gt;"",VLOOKUP($A23,INDIRECT(J$1&amp;loc_voorspell),15,0)+J22,"")</f>
        <v>90</v>
      </c>
      <c r="K23" s="299">
        <f ca="1">IF(VLOOKUP($A23,INDIRECT(K$1&amp;loc_voorspell),15,0)&lt;&gt;"",VLOOKUP($A23,INDIRECT(K$1&amp;loc_voorspell),15,0)+K22,"")</f>
        <v>70</v>
      </c>
      <c r="L23" s="299">
        <f ca="1">IF(VLOOKUP($A23,INDIRECT(L$1&amp;loc_voorspell),15,0)&lt;&gt;"",VLOOKUP($A23,INDIRECT(L$1&amp;loc_voorspell),15,0)+L22,"")</f>
        <v>65</v>
      </c>
      <c r="M23" s="299">
        <f ca="1">IF(VLOOKUP($A23,INDIRECT(M$1&amp;loc_voorspell),15,0)&lt;&gt;"",VLOOKUP($A23,INDIRECT(M$1&amp;loc_voorspell),15,0)+M22,"")</f>
        <v>60</v>
      </c>
      <c r="N23" s="299">
        <f ca="1">IF(VLOOKUP($A23,INDIRECT(N$1&amp;loc_voorspell),15,0)&lt;&gt;"",VLOOKUP($A23,INDIRECT(N$1&amp;loc_voorspell),15,0)+N22,"")</f>
        <v>85</v>
      </c>
      <c r="O23" s="299">
        <f ca="1">IF(VLOOKUP($A23,INDIRECT(O$1&amp;loc_voorspell),15,0)&lt;&gt;"",VLOOKUP($A23,INDIRECT(O$1&amp;loc_voorspell),15,0)+O22,"")</f>
        <v>60</v>
      </c>
      <c r="P23" s="299">
        <f ca="1">IF(VLOOKUP($A23,INDIRECT(P$1&amp;loc_voorspell),15,0)&lt;&gt;"",VLOOKUP($A23,INDIRECT(P$1&amp;loc_voorspell),15,0)+P22,"")</f>
        <v>50</v>
      </c>
      <c r="Q23" s="299">
        <f ca="1">IF(VLOOKUP($A23,INDIRECT(Q$1&amp;loc_voorspell),15,0)&lt;&gt;"",VLOOKUP($A23,INDIRECT(Q$1&amp;loc_voorspell),15,0)+Q22,"")</f>
        <v>60</v>
      </c>
      <c r="R23" s="299">
        <f ca="1">IF(VLOOKUP($A23,INDIRECT(R$1&amp;loc_voorspell),15,0)&lt;&gt;"",VLOOKUP($A23,INDIRECT(R$1&amp;loc_voorspell),15,0)+R22,"")</f>
        <v>90</v>
      </c>
      <c r="S23" s="299">
        <f ca="1">IF(VLOOKUP($A23,INDIRECT(S$1&amp;loc_voorspell),15,0)&lt;&gt;"",VLOOKUP($A23,INDIRECT(S$1&amp;loc_voorspell),15,0)+S22,"")</f>
        <v>50</v>
      </c>
      <c r="T23" s="299">
        <f ca="1">IF(VLOOKUP($A23,INDIRECT(T$1&amp;loc_voorspell),15,0)&lt;&gt;"",VLOOKUP($A23,INDIRECT(T$1&amp;loc_voorspell),15,0)+T22,"")</f>
        <v>70</v>
      </c>
      <c r="U23" s="299">
        <f ca="1">IF(VLOOKUP($A23,INDIRECT(U$1&amp;loc_voorspell),15,0)&lt;&gt;"",VLOOKUP($A23,INDIRECT(U$1&amp;loc_voorspell),15,0)+U22,"")</f>
        <v>60</v>
      </c>
      <c r="V23" s="299">
        <f ca="1">IF(VLOOKUP($A23,INDIRECT(V$1&amp;loc_voorspell),15,0)&lt;&gt;"",VLOOKUP($A23,INDIRECT(V$1&amp;loc_voorspell),15,0)+V22,"")</f>
        <v>50</v>
      </c>
      <c r="W23" s="299">
        <f ca="1">IF(VLOOKUP($A23,INDIRECT(W$1&amp;loc_voorspell),15,0)&lt;&gt;"",VLOOKUP($A23,INDIRECT(W$1&amp;loc_voorspell),15,0)+W22,"")</f>
        <v>80</v>
      </c>
      <c r="X23" s="299">
        <f ca="1">IF(VLOOKUP($A23,INDIRECT(X$1&amp;loc_voorspell),15,0)&lt;&gt;"",VLOOKUP($A23,INDIRECT(X$1&amp;loc_voorspell),15,0)+X22,"")</f>
        <v>50</v>
      </c>
      <c r="Y23" s="299">
        <f ca="1">IF(VLOOKUP($A23,INDIRECT(Y$1&amp;loc_voorspell),15,0)&lt;&gt;"",VLOOKUP($A23,INDIRECT(Y$1&amp;loc_voorspell),15,0)+Y22,"")</f>
        <v>75</v>
      </c>
      <c r="Z23" s="299">
        <f ca="1">IF(VLOOKUP($A23,INDIRECT(Z$1&amp;loc_voorspell),15,0)&lt;&gt;"",VLOOKUP($A23,INDIRECT(Z$1&amp;loc_voorspell),15,0)+Z22,"")</f>
        <v>75</v>
      </c>
      <c r="AA23" s="165">
        <f t="shared" ca="1" si="39"/>
        <v>66.875</v>
      </c>
      <c r="AB23" s="178">
        <f t="shared" ca="1" si="41"/>
        <v>3.125</v>
      </c>
      <c r="AC23" s="331" t="str">
        <f t="shared" si="40"/>
        <v>Uruguay-Engeland</v>
      </c>
      <c r="AD23" s="179">
        <f t="shared" ca="1" si="16"/>
        <v>13.125</v>
      </c>
      <c r="AE23" s="179">
        <f t="shared" ca="1" si="17"/>
        <v>8.125</v>
      </c>
      <c r="AF23" s="179">
        <f t="shared" ca="1" si="18"/>
        <v>-11.875</v>
      </c>
      <c r="AG23" s="179">
        <f t="shared" ca="1" si="19"/>
        <v>3.125</v>
      </c>
      <c r="AH23" s="179">
        <f t="shared" ca="1" si="20"/>
        <v>13.125</v>
      </c>
      <c r="AI23" s="179">
        <f t="shared" ca="1" si="21"/>
        <v>-11.875</v>
      </c>
      <c r="AJ23" s="179">
        <f t="shared" ca="1" si="22"/>
        <v>-16.875</v>
      </c>
      <c r="AK23" s="179">
        <f t="shared" ca="1" si="23"/>
        <v>23.125</v>
      </c>
      <c r="AL23" s="179">
        <f t="shared" ca="1" si="24"/>
        <v>3.125</v>
      </c>
      <c r="AM23" s="179">
        <f t="shared" ca="1" si="25"/>
        <v>-1.875</v>
      </c>
      <c r="AN23" s="179">
        <f t="shared" ca="1" si="26"/>
        <v>-6.875</v>
      </c>
      <c r="AO23" s="179">
        <f t="shared" ca="1" si="27"/>
        <v>-6.875</v>
      </c>
      <c r="AP23" s="179">
        <f t="shared" ca="1" si="28"/>
        <v>-6.875</v>
      </c>
      <c r="AQ23" s="179">
        <f t="shared" ca="1" si="28"/>
        <v>-16.875</v>
      </c>
      <c r="AR23" s="179">
        <f t="shared" ca="1" si="29"/>
        <v>-6.875</v>
      </c>
      <c r="AS23" s="179">
        <f t="shared" ca="1" si="30"/>
        <v>23.125</v>
      </c>
      <c r="AT23" s="179">
        <f t="shared" ca="1" si="31"/>
        <v>-16.875</v>
      </c>
      <c r="AU23" s="179">
        <f t="shared" ca="1" si="32"/>
        <v>3.125</v>
      </c>
      <c r="AV23" s="179">
        <f t="shared" ca="1" si="33"/>
        <v>-6.875</v>
      </c>
      <c r="AW23" s="179">
        <f t="shared" ca="1" si="34"/>
        <v>-16.875</v>
      </c>
      <c r="AX23" s="179">
        <f t="shared" ca="1" si="35"/>
        <v>13.125</v>
      </c>
      <c r="AY23" s="179">
        <f t="shared" ca="1" si="36"/>
        <v>-16.875</v>
      </c>
      <c r="AZ23" s="179">
        <f t="shared" ca="1" si="37"/>
        <v>8.125</v>
      </c>
      <c r="BA23" s="179">
        <f t="shared" ca="1" si="38"/>
        <v>8.125</v>
      </c>
    </row>
    <row r="24" spans="1:53" ht="12.75" customHeight="1">
      <c r="A24" s="173">
        <v>22</v>
      </c>
      <c r="B24" s="157" t="str">
        <f t="shared" si="14"/>
        <v>Japan-Griekenland</v>
      </c>
      <c r="C24" s="298">
        <f ca="1">IF(VLOOKUP($A24,INDIRECT(C$1&amp;loc_voorspell),15,0)&lt;&gt;"",VLOOKUP($A24,INDIRECT(C$1&amp;loc_voorspell),15,0)+C23,"")</f>
        <v>80</v>
      </c>
      <c r="D24" s="298">
        <f ca="1">IF(VLOOKUP($A24,INDIRECT(D$1&amp;loc_voorspell),15,0)&lt;&gt;"",VLOOKUP($A24,INDIRECT(D$1&amp;loc_voorspell),15,0)+D23,"")</f>
        <v>75</v>
      </c>
      <c r="E24" s="298">
        <f ca="1">IF(VLOOKUP($A24,INDIRECT(E$1&amp;loc_voorspell),15,0)&lt;&gt;"",VLOOKUP($A24,INDIRECT(E$1&amp;loc_voorspell),15,0)+E23,"")</f>
        <v>55</v>
      </c>
      <c r="F24" s="298">
        <f ca="1">IF(VLOOKUP($A24,INDIRECT(F$1&amp;loc_voorspell),15,0)&lt;&gt;"",VLOOKUP($A24,INDIRECT(F$1&amp;loc_voorspell),15,0)+F23,"")</f>
        <v>80</v>
      </c>
      <c r="G24" s="298">
        <f ca="1">IF(VLOOKUP($A24,INDIRECT(G$1&amp;loc_voorspell),15,0)&lt;&gt;"",VLOOKUP($A24,INDIRECT(G$1&amp;loc_voorspell),15,0)+G23,"")</f>
        <v>80</v>
      </c>
      <c r="H24" s="298">
        <f ca="1">IF(VLOOKUP($A24,INDIRECT(H$1&amp;loc_voorspell),15,0)&lt;&gt;"",VLOOKUP($A24,INDIRECT(H$1&amp;loc_voorspell),15,0)+H23,"")</f>
        <v>55</v>
      </c>
      <c r="I24" s="298">
        <f ca="1">IF(VLOOKUP($A24,INDIRECT(I$1&amp;loc_voorspell),15,0)&lt;&gt;"",VLOOKUP($A24,INDIRECT(I$1&amp;loc_voorspell),15,0)+I23,"")</f>
        <v>50</v>
      </c>
      <c r="J24" s="298">
        <f ca="1">IF(VLOOKUP($A24,INDIRECT(J$1&amp;loc_voorspell),15,0)&lt;&gt;"",VLOOKUP($A24,INDIRECT(J$1&amp;loc_voorspell),15,0)+J23,"")</f>
        <v>90</v>
      </c>
      <c r="K24" s="298">
        <f ca="1">IF(VLOOKUP($A24,INDIRECT(K$1&amp;loc_voorspell),15,0)&lt;&gt;"",VLOOKUP($A24,INDIRECT(K$1&amp;loc_voorspell),15,0)+K23,"")</f>
        <v>70</v>
      </c>
      <c r="L24" s="298">
        <f ca="1">IF(VLOOKUP($A24,INDIRECT(L$1&amp;loc_voorspell),15,0)&lt;&gt;"",VLOOKUP($A24,INDIRECT(L$1&amp;loc_voorspell),15,0)+L23,"")</f>
        <v>65</v>
      </c>
      <c r="M24" s="298">
        <f ca="1">IF(VLOOKUP($A24,INDIRECT(M$1&amp;loc_voorspell),15,0)&lt;&gt;"",VLOOKUP($A24,INDIRECT(M$1&amp;loc_voorspell),15,0)+M23,"")</f>
        <v>60</v>
      </c>
      <c r="N24" s="298">
        <f ca="1">IF(VLOOKUP($A24,INDIRECT(N$1&amp;loc_voorspell),15,0)&lt;&gt;"",VLOOKUP($A24,INDIRECT(N$1&amp;loc_voorspell),15,0)+N23,"")</f>
        <v>85</v>
      </c>
      <c r="O24" s="298">
        <f ca="1">IF(VLOOKUP($A24,INDIRECT(O$1&amp;loc_voorspell),15,0)&lt;&gt;"",VLOOKUP($A24,INDIRECT(O$1&amp;loc_voorspell),15,0)+O23,"")</f>
        <v>60</v>
      </c>
      <c r="P24" s="298">
        <f ca="1">IF(VLOOKUP($A24,INDIRECT(P$1&amp;loc_voorspell),15,0)&lt;&gt;"",VLOOKUP($A24,INDIRECT(P$1&amp;loc_voorspell),15,0)+P23,"")</f>
        <v>50</v>
      </c>
      <c r="Q24" s="298">
        <f ca="1">IF(VLOOKUP($A24,INDIRECT(Q$1&amp;loc_voorspell),15,0)&lt;&gt;"",VLOOKUP($A24,INDIRECT(Q$1&amp;loc_voorspell),15,0)+Q23,"")</f>
        <v>65</v>
      </c>
      <c r="R24" s="298">
        <f ca="1">IF(VLOOKUP($A24,INDIRECT(R$1&amp;loc_voorspell),15,0)&lt;&gt;"",VLOOKUP($A24,INDIRECT(R$1&amp;loc_voorspell),15,0)+R23,"")</f>
        <v>90</v>
      </c>
      <c r="S24" s="298">
        <f ca="1">IF(VLOOKUP($A24,INDIRECT(S$1&amp;loc_voorspell),15,0)&lt;&gt;"",VLOOKUP($A24,INDIRECT(S$1&amp;loc_voorspell),15,0)+S23,"")</f>
        <v>50</v>
      </c>
      <c r="T24" s="298">
        <f ca="1">IF(VLOOKUP($A24,INDIRECT(T$1&amp;loc_voorspell),15,0)&lt;&gt;"",VLOOKUP($A24,INDIRECT(T$1&amp;loc_voorspell),15,0)+T23,"")</f>
        <v>70</v>
      </c>
      <c r="U24" s="298">
        <f ca="1">IF(VLOOKUP($A24,INDIRECT(U$1&amp;loc_voorspell),15,0)&lt;&gt;"",VLOOKUP($A24,INDIRECT(U$1&amp;loc_voorspell),15,0)+U23,"")</f>
        <v>65</v>
      </c>
      <c r="V24" s="298">
        <f ca="1">IF(VLOOKUP($A24,INDIRECT(V$1&amp;loc_voorspell),15,0)&lt;&gt;"",VLOOKUP($A24,INDIRECT(V$1&amp;loc_voorspell),15,0)+V23,"")</f>
        <v>50</v>
      </c>
      <c r="W24" s="298">
        <f ca="1">IF(VLOOKUP($A24,INDIRECT(W$1&amp;loc_voorspell),15,0)&lt;&gt;"",VLOOKUP($A24,INDIRECT(W$1&amp;loc_voorspell),15,0)+W23,"")</f>
        <v>80</v>
      </c>
      <c r="X24" s="298">
        <f ca="1">IF(VLOOKUP($A24,INDIRECT(X$1&amp;loc_voorspell),15,0)&lt;&gt;"",VLOOKUP($A24,INDIRECT(X$1&amp;loc_voorspell),15,0)+X23,"")</f>
        <v>50</v>
      </c>
      <c r="Y24" s="298">
        <f ca="1">IF(VLOOKUP($A24,INDIRECT(Y$1&amp;loc_voorspell),15,0)&lt;&gt;"",VLOOKUP($A24,INDIRECT(Y$1&amp;loc_voorspell),15,0)+Y23,"")</f>
        <v>75</v>
      </c>
      <c r="Z24" s="298">
        <f ca="1">IF(VLOOKUP($A24,INDIRECT(Z$1&amp;loc_voorspell),15,0)&lt;&gt;"",VLOOKUP($A24,INDIRECT(Z$1&amp;loc_voorspell),15,0)+Z23,"")</f>
        <v>75</v>
      </c>
      <c r="AA24" s="165">
        <f t="shared" ca="1" si="39"/>
        <v>67.708333333333329</v>
      </c>
      <c r="AB24" s="178">
        <f t="shared" ca="1" si="41"/>
        <v>0.8333333333333286</v>
      </c>
      <c r="AC24" s="331" t="str">
        <f t="shared" si="40"/>
        <v>Japan-Griekenland</v>
      </c>
      <c r="AD24" s="179">
        <f t="shared" ca="1" si="16"/>
        <v>12.291666666666671</v>
      </c>
      <c r="AE24" s="179">
        <f t="shared" ca="1" si="17"/>
        <v>7.2916666666666714</v>
      </c>
      <c r="AF24" s="179">
        <f t="shared" ca="1" si="18"/>
        <v>-12.708333333333329</v>
      </c>
      <c r="AG24" s="179">
        <f t="shared" ca="1" si="19"/>
        <v>12.291666666666671</v>
      </c>
      <c r="AH24" s="179">
        <f t="shared" ca="1" si="20"/>
        <v>12.291666666666671</v>
      </c>
      <c r="AI24" s="179">
        <f t="shared" ca="1" si="21"/>
        <v>-12.708333333333329</v>
      </c>
      <c r="AJ24" s="179">
        <f t="shared" ca="1" si="22"/>
        <v>-17.708333333333329</v>
      </c>
      <c r="AK24" s="179">
        <f t="shared" ca="1" si="23"/>
        <v>22.291666666666671</v>
      </c>
      <c r="AL24" s="179">
        <f t="shared" ca="1" si="24"/>
        <v>2.2916666666666714</v>
      </c>
      <c r="AM24" s="179">
        <f t="shared" ca="1" si="25"/>
        <v>-2.7083333333333286</v>
      </c>
      <c r="AN24" s="179">
        <f t="shared" ca="1" si="26"/>
        <v>-7.7083333333333286</v>
      </c>
      <c r="AO24" s="179">
        <f t="shared" ca="1" si="27"/>
        <v>-7.7083333333333286</v>
      </c>
      <c r="AP24" s="179">
        <f t="shared" ca="1" si="28"/>
        <v>-7.7083333333333286</v>
      </c>
      <c r="AQ24" s="179">
        <f t="shared" ca="1" si="28"/>
        <v>-17.708333333333329</v>
      </c>
      <c r="AR24" s="179">
        <f t="shared" ca="1" si="29"/>
        <v>-2.7083333333333286</v>
      </c>
      <c r="AS24" s="179">
        <f t="shared" ca="1" si="30"/>
        <v>22.291666666666671</v>
      </c>
      <c r="AT24" s="179">
        <f t="shared" ca="1" si="31"/>
        <v>-17.708333333333329</v>
      </c>
      <c r="AU24" s="179">
        <f t="shared" ca="1" si="32"/>
        <v>2.2916666666666714</v>
      </c>
      <c r="AV24" s="179">
        <f t="shared" ca="1" si="33"/>
        <v>-2.7083333333333286</v>
      </c>
      <c r="AW24" s="179">
        <f t="shared" ca="1" si="34"/>
        <v>-17.708333333333329</v>
      </c>
      <c r="AX24" s="179">
        <f t="shared" ca="1" si="35"/>
        <v>12.291666666666671</v>
      </c>
      <c r="AY24" s="179">
        <f t="shared" ca="1" si="36"/>
        <v>-17.708333333333329</v>
      </c>
      <c r="AZ24" s="179">
        <f t="shared" ca="1" si="37"/>
        <v>7.2916666666666714</v>
      </c>
      <c r="BA24" s="179">
        <f t="shared" ca="1" si="38"/>
        <v>7.2916666666666714</v>
      </c>
    </row>
    <row r="25" spans="1:53">
      <c r="A25" s="173">
        <v>24</v>
      </c>
      <c r="B25" s="158" t="str">
        <f t="shared" si="14"/>
        <v>Italië-Costa Rica</v>
      </c>
      <c r="C25" s="299">
        <f ca="1">IF(VLOOKUP($A25,INDIRECT(C$1&amp;loc_voorspell),15,0)&lt;&gt;"",VLOOKUP($A25,INDIRECT(C$1&amp;loc_voorspell),15,0)+C24,"")</f>
        <v>80</v>
      </c>
      <c r="D25" s="299">
        <f ca="1">IF(VLOOKUP($A25,INDIRECT(D$1&amp;loc_voorspell),15,0)&lt;&gt;"",VLOOKUP($A25,INDIRECT(D$1&amp;loc_voorspell),15,0)+D24,"")</f>
        <v>75</v>
      </c>
      <c r="E25" s="299">
        <f ca="1">IF(VLOOKUP($A25,INDIRECT(E$1&amp;loc_voorspell),15,0)&lt;&gt;"",VLOOKUP($A25,INDIRECT(E$1&amp;loc_voorspell),15,0)+E24,"")</f>
        <v>55</v>
      </c>
      <c r="F25" s="299">
        <f ca="1">IF(VLOOKUP($A25,INDIRECT(F$1&amp;loc_voorspell),15,0)&lt;&gt;"",VLOOKUP($A25,INDIRECT(F$1&amp;loc_voorspell),15,0)+F24,"")</f>
        <v>80</v>
      </c>
      <c r="G25" s="299">
        <f ca="1">IF(VLOOKUP($A25,INDIRECT(G$1&amp;loc_voorspell),15,0)&lt;&gt;"",VLOOKUP($A25,INDIRECT(G$1&amp;loc_voorspell),15,0)+G24,"")</f>
        <v>80</v>
      </c>
      <c r="H25" s="299">
        <f ca="1">IF(VLOOKUP($A25,INDIRECT(H$1&amp;loc_voorspell),15,0)&lt;&gt;"",VLOOKUP($A25,INDIRECT(H$1&amp;loc_voorspell),15,0)+H24,"")</f>
        <v>55</v>
      </c>
      <c r="I25" s="299">
        <f ca="1">IF(VLOOKUP($A25,INDIRECT(I$1&amp;loc_voorspell),15,0)&lt;&gt;"",VLOOKUP($A25,INDIRECT(I$1&amp;loc_voorspell),15,0)+I24,"")</f>
        <v>50</v>
      </c>
      <c r="J25" s="299">
        <f ca="1">IF(VLOOKUP($A25,INDIRECT(J$1&amp;loc_voorspell),15,0)&lt;&gt;"",VLOOKUP($A25,INDIRECT(J$1&amp;loc_voorspell),15,0)+J24,"")</f>
        <v>90</v>
      </c>
      <c r="K25" s="299">
        <f ca="1">IF(VLOOKUP($A25,INDIRECT(K$1&amp;loc_voorspell),15,0)&lt;&gt;"",VLOOKUP($A25,INDIRECT(K$1&amp;loc_voorspell),15,0)+K24,"")</f>
        <v>70</v>
      </c>
      <c r="L25" s="299">
        <f ca="1">IF(VLOOKUP($A25,INDIRECT(L$1&amp;loc_voorspell),15,0)&lt;&gt;"",VLOOKUP($A25,INDIRECT(L$1&amp;loc_voorspell),15,0)+L24,"")</f>
        <v>65</v>
      </c>
      <c r="M25" s="299">
        <f ca="1">IF(VLOOKUP($A25,INDIRECT(M$1&amp;loc_voorspell),15,0)&lt;&gt;"",VLOOKUP($A25,INDIRECT(M$1&amp;loc_voorspell),15,0)+M24,"")</f>
        <v>60</v>
      </c>
      <c r="N25" s="299">
        <f ca="1">IF(VLOOKUP($A25,INDIRECT(N$1&amp;loc_voorspell),15,0)&lt;&gt;"",VLOOKUP($A25,INDIRECT(N$1&amp;loc_voorspell),15,0)+N24,"")</f>
        <v>85</v>
      </c>
      <c r="O25" s="299">
        <f ca="1">IF(VLOOKUP($A25,INDIRECT(O$1&amp;loc_voorspell),15,0)&lt;&gt;"",VLOOKUP($A25,INDIRECT(O$1&amp;loc_voorspell),15,0)+O24,"")</f>
        <v>60</v>
      </c>
      <c r="P25" s="299">
        <f ca="1">IF(VLOOKUP($A25,INDIRECT(P$1&amp;loc_voorspell),15,0)&lt;&gt;"",VLOOKUP($A25,INDIRECT(P$1&amp;loc_voorspell),15,0)+P24,"")</f>
        <v>50</v>
      </c>
      <c r="Q25" s="299">
        <f ca="1">IF(VLOOKUP($A25,INDIRECT(Q$1&amp;loc_voorspell),15,0)&lt;&gt;"",VLOOKUP($A25,INDIRECT(Q$1&amp;loc_voorspell),15,0)+Q24,"")</f>
        <v>65</v>
      </c>
      <c r="R25" s="299">
        <f ca="1">IF(VLOOKUP($A25,INDIRECT(R$1&amp;loc_voorspell),15,0)&lt;&gt;"",VLOOKUP($A25,INDIRECT(R$1&amp;loc_voorspell),15,0)+R24,"")</f>
        <v>90</v>
      </c>
      <c r="S25" s="299">
        <f ca="1">IF(VLOOKUP($A25,INDIRECT(S$1&amp;loc_voorspell),15,0)&lt;&gt;"",VLOOKUP($A25,INDIRECT(S$1&amp;loc_voorspell),15,0)+S24,"")</f>
        <v>50</v>
      </c>
      <c r="T25" s="299">
        <f ca="1">IF(VLOOKUP($A25,INDIRECT(T$1&amp;loc_voorspell),15,0)&lt;&gt;"",VLOOKUP($A25,INDIRECT(T$1&amp;loc_voorspell),15,0)+T24,"")</f>
        <v>70</v>
      </c>
      <c r="U25" s="299">
        <f ca="1">IF(VLOOKUP($A25,INDIRECT(U$1&amp;loc_voorspell),15,0)&lt;&gt;"",VLOOKUP($A25,INDIRECT(U$1&amp;loc_voorspell),15,0)+U24,"")</f>
        <v>65</v>
      </c>
      <c r="V25" s="299">
        <f ca="1">IF(VLOOKUP($A25,INDIRECT(V$1&amp;loc_voorspell),15,0)&lt;&gt;"",VLOOKUP($A25,INDIRECT(V$1&amp;loc_voorspell),15,0)+V24,"")</f>
        <v>50</v>
      </c>
      <c r="W25" s="299">
        <f ca="1">IF(VLOOKUP($A25,INDIRECT(W$1&amp;loc_voorspell),15,0)&lt;&gt;"",VLOOKUP($A25,INDIRECT(W$1&amp;loc_voorspell),15,0)+W24,"")</f>
        <v>80</v>
      </c>
      <c r="X25" s="299">
        <f ca="1">IF(VLOOKUP($A25,INDIRECT(X$1&amp;loc_voorspell),15,0)&lt;&gt;"",VLOOKUP($A25,INDIRECT(X$1&amp;loc_voorspell),15,0)+X24,"")</f>
        <v>50</v>
      </c>
      <c r="Y25" s="299">
        <f ca="1">IF(VLOOKUP($A25,INDIRECT(Y$1&amp;loc_voorspell),15,0)&lt;&gt;"",VLOOKUP($A25,INDIRECT(Y$1&amp;loc_voorspell),15,0)+Y24,"")</f>
        <v>75</v>
      </c>
      <c r="Z25" s="299">
        <f ca="1">IF(VLOOKUP($A25,INDIRECT(Z$1&amp;loc_voorspell),15,0)&lt;&gt;"",VLOOKUP($A25,INDIRECT(Z$1&amp;loc_voorspell),15,0)+Z24,"")</f>
        <v>75</v>
      </c>
      <c r="AA25" s="165">
        <f t="shared" ca="1" si="39"/>
        <v>67.708333333333329</v>
      </c>
      <c r="AB25" s="178">
        <f t="shared" ca="1" si="41"/>
        <v>0</v>
      </c>
      <c r="AC25" s="331" t="str">
        <f t="shared" si="40"/>
        <v>Italië-Costa Rica</v>
      </c>
      <c r="AD25" s="179">
        <f t="shared" ca="1" si="16"/>
        <v>12.291666666666671</v>
      </c>
      <c r="AE25" s="179">
        <f t="shared" ca="1" si="17"/>
        <v>7.2916666666666714</v>
      </c>
      <c r="AF25" s="179">
        <f t="shared" ca="1" si="18"/>
        <v>-12.708333333333329</v>
      </c>
      <c r="AG25" s="179">
        <f t="shared" ca="1" si="19"/>
        <v>12.291666666666671</v>
      </c>
      <c r="AH25" s="179">
        <f t="shared" ca="1" si="20"/>
        <v>12.291666666666671</v>
      </c>
      <c r="AI25" s="179">
        <f t="shared" ca="1" si="21"/>
        <v>-12.708333333333329</v>
      </c>
      <c r="AJ25" s="179">
        <f t="shared" ca="1" si="22"/>
        <v>-17.708333333333329</v>
      </c>
      <c r="AK25" s="179">
        <f t="shared" ca="1" si="23"/>
        <v>22.291666666666671</v>
      </c>
      <c r="AL25" s="179">
        <f t="shared" ca="1" si="24"/>
        <v>2.2916666666666714</v>
      </c>
      <c r="AM25" s="179">
        <f t="shared" ca="1" si="25"/>
        <v>-2.7083333333333286</v>
      </c>
      <c r="AN25" s="179">
        <f t="shared" ca="1" si="26"/>
        <v>-7.7083333333333286</v>
      </c>
      <c r="AO25" s="179">
        <f t="shared" ca="1" si="27"/>
        <v>-7.7083333333333286</v>
      </c>
      <c r="AP25" s="179">
        <f t="shared" ca="1" si="28"/>
        <v>-7.7083333333333286</v>
      </c>
      <c r="AQ25" s="179">
        <f t="shared" ca="1" si="28"/>
        <v>-17.708333333333329</v>
      </c>
      <c r="AR25" s="179">
        <f t="shared" ca="1" si="29"/>
        <v>-2.7083333333333286</v>
      </c>
      <c r="AS25" s="179">
        <f t="shared" ca="1" si="30"/>
        <v>22.291666666666671</v>
      </c>
      <c r="AT25" s="179">
        <f t="shared" ca="1" si="31"/>
        <v>-17.708333333333329</v>
      </c>
      <c r="AU25" s="179">
        <f t="shared" ca="1" si="32"/>
        <v>2.2916666666666714</v>
      </c>
      <c r="AV25" s="179">
        <f t="shared" ca="1" si="33"/>
        <v>-2.7083333333333286</v>
      </c>
      <c r="AW25" s="179">
        <f t="shared" ca="1" si="34"/>
        <v>-17.708333333333329</v>
      </c>
      <c r="AX25" s="179">
        <f t="shared" ca="1" si="35"/>
        <v>12.291666666666671</v>
      </c>
      <c r="AY25" s="179">
        <f t="shared" ca="1" si="36"/>
        <v>-17.708333333333329</v>
      </c>
      <c r="AZ25" s="179">
        <f t="shared" ca="1" si="37"/>
        <v>7.2916666666666714</v>
      </c>
      <c r="BA25" s="179">
        <f t="shared" ca="1" si="38"/>
        <v>7.2916666666666714</v>
      </c>
    </row>
    <row r="26" spans="1:53">
      <c r="A26" s="173">
        <v>25</v>
      </c>
      <c r="B26" s="157" t="str">
        <f t="shared" si="14"/>
        <v>Zwitserland-Frankrijk</v>
      </c>
      <c r="C26" s="298">
        <f ca="1">IF(VLOOKUP($A26,INDIRECT(C$1&amp;loc_voorspell),15,0)&lt;&gt;"",VLOOKUP($A26,INDIRECT(C$1&amp;loc_voorspell),15,0)+C25,"")</f>
        <v>85</v>
      </c>
      <c r="D26" s="298">
        <f ca="1">IF(VLOOKUP($A26,INDIRECT(D$1&amp;loc_voorspell),15,0)&lt;&gt;"",VLOOKUP($A26,INDIRECT(D$1&amp;loc_voorspell),15,0)+D25,"")</f>
        <v>80</v>
      </c>
      <c r="E26" s="298">
        <f ca="1">IF(VLOOKUP($A26,INDIRECT(E$1&amp;loc_voorspell),15,0)&lt;&gt;"",VLOOKUP($A26,INDIRECT(E$1&amp;loc_voorspell),15,0)+E25,"")</f>
        <v>55</v>
      </c>
      <c r="F26" s="298">
        <f ca="1">IF(VLOOKUP($A26,INDIRECT(F$1&amp;loc_voorspell),15,0)&lt;&gt;"",VLOOKUP($A26,INDIRECT(F$1&amp;loc_voorspell),15,0)+F25,"")</f>
        <v>85</v>
      </c>
      <c r="G26" s="298">
        <f ca="1">IF(VLOOKUP($A26,INDIRECT(G$1&amp;loc_voorspell),15,0)&lt;&gt;"",VLOOKUP($A26,INDIRECT(G$1&amp;loc_voorspell),15,0)+G25,"")</f>
        <v>85</v>
      </c>
      <c r="H26" s="298">
        <f ca="1">IF(VLOOKUP($A26,INDIRECT(H$1&amp;loc_voorspell),15,0)&lt;&gt;"",VLOOKUP($A26,INDIRECT(H$1&amp;loc_voorspell),15,0)+H25,"")</f>
        <v>55</v>
      </c>
      <c r="I26" s="298">
        <f ca="1">IF(VLOOKUP($A26,INDIRECT(I$1&amp;loc_voorspell),15,0)&lt;&gt;"",VLOOKUP($A26,INDIRECT(I$1&amp;loc_voorspell),15,0)+I25,"")</f>
        <v>55</v>
      </c>
      <c r="J26" s="298">
        <f ca="1">IF(VLOOKUP($A26,INDIRECT(J$1&amp;loc_voorspell),15,0)&lt;&gt;"",VLOOKUP($A26,INDIRECT(J$1&amp;loc_voorspell),15,0)+J25,"")</f>
        <v>90</v>
      </c>
      <c r="K26" s="298">
        <f ca="1">IF(VLOOKUP($A26,INDIRECT(K$1&amp;loc_voorspell),15,0)&lt;&gt;"",VLOOKUP($A26,INDIRECT(K$1&amp;loc_voorspell),15,0)+K25,"")</f>
        <v>70</v>
      </c>
      <c r="L26" s="298">
        <f ca="1">IF(VLOOKUP($A26,INDIRECT(L$1&amp;loc_voorspell),15,0)&lt;&gt;"",VLOOKUP($A26,INDIRECT(L$1&amp;loc_voorspell),15,0)+L25,"")</f>
        <v>70</v>
      </c>
      <c r="M26" s="298">
        <f ca="1">IF(VLOOKUP($A26,INDIRECT(M$1&amp;loc_voorspell),15,0)&lt;&gt;"",VLOOKUP($A26,INDIRECT(M$1&amp;loc_voorspell),15,0)+M25,"")</f>
        <v>60</v>
      </c>
      <c r="N26" s="298">
        <f ca="1">IF(VLOOKUP($A26,INDIRECT(N$1&amp;loc_voorspell),15,0)&lt;&gt;"",VLOOKUP($A26,INDIRECT(N$1&amp;loc_voorspell),15,0)+N25,"")</f>
        <v>90</v>
      </c>
      <c r="O26" s="298">
        <f ca="1">IF(VLOOKUP($A26,INDIRECT(O$1&amp;loc_voorspell),15,0)&lt;&gt;"",VLOOKUP($A26,INDIRECT(O$1&amp;loc_voorspell),15,0)+O25,"")</f>
        <v>65</v>
      </c>
      <c r="P26" s="298">
        <f ca="1">IF(VLOOKUP($A26,INDIRECT(P$1&amp;loc_voorspell),15,0)&lt;&gt;"",VLOOKUP($A26,INDIRECT(P$1&amp;loc_voorspell),15,0)+P25,"")</f>
        <v>55</v>
      </c>
      <c r="Q26" s="298">
        <f ca="1">IF(VLOOKUP($A26,INDIRECT(Q$1&amp;loc_voorspell),15,0)&lt;&gt;"",VLOOKUP($A26,INDIRECT(Q$1&amp;loc_voorspell),15,0)+Q25,"")</f>
        <v>65</v>
      </c>
      <c r="R26" s="298">
        <f ca="1">IF(VLOOKUP($A26,INDIRECT(R$1&amp;loc_voorspell),15,0)&lt;&gt;"",VLOOKUP($A26,INDIRECT(R$1&amp;loc_voorspell),15,0)+R25,"")</f>
        <v>95</v>
      </c>
      <c r="S26" s="298">
        <f ca="1">IF(VLOOKUP($A26,INDIRECT(S$1&amp;loc_voorspell),15,0)&lt;&gt;"",VLOOKUP($A26,INDIRECT(S$1&amp;loc_voorspell),15,0)+S25,"")</f>
        <v>55</v>
      </c>
      <c r="T26" s="298">
        <f ca="1">IF(VLOOKUP($A26,INDIRECT(T$1&amp;loc_voorspell),15,0)&lt;&gt;"",VLOOKUP($A26,INDIRECT(T$1&amp;loc_voorspell),15,0)+T25,"")</f>
        <v>70</v>
      </c>
      <c r="U26" s="298">
        <f ca="1">IF(VLOOKUP($A26,INDIRECT(U$1&amp;loc_voorspell),15,0)&lt;&gt;"",VLOOKUP($A26,INDIRECT(U$1&amp;loc_voorspell),15,0)+U25,"")</f>
        <v>65</v>
      </c>
      <c r="V26" s="298">
        <f ca="1">IF(VLOOKUP($A26,INDIRECT(V$1&amp;loc_voorspell),15,0)&lt;&gt;"",VLOOKUP($A26,INDIRECT(V$1&amp;loc_voorspell),15,0)+V25,"")</f>
        <v>50</v>
      </c>
      <c r="W26" s="298">
        <f ca="1">IF(VLOOKUP($A26,INDIRECT(W$1&amp;loc_voorspell),15,0)&lt;&gt;"",VLOOKUP($A26,INDIRECT(W$1&amp;loc_voorspell),15,0)+W25,"")</f>
        <v>80</v>
      </c>
      <c r="X26" s="298">
        <f ca="1">IF(VLOOKUP($A26,INDIRECT(X$1&amp;loc_voorspell),15,0)&lt;&gt;"",VLOOKUP($A26,INDIRECT(X$1&amp;loc_voorspell),15,0)+X25,"")</f>
        <v>50</v>
      </c>
      <c r="Y26" s="298">
        <f ca="1">IF(VLOOKUP($A26,INDIRECT(Y$1&amp;loc_voorspell),15,0)&lt;&gt;"",VLOOKUP($A26,INDIRECT(Y$1&amp;loc_voorspell),15,0)+Y25,"")</f>
        <v>75</v>
      </c>
      <c r="Z26" s="298">
        <f ca="1">IF(VLOOKUP($A26,INDIRECT(Z$1&amp;loc_voorspell),15,0)&lt;&gt;"",VLOOKUP($A26,INDIRECT(Z$1&amp;loc_voorspell),15,0)+Z25,"")</f>
        <v>80</v>
      </c>
      <c r="AA26" s="165">
        <f t="shared" ca="1" si="39"/>
        <v>70.208333333333329</v>
      </c>
      <c r="AB26" s="178">
        <f t="shared" ca="1" si="41"/>
        <v>2.5</v>
      </c>
      <c r="AC26" s="331" t="str">
        <f t="shared" si="40"/>
        <v>Zwitserland-Frankrijk</v>
      </c>
      <c r="AD26" s="179">
        <f t="shared" ca="1" si="16"/>
        <v>14.791666666666671</v>
      </c>
      <c r="AE26" s="179">
        <f t="shared" ca="1" si="17"/>
        <v>9.7916666666666714</v>
      </c>
      <c r="AF26" s="179">
        <f t="shared" ca="1" si="18"/>
        <v>-15.208333333333329</v>
      </c>
      <c r="AG26" s="179">
        <f t="shared" ca="1" si="19"/>
        <v>14.791666666666671</v>
      </c>
      <c r="AH26" s="179">
        <f t="shared" ca="1" si="20"/>
        <v>14.791666666666671</v>
      </c>
      <c r="AI26" s="179">
        <f t="shared" ca="1" si="21"/>
        <v>-15.208333333333329</v>
      </c>
      <c r="AJ26" s="179">
        <f t="shared" ca="1" si="22"/>
        <v>-15.208333333333329</v>
      </c>
      <c r="AK26" s="179">
        <f t="shared" ca="1" si="23"/>
        <v>19.791666666666671</v>
      </c>
      <c r="AL26" s="179">
        <f t="shared" ca="1" si="24"/>
        <v>-0.2083333333333286</v>
      </c>
      <c r="AM26" s="179">
        <f t="shared" ca="1" si="25"/>
        <v>-0.2083333333333286</v>
      </c>
      <c r="AN26" s="179">
        <f t="shared" ca="1" si="26"/>
        <v>-10.208333333333329</v>
      </c>
      <c r="AO26" s="179">
        <f t="shared" ca="1" si="27"/>
        <v>-5.2083333333333286</v>
      </c>
      <c r="AP26" s="179">
        <f t="shared" ca="1" si="28"/>
        <v>-5.2083333333333286</v>
      </c>
      <c r="AQ26" s="179">
        <f t="shared" ca="1" si="28"/>
        <v>-15.208333333333329</v>
      </c>
      <c r="AR26" s="179">
        <f t="shared" ca="1" si="29"/>
        <v>-5.2083333333333286</v>
      </c>
      <c r="AS26" s="179">
        <f t="shared" ca="1" si="30"/>
        <v>24.791666666666671</v>
      </c>
      <c r="AT26" s="179">
        <f t="shared" ca="1" si="31"/>
        <v>-15.208333333333329</v>
      </c>
      <c r="AU26" s="179">
        <f t="shared" ca="1" si="32"/>
        <v>-0.2083333333333286</v>
      </c>
      <c r="AV26" s="179">
        <f t="shared" ca="1" si="33"/>
        <v>-5.2083333333333286</v>
      </c>
      <c r="AW26" s="179">
        <f t="shared" ca="1" si="34"/>
        <v>-20.208333333333329</v>
      </c>
      <c r="AX26" s="179">
        <f t="shared" ca="1" si="35"/>
        <v>9.7916666666666714</v>
      </c>
      <c r="AY26" s="179">
        <f t="shared" ca="1" si="36"/>
        <v>-20.208333333333329</v>
      </c>
      <c r="AZ26" s="179">
        <f t="shared" ca="1" si="37"/>
        <v>4.7916666666666714</v>
      </c>
      <c r="BA26" s="179">
        <f t="shared" ca="1" si="38"/>
        <v>9.7916666666666714</v>
      </c>
    </row>
    <row r="27" spans="1:53">
      <c r="A27" s="173">
        <v>26</v>
      </c>
      <c r="B27" s="158" t="str">
        <f t="shared" si="14"/>
        <v>Honduras-Ecuador</v>
      </c>
      <c r="C27" s="299">
        <f ca="1">IF(VLOOKUP($A27,INDIRECT(C$1&amp;loc_voorspell),15,0)&lt;&gt;"",VLOOKUP($A27,INDIRECT(C$1&amp;loc_voorspell),15,0)+C26,"")</f>
        <v>95</v>
      </c>
      <c r="D27" s="299">
        <f ca="1">IF(VLOOKUP($A27,INDIRECT(D$1&amp;loc_voorspell),15,0)&lt;&gt;"",VLOOKUP($A27,INDIRECT(D$1&amp;loc_voorspell),15,0)+D26,"")</f>
        <v>85</v>
      </c>
      <c r="E27" s="299">
        <f ca="1">IF(VLOOKUP($A27,INDIRECT(E$1&amp;loc_voorspell),15,0)&lt;&gt;"",VLOOKUP($A27,INDIRECT(E$1&amp;loc_voorspell),15,0)+E26,"")</f>
        <v>60</v>
      </c>
      <c r="F27" s="299">
        <f ca="1">IF(VLOOKUP($A27,INDIRECT(F$1&amp;loc_voorspell),15,0)&lt;&gt;"",VLOOKUP($A27,INDIRECT(F$1&amp;loc_voorspell),15,0)+F26,"")</f>
        <v>95</v>
      </c>
      <c r="G27" s="299">
        <f ca="1">IF(VLOOKUP($A27,INDIRECT(G$1&amp;loc_voorspell),15,0)&lt;&gt;"",VLOOKUP($A27,INDIRECT(G$1&amp;loc_voorspell),15,0)+G26,"")</f>
        <v>90</v>
      </c>
      <c r="H27" s="299">
        <f ca="1">IF(VLOOKUP($A27,INDIRECT(H$1&amp;loc_voorspell),15,0)&lt;&gt;"",VLOOKUP($A27,INDIRECT(H$1&amp;loc_voorspell),15,0)+H26,"")</f>
        <v>60</v>
      </c>
      <c r="I27" s="299">
        <f ca="1">IF(VLOOKUP($A27,INDIRECT(I$1&amp;loc_voorspell),15,0)&lt;&gt;"",VLOOKUP($A27,INDIRECT(I$1&amp;loc_voorspell),15,0)+I26,"")</f>
        <v>55</v>
      </c>
      <c r="J27" s="299">
        <f ca="1">IF(VLOOKUP($A27,INDIRECT(J$1&amp;loc_voorspell),15,0)&lt;&gt;"",VLOOKUP($A27,INDIRECT(J$1&amp;loc_voorspell),15,0)+J26,"")</f>
        <v>90</v>
      </c>
      <c r="K27" s="299">
        <f ca="1">IF(VLOOKUP($A27,INDIRECT(K$1&amp;loc_voorspell),15,0)&lt;&gt;"",VLOOKUP($A27,INDIRECT(K$1&amp;loc_voorspell),15,0)+K26,"")</f>
        <v>75</v>
      </c>
      <c r="L27" s="299">
        <f ca="1">IF(VLOOKUP($A27,INDIRECT(L$1&amp;loc_voorspell),15,0)&lt;&gt;"",VLOOKUP($A27,INDIRECT(L$1&amp;loc_voorspell),15,0)+L26,"")</f>
        <v>70</v>
      </c>
      <c r="M27" s="299">
        <f ca="1">IF(VLOOKUP($A27,INDIRECT(M$1&amp;loc_voorspell),15,0)&lt;&gt;"",VLOOKUP($A27,INDIRECT(M$1&amp;loc_voorspell),15,0)+M26,"")</f>
        <v>60</v>
      </c>
      <c r="N27" s="299">
        <f ca="1">IF(VLOOKUP($A27,INDIRECT(N$1&amp;loc_voorspell),15,0)&lt;&gt;"",VLOOKUP($A27,INDIRECT(N$1&amp;loc_voorspell),15,0)+N26,"")</f>
        <v>95</v>
      </c>
      <c r="O27" s="299">
        <f ca="1">IF(VLOOKUP($A27,INDIRECT(O$1&amp;loc_voorspell),15,0)&lt;&gt;"",VLOOKUP($A27,INDIRECT(O$1&amp;loc_voorspell),15,0)+O26,"")</f>
        <v>70</v>
      </c>
      <c r="P27" s="299">
        <f ca="1">IF(VLOOKUP($A27,INDIRECT(P$1&amp;loc_voorspell),15,0)&lt;&gt;"",VLOOKUP($A27,INDIRECT(P$1&amp;loc_voorspell),15,0)+P26,"")</f>
        <v>60</v>
      </c>
      <c r="Q27" s="299">
        <f ca="1">IF(VLOOKUP($A27,INDIRECT(Q$1&amp;loc_voorspell),15,0)&lt;&gt;"",VLOOKUP($A27,INDIRECT(Q$1&amp;loc_voorspell),15,0)+Q26,"")</f>
        <v>75</v>
      </c>
      <c r="R27" s="299">
        <f ca="1">IF(VLOOKUP($A27,INDIRECT(R$1&amp;loc_voorspell),15,0)&lt;&gt;"",VLOOKUP($A27,INDIRECT(R$1&amp;loc_voorspell),15,0)+R26,"")</f>
        <v>95</v>
      </c>
      <c r="S27" s="299">
        <f ca="1">IF(VLOOKUP($A27,INDIRECT(S$1&amp;loc_voorspell),15,0)&lt;&gt;"",VLOOKUP($A27,INDIRECT(S$1&amp;loc_voorspell),15,0)+S26,"")</f>
        <v>55</v>
      </c>
      <c r="T27" s="299">
        <f ca="1">IF(VLOOKUP($A27,INDIRECT(T$1&amp;loc_voorspell),15,0)&lt;&gt;"",VLOOKUP($A27,INDIRECT(T$1&amp;loc_voorspell),15,0)+T26,"")</f>
        <v>70</v>
      </c>
      <c r="U27" s="299">
        <f ca="1">IF(VLOOKUP($A27,INDIRECT(U$1&amp;loc_voorspell),15,0)&lt;&gt;"",VLOOKUP($A27,INDIRECT(U$1&amp;loc_voorspell),15,0)+U26,"")</f>
        <v>65</v>
      </c>
      <c r="V27" s="299">
        <f ca="1">IF(VLOOKUP($A27,INDIRECT(V$1&amp;loc_voorspell),15,0)&lt;&gt;"",VLOOKUP($A27,INDIRECT(V$1&amp;loc_voorspell),15,0)+V26,"")</f>
        <v>50</v>
      </c>
      <c r="W27" s="299">
        <f ca="1">IF(VLOOKUP($A27,INDIRECT(W$1&amp;loc_voorspell),15,0)&lt;&gt;"",VLOOKUP($A27,INDIRECT(W$1&amp;loc_voorspell),15,0)+W26,"")</f>
        <v>85</v>
      </c>
      <c r="X27" s="299">
        <f ca="1">IF(VLOOKUP($A27,INDIRECT(X$1&amp;loc_voorspell),15,0)&lt;&gt;"",VLOOKUP($A27,INDIRECT(X$1&amp;loc_voorspell),15,0)+X26,"")</f>
        <v>55</v>
      </c>
      <c r="Y27" s="299">
        <f ca="1">IF(VLOOKUP($A27,INDIRECT(Y$1&amp;loc_voorspell),15,0)&lt;&gt;"",VLOOKUP($A27,INDIRECT(Y$1&amp;loc_voorspell),15,0)+Y26,"")</f>
        <v>80</v>
      </c>
      <c r="Z27" s="299">
        <f ca="1">IF(VLOOKUP($A27,INDIRECT(Z$1&amp;loc_voorspell),15,0)&lt;&gt;"",VLOOKUP($A27,INDIRECT(Z$1&amp;loc_voorspell),15,0)+Z26,"")</f>
        <v>90</v>
      </c>
      <c r="AA27" s="165">
        <f t="shared" ca="1" si="39"/>
        <v>74.166666666666671</v>
      </c>
      <c r="AB27" s="178">
        <f t="shared" ca="1" si="41"/>
        <v>3.9583333333333428</v>
      </c>
      <c r="AC27" s="331" t="str">
        <f t="shared" si="40"/>
        <v>Honduras-Ecuador</v>
      </c>
      <c r="AD27" s="179">
        <f t="shared" ca="1" si="16"/>
        <v>20.833333333333329</v>
      </c>
      <c r="AE27" s="179">
        <f t="shared" ca="1" si="17"/>
        <v>10.833333333333329</v>
      </c>
      <c r="AF27" s="179">
        <f t="shared" ca="1" si="18"/>
        <v>-14.166666666666671</v>
      </c>
      <c r="AG27" s="179">
        <f t="shared" ca="1" si="19"/>
        <v>20.833333333333329</v>
      </c>
      <c r="AH27" s="179">
        <f t="shared" ca="1" si="20"/>
        <v>15.833333333333329</v>
      </c>
      <c r="AI27" s="179">
        <f t="shared" ca="1" si="21"/>
        <v>-14.166666666666671</v>
      </c>
      <c r="AJ27" s="179">
        <f t="shared" ca="1" si="22"/>
        <v>-19.166666666666671</v>
      </c>
      <c r="AK27" s="179">
        <f t="shared" ca="1" si="23"/>
        <v>15.833333333333329</v>
      </c>
      <c r="AL27" s="179">
        <f t="shared" ca="1" si="24"/>
        <v>0.8333333333333286</v>
      </c>
      <c r="AM27" s="179">
        <f t="shared" ca="1" si="25"/>
        <v>-4.1666666666666714</v>
      </c>
      <c r="AN27" s="179">
        <f t="shared" ca="1" si="26"/>
        <v>-14.166666666666671</v>
      </c>
      <c r="AO27" s="179">
        <f t="shared" ca="1" si="27"/>
        <v>-4.1666666666666714</v>
      </c>
      <c r="AP27" s="179">
        <f t="shared" ca="1" si="28"/>
        <v>-4.1666666666666714</v>
      </c>
      <c r="AQ27" s="179">
        <f t="shared" ca="1" si="28"/>
        <v>-14.166666666666671</v>
      </c>
      <c r="AR27" s="179">
        <f t="shared" ca="1" si="29"/>
        <v>0.8333333333333286</v>
      </c>
      <c r="AS27" s="179">
        <f t="shared" ca="1" si="30"/>
        <v>20.833333333333329</v>
      </c>
      <c r="AT27" s="179">
        <f t="shared" ca="1" si="31"/>
        <v>-19.166666666666671</v>
      </c>
      <c r="AU27" s="179">
        <f t="shared" ca="1" si="32"/>
        <v>-4.1666666666666714</v>
      </c>
      <c r="AV27" s="179">
        <f t="shared" ca="1" si="33"/>
        <v>-9.1666666666666714</v>
      </c>
      <c r="AW27" s="179">
        <f t="shared" ca="1" si="34"/>
        <v>-24.166666666666671</v>
      </c>
      <c r="AX27" s="179">
        <f t="shared" ca="1" si="35"/>
        <v>10.833333333333329</v>
      </c>
      <c r="AY27" s="179">
        <f t="shared" ca="1" si="36"/>
        <v>-19.166666666666671</v>
      </c>
      <c r="AZ27" s="179">
        <f t="shared" ca="1" si="37"/>
        <v>5.8333333333333286</v>
      </c>
      <c r="BA27" s="179">
        <f t="shared" ca="1" si="38"/>
        <v>15.833333333333329</v>
      </c>
    </row>
    <row r="28" spans="1:53">
      <c r="A28" s="173">
        <v>27</v>
      </c>
      <c r="B28" s="157" t="str">
        <f t="shared" si="14"/>
        <v>Argentinië-Iran</v>
      </c>
      <c r="C28" s="298">
        <f ca="1">IF(VLOOKUP($A28,INDIRECT(C$1&amp;loc_voorspell),15,0)&lt;&gt;"",VLOOKUP($A28,INDIRECT(C$1&amp;loc_voorspell),15,0)+C27,"")</f>
        <v>100</v>
      </c>
      <c r="D28" s="298">
        <f ca="1">IF(VLOOKUP($A28,INDIRECT(D$1&amp;loc_voorspell),15,0)&lt;&gt;"",VLOOKUP($A28,INDIRECT(D$1&amp;loc_voorspell),15,0)+D27,"")</f>
        <v>90</v>
      </c>
      <c r="E28" s="298">
        <f ca="1">IF(VLOOKUP($A28,INDIRECT(E$1&amp;loc_voorspell),15,0)&lt;&gt;"",VLOOKUP($A28,INDIRECT(E$1&amp;loc_voorspell),15,0)+E27,"")</f>
        <v>65</v>
      </c>
      <c r="F28" s="298">
        <f ca="1">IF(VLOOKUP($A28,INDIRECT(F$1&amp;loc_voorspell),15,0)&lt;&gt;"",VLOOKUP($A28,INDIRECT(F$1&amp;loc_voorspell),15,0)+F27,"")</f>
        <v>100</v>
      </c>
      <c r="G28" s="298">
        <f ca="1">IF(VLOOKUP($A28,INDIRECT(G$1&amp;loc_voorspell),15,0)&lt;&gt;"",VLOOKUP($A28,INDIRECT(G$1&amp;loc_voorspell),15,0)+G27,"")</f>
        <v>95</v>
      </c>
      <c r="H28" s="298">
        <f ca="1">IF(VLOOKUP($A28,INDIRECT(H$1&amp;loc_voorspell),15,0)&lt;&gt;"",VLOOKUP($A28,INDIRECT(H$1&amp;loc_voorspell),15,0)+H27,"")</f>
        <v>60</v>
      </c>
      <c r="I28" s="298">
        <f ca="1">IF(VLOOKUP($A28,INDIRECT(I$1&amp;loc_voorspell),15,0)&lt;&gt;"",VLOOKUP($A28,INDIRECT(I$1&amp;loc_voorspell),15,0)+I27,"")</f>
        <v>60</v>
      </c>
      <c r="J28" s="298">
        <f ca="1">IF(VLOOKUP($A28,INDIRECT(J$1&amp;loc_voorspell),15,0)&lt;&gt;"",VLOOKUP($A28,INDIRECT(J$1&amp;loc_voorspell),15,0)+J27,"")</f>
        <v>95</v>
      </c>
      <c r="K28" s="298">
        <f ca="1">IF(VLOOKUP($A28,INDIRECT(K$1&amp;loc_voorspell),15,0)&lt;&gt;"",VLOOKUP($A28,INDIRECT(K$1&amp;loc_voorspell),15,0)+K27,"")</f>
        <v>80</v>
      </c>
      <c r="L28" s="298">
        <f ca="1">IF(VLOOKUP($A28,INDIRECT(L$1&amp;loc_voorspell),15,0)&lt;&gt;"",VLOOKUP($A28,INDIRECT(L$1&amp;loc_voorspell),15,0)+L27,"")</f>
        <v>75</v>
      </c>
      <c r="M28" s="298">
        <f ca="1">IF(VLOOKUP($A28,INDIRECT(M$1&amp;loc_voorspell),15,0)&lt;&gt;"",VLOOKUP($A28,INDIRECT(M$1&amp;loc_voorspell),15,0)+M27,"")</f>
        <v>65</v>
      </c>
      <c r="N28" s="298">
        <f ca="1">IF(VLOOKUP($A28,INDIRECT(N$1&amp;loc_voorspell),15,0)&lt;&gt;"",VLOOKUP($A28,INDIRECT(N$1&amp;loc_voorspell),15,0)+N27,"")</f>
        <v>100</v>
      </c>
      <c r="O28" s="298">
        <f ca="1">IF(VLOOKUP($A28,INDIRECT(O$1&amp;loc_voorspell),15,0)&lt;&gt;"",VLOOKUP($A28,INDIRECT(O$1&amp;loc_voorspell),15,0)+O27,"")</f>
        <v>75</v>
      </c>
      <c r="P28" s="298">
        <f ca="1">IF(VLOOKUP($A28,INDIRECT(P$1&amp;loc_voorspell),15,0)&lt;&gt;"",VLOOKUP($A28,INDIRECT(P$1&amp;loc_voorspell),15,0)+P27,"")</f>
        <v>65</v>
      </c>
      <c r="Q28" s="298">
        <f ca="1">IF(VLOOKUP($A28,INDIRECT(Q$1&amp;loc_voorspell),15,0)&lt;&gt;"",VLOOKUP($A28,INDIRECT(Q$1&amp;loc_voorspell),15,0)+Q27,"")</f>
        <v>80</v>
      </c>
      <c r="R28" s="298">
        <f ca="1">IF(VLOOKUP($A28,INDIRECT(R$1&amp;loc_voorspell),15,0)&lt;&gt;"",VLOOKUP($A28,INDIRECT(R$1&amp;loc_voorspell),15,0)+R27,"")</f>
        <v>100</v>
      </c>
      <c r="S28" s="298">
        <f ca="1">IF(VLOOKUP($A28,INDIRECT(S$1&amp;loc_voorspell),15,0)&lt;&gt;"",VLOOKUP($A28,INDIRECT(S$1&amp;loc_voorspell),15,0)+S27,"")</f>
        <v>60</v>
      </c>
      <c r="T28" s="298">
        <f ca="1">IF(VLOOKUP($A28,INDIRECT(T$1&amp;loc_voorspell),15,0)&lt;&gt;"",VLOOKUP($A28,INDIRECT(T$1&amp;loc_voorspell),15,0)+T27,"")</f>
        <v>75</v>
      </c>
      <c r="U28" s="298">
        <f ca="1">IF(VLOOKUP($A28,INDIRECT(U$1&amp;loc_voorspell),15,0)&lt;&gt;"",VLOOKUP($A28,INDIRECT(U$1&amp;loc_voorspell),15,0)+U27,"")</f>
        <v>70</v>
      </c>
      <c r="V28" s="298">
        <f ca="1">IF(VLOOKUP($A28,INDIRECT(V$1&amp;loc_voorspell),15,0)&lt;&gt;"",VLOOKUP($A28,INDIRECT(V$1&amp;loc_voorspell),15,0)+V27,"")</f>
        <v>55</v>
      </c>
      <c r="W28" s="298">
        <f ca="1">IF(VLOOKUP($A28,INDIRECT(W$1&amp;loc_voorspell),15,0)&lt;&gt;"",VLOOKUP($A28,INDIRECT(W$1&amp;loc_voorspell),15,0)+W27,"")</f>
        <v>95</v>
      </c>
      <c r="X28" s="298">
        <f ca="1">IF(VLOOKUP($A28,INDIRECT(X$1&amp;loc_voorspell),15,0)&lt;&gt;"",VLOOKUP($A28,INDIRECT(X$1&amp;loc_voorspell),15,0)+X27,"")</f>
        <v>60</v>
      </c>
      <c r="Y28" s="298">
        <f ca="1">IF(VLOOKUP($A28,INDIRECT(Y$1&amp;loc_voorspell),15,0)&lt;&gt;"",VLOOKUP($A28,INDIRECT(Y$1&amp;loc_voorspell),15,0)+Y27,"")</f>
        <v>85</v>
      </c>
      <c r="Z28" s="298">
        <f ca="1">IF(VLOOKUP($A28,INDIRECT(Z$1&amp;loc_voorspell),15,0)&lt;&gt;"",VLOOKUP($A28,INDIRECT(Z$1&amp;loc_voorspell),15,0)+Z27,"")</f>
        <v>95</v>
      </c>
      <c r="AA28" s="165">
        <f t="shared" ca="1" si="39"/>
        <v>79.166666666666671</v>
      </c>
      <c r="AB28" s="178">
        <f t="shared" ca="1" si="41"/>
        <v>5</v>
      </c>
      <c r="AC28" s="331" t="str">
        <f t="shared" si="40"/>
        <v>Argentinië-Iran</v>
      </c>
      <c r="AD28" s="179">
        <f t="shared" ca="1" si="16"/>
        <v>20.833333333333329</v>
      </c>
      <c r="AE28" s="179">
        <f t="shared" ca="1" si="17"/>
        <v>10.833333333333329</v>
      </c>
      <c r="AF28" s="179">
        <f t="shared" ca="1" si="18"/>
        <v>-14.166666666666671</v>
      </c>
      <c r="AG28" s="179">
        <f t="shared" ca="1" si="19"/>
        <v>20.833333333333329</v>
      </c>
      <c r="AH28" s="179">
        <f t="shared" ca="1" si="20"/>
        <v>15.833333333333329</v>
      </c>
      <c r="AI28" s="179">
        <f t="shared" ca="1" si="21"/>
        <v>-19.166666666666671</v>
      </c>
      <c r="AJ28" s="179">
        <f t="shared" ca="1" si="22"/>
        <v>-19.166666666666671</v>
      </c>
      <c r="AK28" s="179">
        <f t="shared" ca="1" si="23"/>
        <v>15.833333333333329</v>
      </c>
      <c r="AL28" s="179">
        <f t="shared" ca="1" si="24"/>
        <v>0.8333333333333286</v>
      </c>
      <c r="AM28" s="179">
        <f t="shared" ca="1" si="25"/>
        <v>-4.1666666666666714</v>
      </c>
      <c r="AN28" s="179">
        <f t="shared" ca="1" si="26"/>
        <v>-14.166666666666671</v>
      </c>
      <c r="AO28" s="179">
        <f t="shared" ca="1" si="27"/>
        <v>-4.1666666666666714</v>
      </c>
      <c r="AP28" s="179">
        <f t="shared" ca="1" si="28"/>
        <v>-4.1666666666666714</v>
      </c>
      <c r="AQ28" s="179">
        <f t="shared" ca="1" si="28"/>
        <v>-14.166666666666671</v>
      </c>
      <c r="AR28" s="179">
        <f t="shared" ca="1" si="29"/>
        <v>0.8333333333333286</v>
      </c>
      <c r="AS28" s="179">
        <f t="shared" ca="1" si="30"/>
        <v>20.833333333333329</v>
      </c>
      <c r="AT28" s="179">
        <f t="shared" ca="1" si="31"/>
        <v>-19.166666666666671</v>
      </c>
      <c r="AU28" s="179">
        <f t="shared" ca="1" si="32"/>
        <v>-4.1666666666666714</v>
      </c>
      <c r="AV28" s="179">
        <f t="shared" ca="1" si="33"/>
        <v>-9.1666666666666714</v>
      </c>
      <c r="AW28" s="179">
        <f t="shared" ca="1" si="34"/>
        <v>-24.166666666666671</v>
      </c>
      <c r="AX28" s="179">
        <f t="shared" ca="1" si="35"/>
        <v>15.833333333333329</v>
      </c>
      <c r="AY28" s="179">
        <f t="shared" ca="1" si="36"/>
        <v>-19.166666666666671</v>
      </c>
      <c r="AZ28" s="179">
        <f t="shared" ca="1" si="37"/>
        <v>5.8333333333333286</v>
      </c>
      <c r="BA28" s="179">
        <f t="shared" ca="1" si="38"/>
        <v>15.833333333333329</v>
      </c>
    </row>
    <row r="29" spans="1:53">
      <c r="A29" s="173">
        <v>29</v>
      </c>
      <c r="B29" s="158" t="str">
        <f t="shared" si="14"/>
        <v>Duitsland-Ghana</v>
      </c>
      <c r="C29" s="299">
        <f ca="1">IF(VLOOKUP($A29,INDIRECT(C$1&amp;loc_voorspell),15,0)&lt;&gt;"",VLOOKUP($A29,INDIRECT(C$1&amp;loc_voorspell),15,0)+C28,"")</f>
        <v>100</v>
      </c>
      <c r="D29" s="299">
        <f ca="1">IF(VLOOKUP($A29,INDIRECT(D$1&amp;loc_voorspell),15,0)&lt;&gt;"",VLOOKUP($A29,INDIRECT(D$1&amp;loc_voorspell),15,0)+D28,"")</f>
        <v>90</v>
      </c>
      <c r="E29" s="299">
        <f ca="1">IF(VLOOKUP($A29,INDIRECT(E$1&amp;loc_voorspell),15,0)&lt;&gt;"",VLOOKUP($A29,INDIRECT(E$1&amp;loc_voorspell),15,0)+E28,"")</f>
        <v>65</v>
      </c>
      <c r="F29" s="299">
        <f ca="1">IF(VLOOKUP($A29,INDIRECT(F$1&amp;loc_voorspell),15,0)&lt;&gt;"",VLOOKUP($A29,INDIRECT(F$1&amp;loc_voorspell),15,0)+F28,"")</f>
        <v>100</v>
      </c>
      <c r="G29" s="299">
        <f ca="1">IF(VLOOKUP($A29,INDIRECT(G$1&amp;loc_voorspell),15,0)&lt;&gt;"",VLOOKUP($A29,INDIRECT(G$1&amp;loc_voorspell),15,0)+G28,"")</f>
        <v>95</v>
      </c>
      <c r="H29" s="299">
        <f ca="1">IF(VLOOKUP($A29,INDIRECT(H$1&amp;loc_voorspell),15,0)&lt;&gt;"",VLOOKUP($A29,INDIRECT(H$1&amp;loc_voorspell),15,0)+H28,"")</f>
        <v>60</v>
      </c>
      <c r="I29" s="299">
        <f ca="1">IF(VLOOKUP($A29,INDIRECT(I$1&amp;loc_voorspell),15,0)&lt;&gt;"",VLOOKUP($A29,INDIRECT(I$1&amp;loc_voorspell),15,0)+I28,"")</f>
        <v>60</v>
      </c>
      <c r="J29" s="299">
        <f ca="1">IF(VLOOKUP($A29,INDIRECT(J$1&amp;loc_voorspell),15,0)&lt;&gt;"",VLOOKUP($A29,INDIRECT(J$1&amp;loc_voorspell),15,0)+J28,"")</f>
        <v>95</v>
      </c>
      <c r="K29" s="299">
        <f ca="1">IF(VLOOKUP($A29,INDIRECT(K$1&amp;loc_voorspell),15,0)&lt;&gt;"",VLOOKUP($A29,INDIRECT(K$1&amp;loc_voorspell),15,0)+K28,"")</f>
        <v>80</v>
      </c>
      <c r="L29" s="299">
        <f ca="1">IF(VLOOKUP($A29,INDIRECT(L$1&amp;loc_voorspell),15,0)&lt;&gt;"",VLOOKUP($A29,INDIRECT(L$1&amp;loc_voorspell),15,0)+L28,"")</f>
        <v>75</v>
      </c>
      <c r="M29" s="299">
        <f ca="1">IF(VLOOKUP($A29,INDIRECT(M$1&amp;loc_voorspell),15,0)&lt;&gt;"",VLOOKUP($A29,INDIRECT(M$1&amp;loc_voorspell),15,0)+M28,"")</f>
        <v>65</v>
      </c>
      <c r="N29" s="299">
        <f ca="1">IF(VLOOKUP($A29,INDIRECT(N$1&amp;loc_voorspell),15,0)&lt;&gt;"",VLOOKUP($A29,INDIRECT(N$1&amp;loc_voorspell),15,0)+N28,"")</f>
        <v>100</v>
      </c>
      <c r="O29" s="299">
        <f ca="1">IF(VLOOKUP($A29,INDIRECT(O$1&amp;loc_voorspell),15,0)&lt;&gt;"",VLOOKUP($A29,INDIRECT(O$1&amp;loc_voorspell),15,0)+O28,"")</f>
        <v>75</v>
      </c>
      <c r="P29" s="299">
        <f ca="1">IF(VLOOKUP($A29,INDIRECT(P$1&amp;loc_voorspell),15,0)&lt;&gt;"",VLOOKUP($A29,INDIRECT(P$1&amp;loc_voorspell),15,0)+P28,"")</f>
        <v>65</v>
      </c>
      <c r="Q29" s="299">
        <f ca="1">IF(VLOOKUP($A29,INDIRECT(Q$1&amp;loc_voorspell),15,0)&lt;&gt;"",VLOOKUP($A29,INDIRECT(Q$1&amp;loc_voorspell),15,0)+Q28,"")</f>
        <v>80</v>
      </c>
      <c r="R29" s="299">
        <f ca="1">IF(VLOOKUP($A29,INDIRECT(R$1&amp;loc_voorspell),15,0)&lt;&gt;"",VLOOKUP($A29,INDIRECT(R$1&amp;loc_voorspell),15,0)+R28,"")</f>
        <v>100</v>
      </c>
      <c r="S29" s="299">
        <f ca="1">IF(VLOOKUP($A29,INDIRECT(S$1&amp;loc_voorspell),15,0)&lt;&gt;"",VLOOKUP($A29,INDIRECT(S$1&amp;loc_voorspell),15,0)+S28,"")</f>
        <v>60</v>
      </c>
      <c r="T29" s="299">
        <f ca="1">IF(VLOOKUP($A29,INDIRECT(T$1&amp;loc_voorspell),15,0)&lt;&gt;"",VLOOKUP($A29,INDIRECT(T$1&amp;loc_voorspell),15,0)+T28,"")</f>
        <v>75</v>
      </c>
      <c r="U29" s="299">
        <f ca="1">IF(VLOOKUP($A29,INDIRECT(U$1&amp;loc_voorspell),15,0)&lt;&gt;"",VLOOKUP($A29,INDIRECT(U$1&amp;loc_voorspell),15,0)+U28,"")</f>
        <v>70</v>
      </c>
      <c r="V29" s="299">
        <f ca="1">IF(VLOOKUP($A29,INDIRECT(V$1&amp;loc_voorspell),15,0)&lt;&gt;"",VLOOKUP($A29,INDIRECT(V$1&amp;loc_voorspell),15,0)+V28,"")</f>
        <v>55</v>
      </c>
      <c r="W29" s="299">
        <f ca="1">IF(VLOOKUP($A29,INDIRECT(W$1&amp;loc_voorspell),15,0)&lt;&gt;"",VLOOKUP($A29,INDIRECT(W$1&amp;loc_voorspell),15,0)+W28,"")</f>
        <v>95</v>
      </c>
      <c r="X29" s="299">
        <f ca="1">IF(VLOOKUP($A29,INDIRECT(X$1&amp;loc_voorspell),15,0)&lt;&gt;"",VLOOKUP($A29,INDIRECT(X$1&amp;loc_voorspell),15,0)+X28,"")</f>
        <v>70</v>
      </c>
      <c r="Y29" s="299">
        <f ca="1">IF(VLOOKUP($A29,INDIRECT(Y$1&amp;loc_voorspell),15,0)&lt;&gt;"",VLOOKUP($A29,INDIRECT(Y$1&amp;loc_voorspell),15,0)+Y28,"")</f>
        <v>85</v>
      </c>
      <c r="Z29" s="299">
        <f ca="1">IF(VLOOKUP($A29,INDIRECT(Z$1&amp;loc_voorspell),15,0)&lt;&gt;"",VLOOKUP($A29,INDIRECT(Z$1&amp;loc_voorspell),15,0)+Z28,"")</f>
        <v>95</v>
      </c>
      <c r="AA29" s="165">
        <f t="shared" ca="1" si="39"/>
        <v>79.583333333333329</v>
      </c>
      <c r="AB29" s="178">
        <f t="shared" ca="1" si="41"/>
        <v>0.41666666666665719</v>
      </c>
      <c r="AC29" s="331" t="str">
        <f t="shared" si="40"/>
        <v>Duitsland-Ghana</v>
      </c>
      <c r="AD29" s="179">
        <f t="shared" ca="1" si="16"/>
        <v>20.416666666666671</v>
      </c>
      <c r="AE29" s="179">
        <f t="shared" ca="1" si="17"/>
        <v>10.416666666666671</v>
      </c>
      <c r="AF29" s="179">
        <f t="shared" ca="1" si="18"/>
        <v>-14.583333333333329</v>
      </c>
      <c r="AG29" s="179">
        <f t="shared" ca="1" si="19"/>
        <v>20.416666666666671</v>
      </c>
      <c r="AH29" s="179">
        <f t="shared" ca="1" si="20"/>
        <v>15.416666666666671</v>
      </c>
      <c r="AI29" s="179">
        <f t="shared" ca="1" si="21"/>
        <v>-19.583333333333329</v>
      </c>
      <c r="AJ29" s="179">
        <f t="shared" ca="1" si="22"/>
        <v>-19.583333333333329</v>
      </c>
      <c r="AK29" s="179">
        <f t="shared" ca="1" si="23"/>
        <v>15.416666666666671</v>
      </c>
      <c r="AL29" s="179">
        <f t="shared" ca="1" si="24"/>
        <v>0.4166666666666714</v>
      </c>
      <c r="AM29" s="179">
        <f t="shared" ca="1" si="25"/>
        <v>-4.5833333333333286</v>
      </c>
      <c r="AN29" s="179">
        <f t="shared" ca="1" si="26"/>
        <v>-14.583333333333329</v>
      </c>
      <c r="AO29" s="179">
        <f t="shared" ca="1" si="27"/>
        <v>-4.5833333333333286</v>
      </c>
      <c r="AP29" s="179">
        <f t="shared" ca="1" si="28"/>
        <v>-4.5833333333333286</v>
      </c>
      <c r="AQ29" s="179">
        <f t="shared" ca="1" si="28"/>
        <v>-14.583333333333329</v>
      </c>
      <c r="AR29" s="179">
        <f t="shared" ca="1" si="29"/>
        <v>0.4166666666666714</v>
      </c>
      <c r="AS29" s="179">
        <f t="shared" ca="1" si="30"/>
        <v>20.416666666666671</v>
      </c>
      <c r="AT29" s="179">
        <f t="shared" ca="1" si="31"/>
        <v>-19.583333333333329</v>
      </c>
      <c r="AU29" s="179">
        <f t="shared" ca="1" si="32"/>
        <v>-4.5833333333333286</v>
      </c>
      <c r="AV29" s="179">
        <f t="shared" ca="1" si="33"/>
        <v>-9.5833333333333286</v>
      </c>
      <c r="AW29" s="179">
        <f t="shared" ca="1" si="34"/>
        <v>-24.583333333333329</v>
      </c>
      <c r="AX29" s="179">
        <f t="shared" ca="1" si="35"/>
        <v>15.416666666666671</v>
      </c>
      <c r="AY29" s="179">
        <f t="shared" ca="1" si="36"/>
        <v>-9.5833333333333286</v>
      </c>
      <c r="AZ29" s="179">
        <f t="shared" ca="1" si="37"/>
        <v>5.4166666666666714</v>
      </c>
      <c r="BA29" s="179">
        <f t="shared" ca="1" si="38"/>
        <v>15.416666666666671</v>
      </c>
    </row>
    <row r="30" spans="1:53">
      <c r="A30" s="173">
        <v>28</v>
      </c>
      <c r="B30" s="157" t="str">
        <f t="shared" si="14"/>
        <v>Nigeria-Bosnië-Herzegovina</v>
      </c>
      <c r="C30" s="298">
        <f ca="1">IF(VLOOKUP($A30,INDIRECT(C$1&amp;loc_voorspell),15,0)&lt;&gt;"",VLOOKUP($A30,INDIRECT(C$1&amp;loc_voorspell),15,0)+C29,"")</f>
        <v>100</v>
      </c>
      <c r="D30" s="298">
        <f ca="1">IF(VLOOKUP($A30,INDIRECT(D$1&amp;loc_voorspell),15,0)&lt;&gt;"",VLOOKUP($A30,INDIRECT(D$1&amp;loc_voorspell),15,0)+D29,"")</f>
        <v>90</v>
      </c>
      <c r="E30" s="298">
        <f ca="1">IF(VLOOKUP($A30,INDIRECT(E$1&amp;loc_voorspell),15,0)&lt;&gt;"",VLOOKUP($A30,INDIRECT(E$1&amp;loc_voorspell),15,0)+E29,"")</f>
        <v>75</v>
      </c>
      <c r="F30" s="298">
        <f ca="1">IF(VLOOKUP($A30,INDIRECT(F$1&amp;loc_voorspell),15,0)&lt;&gt;"",VLOOKUP($A30,INDIRECT(F$1&amp;loc_voorspell),15,0)+F29,"")</f>
        <v>100</v>
      </c>
      <c r="G30" s="298">
        <f ca="1">IF(VLOOKUP($A30,INDIRECT(G$1&amp;loc_voorspell),15,0)&lt;&gt;"",VLOOKUP($A30,INDIRECT(G$1&amp;loc_voorspell),15,0)+G29,"")</f>
        <v>95</v>
      </c>
      <c r="H30" s="298">
        <f ca="1">IF(VLOOKUP($A30,INDIRECT(H$1&amp;loc_voorspell),15,0)&lt;&gt;"",VLOOKUP($A30,INDIRECT(H$1&amp;loc_voorspell),15,0)+H29,"")</f>
        <v>60</v>
      </c>
      <c r="I30" s="298">
        <f ca="1">IF(VLOOKUP($A30,INDIRECT(I$1&amp;loc_voorspell),15,0)&lt;&gt;"",VLOOKUP($A30,INDIRECT(I$1&amp;loc_voorspell),15,0)+I29,"")</f>
        <v>60</v>
      </c>
      <c r="J30" s="298">
        <f ca="1">IF(VLOOKUP($A30,INDIRECT(J$1&amp;loc_voorspell),15,0)&lt;&gt;"",VLOOKUP($A30,INDIRECT(J$1&amp;loc_voorspell),15,0)+J29,"")</f>
        <v>95</v>
      </c>
      <c r="K30" s="298">
        <f ca="1">IF(VLOOKUP($A30,INDIRECT(K$1&amp;loc_voorspell),15,0)&lt;&gt;"",VLOOKUP($A30,INDIRECT(K$1&amp;loc_voorspell),15,0)+K29,"")</f>
        <v>80</v>
      </c>
      <c r="L30" s="298">
        <f ca="1">IF(VLOOKUP($A30,INDIRECT(L$1&amp;loc_voorspell),15,0)&lt;&gt;"",VLOOKUP($A30,INDIRECT(L$1&amp;loc_voorspell),15,0)+L29,"")</f>
        <v>75</v>
      </c>
      <c r="M30" s="298">
        <f ca="1">IF(VLOOKUP($A30,INDIRECT(M$1&amp;loc_voorspell),15,0)&lt;&gt;"",VLOOKUP($A30,INDIRECT(M$1&amp;loc_voorspell),15,0)+M29,"")</f>
        <v>65</v>
      </c>
      <c r="N30" s="298">
        <f ca="1">IF(VLOOKUP($A30,INDIRECT(N$1&amp;loc_voorspell),15,0)&lt;&gt;"",VLOOKUP($A30,INDIRECT(N$1&amp;loc_voorspell),15,0)+N29,"")</f>
        <v>110</v>
      </c>
      <c r="O30" s="298">
        <f ca="1">IF(VLOOKUP($A30,INDIRECT(O$1&amp;loc_voorspell),15,0)&lt;&gt;"",VLOOKUP($A30,INDIRECT(O$1&amp;loc_voorspell),15,0)+O29,"")</f>
        <v>75</v>
      </c>
      <c r="P30" s="298">
        <f ca="1">IF(VLOOKUP($A30,INDIRECT(P$1&amp;loc_voorspell),15,0)&lt;&gt;"",VLOOKUP($A30,INDIRECT(P$1&amp;loc_voorspell),15,0)+P29,"")</f>
        <v>65</v>
      </c>
      <c r="Q30" s="298">
        <f ca="1">IF(VLOOKUP($A30,INDIRECT(Q$1&amp;loc_voorspell),15,0)&lt;&gt;"",VLOOKUP($A30,INDIRECT(Q$1&amp;loc_voorspell),15,0)+Q29,"")</f>
        <v>80</v>
      </c>
      <c r="R30" s="298">
        <f ca="1">IF(VLOOKUP($A30,INDIRECT(R$1&amp;loc_voorspell),15,0)&lt;&gt;"",VLOOKUP($A30,INDIRECT(R$1&amp;loc_voorspell),15,0)+R29,"")</f>
        <v>100</v>
      </c>
      <c r="S30" s="298">
        <f ca="1">IF(VLOOKUP($A30,INDIRECT(S$1&amp;loc_voorspell),15,0)&lt;&gt;"",VLOOKUP($A30,INDIRECT(S$1&amp;loc_voorspell),15,0)+S29,"")</f>
        <v>60</v>
      </c>
      <c r="T30" s="298">
        <f ca="1">IF(VLOOKUP($A30,INDIRECT(T$1&amp;loc_voorspell),15,0)&lt;&gt;"",VLOOKUP($A30,INDIRECT(T$1&amp;loc_voorspell),15,0)+T29,"")</f>
        <v>75</v>
      </c>
      <c r="U30" s="298">
        <f ca="1">IF(VLOOKUP($A30,INDIRECT(U$1&amp;loc_voorspell),15,0)&lt;&gt;"",VLOOKUP($A30,INDIRECT(U$1&amp;loc_voorspell),15,0)+U29,"")</f>
        <v>70</v>
      </c>
      <c r="V30" s="298">
        <f ca="1">IF(VLOOKUP($A30,INDIRECT(V$1&amp;loc_voorspell),15,0)&lt;&gt;"",VLOOKUP($A30,INDIRECT(V$1&amp;loc_voorspell),15,0)+V29,"")</f>
        <v>55</v>
      </c>
      <c r="W30" s="298">
        <f ca="1">IF(VLOOKUP($A30,INDIRECT(W$1&amp;loc_voorspell),15,0)&lt;&gt;"",VLOOKUP($A30,INDIRECT(W$1&amp;loc_voorspell),15,0)+W29,"")</f>
        <v>95</v>
      </c>
      <c r="X30" s="298">
        <f ca="1">IF(VLOOKUP($A30,INDIRECT(X$1&amp;loc_voorspell),15,0)&lt;&gt;"",VLOOKUP($A30,INDIRECT(X$1&amp;loc_voorspell),15,0)+X29,"")</f>
        <v>80</v>
      </c>
      <c r="Y30" s="298">
        <f ca="1">IF(VLOOKUP($A30,INDIRECT(Y$1&amp;loc_voorspell),15,0)&lt;&gt;"",VLOOKUP($A30,INDIRECT(Y$1&amp;loc_voorspell),15,0)+Y29,"")</f>
        <v>85</v>
      </c>
      <c r="Z30" s="298">
        <f ca="1">IF(VLOOKUP($A30,INDIRECT(Z$1&amp;loc_voorspell),15,0)&lt;&gt;"",VLOOKUP($A30,INDIRECT(Z$1&amp;loc_voorspell),15,0)+Z29,"")</f>
        <v>95</v>
      </c>
      <c r="AA30" s="165">
        <f t="shared" ca="1" si="39"/>
        <v>80.833333333333329</v>
      </c>
      <c r="AB30" s="178">
        <f t="shared" ca="1" si="41"/>
        <v>1.25</v>
      </c>
      <c r="AC30" s="331" t="str">
        <f t="shared" si="40"/>
        <v>Nigeria-Bosnië-Herzegovina</v>
      </c>
      <c r="AD30" s="179">
        <f t="shared" ca="1" si="16"/>
        <v>19.166666666666671</v>
      </c>
      <c r="AE30" s="179">
        <f t="shared" ca="1" si="17"/>
        <v>9.1666666666666714</v>
      </c>
      <c r="AF30" s="179">
        <f t="shared" ca="1" si="18"/>
        <v>-5.8333333333333286</v>
      </c>
      <c r="AG30" s="179">
        <f t="shared" ca="1" si="19"/>
        <v>19.166666666666671</v>
      </c>
      <c r="AH30" s="179">
        <f t="shared" ca="1" si="20"/>
        <v>14.166666666666671</v>
      </c>
      <c r="AI30" s="179">
        <f t="shared" ca="1" si="21"/>
        <v>-20.833333333333329</v>
      </c>
      <c r="AJ30" s="179">
        <f t="shared" ca="1" si="22"/>
        <v>-20.833333333333329</v>
      </c>
      <c r="AK30" s="179">
        <f t="shared" ca="1" si="23"/>
        <v>14.166666666666671</v>
      </c>
      <c r="AL30" s="179">
        <f t="shared" ca="1" si="24"/>
        <v>-0.8333333333333286</v>
      </c>
      <c r="AM30" s="179">
        <f t="shared" ca="1" si="25"/>
        <v>-5.8333333333333286</v>
      </c>
      <c r="AN30" s="179">
        <f t="shared" ca="1" si="26"/>
        <v>-15.833333333333329</v>
      </c>
      <c r="AO30" s="179">
        <f t="shared" ca="1" si="27"/>
        <v>-5.8333333333333286</v>
      </c>
      <c r="AP30" s="179">
        <f t="shared" ca="1" si="28"/>
        <v>-5.8333333333333286</v>
      </c>
      <c r="AQ30" s="179">
        <f t="shared" ca="1" si="28"/>
        <v>-15.833333333333329</v>
      </c>
      <c r="AR30" s="179">
        <f t="shared" ca="1" si="29"/>
        <v>-0.8333333333333286</v>
      </c>
      <c r="AS30" s="179">
        <f t="shared" ca="1" si="30"/>
        <v>19.166666666666671</v>
      </c>
      <c r="AT30" s="179">
        <f t="shared" ca="1" si="31"/>
        <v>-20.833333333333329</v>
      </c>
      <c r="AU30" s="179">
        <f t="shared" ca="1" si="32"/>
        <v>-5.8333333333333286</v>
      </c>
      <c r="AV30" s="179">
        <f t="shared" ca="1" si="33"/>
        <v>-10.833333333333329</v>
      </c>
      <c r="AW30" s="179">
        <f t="shared" ca="1" si="34"/>
        <v>-25.833333333333329</v>
      </c>
      <c r="AX30" s="179">
        <f t="shared" ca="1" si="35"/>
        <v>14.166666666666671</v>
      </c>
      <c r="AY30" s="179">
        <f t="shared" ca="1" si="36"/>
        <v>-0.8333333333333286</v>
      </c>
      <c r="AZ30" s="179">
        <f t="shared" ca="1" si="37"/>
        <v>4.1666666666666714</v>
      </c>
      <c r="BA30" s="179">
        <f t="shared" ca="1" si="38"/>
        <v>14.166666666666671</v>
      </c>
    </row>
    <row r="31" spans="1:53">
      <c r="A31" s="173">
        <v>31</v>
      </c>
      <c r="B31" s="158" t="str">
        <f t="shared" si="14"/>
        <v>België-Rusland</v>
      </c>
      <c r="C31" s="299">
        <f ca="1">IF(VLOOKUP($A31,INDIRECT(C$1&amp;loc_voorspell),15,0)&lt;&gt;"",VLOOKUP($A31,INDIRECT(C$1&amp;loc_voorspell),15,0)+C30,"")</f>
        <v>105</v>
      </c>
      <c r="D31" s="299">
        <f ca="1">IF(VLOOKUP($A31,INDIRECT(D$1&amp;loc_voorspell),15,0)&lt;&gt;"",VLOOKUP($A31,INDIRECT(D$1&amp;loc_voorspell),15,0)+D30,"")</f>
        <v>90</v>
      </c>
      <c r="E31" s="299">
        <f ca="1">IF(VLOOKUP($A31,INDIRECT(E$1&amp;loc_voorspell),15,0)&lt;&gt;"",VLOOKUP($A31,INDIRECT(E$1&amp;loc_voorspell),15,0)+E30,"")</f>
        <v>75</v>
      </c>
      <c r="F31" s="299">
        <f ca="1">IF(VLOOKUP($A31,INDIRECT(F$1&amp;loc_voorspell),15,0)&lt;&gt;"",VLOOKUP($A31,INDIRECT(F$1&amp;loc_voorspell),15,0)+F30,"")</f>
        <v>100</v>
      </c>
      <c r="G31" s="299">
        <f ca="1">IF(VLOOKUP($A31,INDIRECT(G$1&amp;loc_voorspell),15,0)&lt;&gt;"",VLOOKUP($A31,INDIRECT(G$1&amp;loc_voorspell),15,0)+G30,"")</f>
        <v>95</v>
      </c>
      <c r="H31" s="299">
        <f ca="1">IF(VLOOKUP($A31,INDIRECT(H$1&amp;loc_voorspell),15,0)&lt;&gt;"",VLOOKUP($A31,INDIRECT(H$1&amp;loc_voorspell),15,0)+H30,"")</f>
        <v>65</v>
      </c>
      <c r="I31" s="299">
        <f ca="1">IF(VLOOKUP($A31,INDIRECT(I$1&amp;loc_voorspell),15,0)&lt;&gt;"",VLOOKUP($A31,INDIRECT(I$1&amp;loc_voorspell),15,0)+I30,"")</f>
        <v>60</v>
      </c>
      <c r="J31" s="299">
        <f ca="1">IF(VLOOKUP($A31,INDIRECT(J$1&amp;loc_voorspell),15,0)&lt;&gt;"",VLOOKUP($A31,INDIRECT(J$1&amp;loc_voorspell),15,0)+J30,"")</f>
        <v>100</v>
      </c>
      <c r="K31" s="299">
        <f ca="1">IF(VLOOKUP($A31,INDIRECT(K$1&amp;loc_voorspell),15,0)&lt;&gt;"",VLOOKUP($A31,INDIRECT(K$1&amp;loc_voorspell),15,0)+K30,"")</f>
        <v>80</v>
      </c>
      <c r="L31" s="299">
        <f ca="1">IF(VLOOKUP($A31,INDIRECT(L$1&amp;loc_voorspell),15,0)&lt;&gt;"",VLOOKUP($A31,INDIRECT(L$1&amp;loc_voorspell),15,0)+L30,"")</f>
        <v>80</v>
      </c>
      <c r="M31" s="299">
        <f ca="1">IF(VLOOKUP($A31,INDIRECT(M$1&amp;loc_voorspell),15,0)&lt;&gt;"",VLOOKUP($A31,INDIRECT(M$1&amp;loc_voorspell),15,0)+M30,"")</f>
        <v>65</v>
      </c>
      <c r="N31" s="299">
        <f ca="1">IF(VLOOKUP($A31,INDIRECT(N$1&amp;loc_voorspell),15,0)&lt;&gt;"",VLOOKUP($A31,INDIRECT(N$1&amp;loc_voorspell),15,0)+N30,"")</f>
        <v>110</v>
      </c>
      <c r="O31" s="299">
        <f ca="1">IF(VLOOKUP($A31,INDIRECT(O$1&amp;loc_voorspell),15,0)&lt;&gt;"",VLOOKUP($A31,INDIRECT(O$1&amp;loc_voorspell),15,0)+O30,"")</f>
        <v>80</v>
      </c>
      <c r="P31" s="299">
        <f ca="1">IF(VLOOKUP($A31,INDIRECT(P$1&amp;loc_voorspell),15,0)&lt;&gt;"",VLOOKUP($A31,INDIRECT(P$1&amp;loc_voorspell),15,0)+P30,"")</f>
        <v>65</v>
      </c>
      <c r="Q31" s="299">
        <f ca="1">IF(VLOOKUP($A31,INDIRECT(Q$1&amp;loc_voorspell),15,0)&lt;&gt;"",VLOOKUP($A31,INDIRECT(Q$1&amp;loc_voorspell),15,0)+Q30,"")</f>
        <v>90</v>
      </c>
      <c r="R31" s="299">
        <f ca="1">IF(VLOOKUP($A31,INDIRECT(R$1&amp;loc_voorspell),15,0)&lt;&gt;"",VLOOKUP($A31,INDIRECT(R$1&amp;loc_voorspell),15,0)+R30,"")</f>
        <v>105</v>
      </c>
      <c r="S31" s="299">
        <f ca="1">IF(VLOOKUP($A31,INDIRECT(S$1&amp;loc_voorspell),15,0)&lt;&gt;"",VLOOKUP($A31,INDIRECT(S$1&amp;loc_voorspell),15,0)+S30,"")</f>
        <v>60</v>
      </c>
      <c r="T31" s="299">
        <f ca="1">IF(VLOOKUP($A31,INDIRECT(T$1&amp;loc_voorspell),15,0)&lt;&gt;"",VLOOKUP($A31,INDIRECT(T$1&amp;loc_voorspell),15,0)+T30,"")</f>
        <v>85</v>
      </c>
      <c r="U31" s="299">
        <f ca="1">IF(VLOOKUP($A31,INDIRECT(U$1&amp;loc_voorspell),15,0)&lt;&gt;"",VLOOKUP($A31,INDIRECT(U$1&amp;loc_voorspell),15,0)+U30,"")</f>
        <v>70</v>
      </c>
      <c r="V31" s="299">
        <f ca="1">IF(VLOOKUP($A31,INDIRECT(V$1&amp;loc_voorspell),15,0)&lt;&gt;"",VLOOKUP($A31,INDIRECT(V$1&amp;loc_voorspell),15,0)+V30,"")</f>
        <v>55</v>
      </c>
      <c r="W31" s="299">
        <f ca="1">IF(VLOOKUP($A31,INDIRECT(W$1&amp;loc_voorspell),15,0)&lt;&gt;"",VLOOKUP($A31,INDIRECT(W$1&amp;loc_voorspell),15,0)+W30,"")</f>
        <v>105</v>
      </c>
      <c r="X31" s="299">
        <f ca="1">IF(VLOOKUP($A31,INDIRECT(X$1&amp;loc_voorspell),15,0)&lt;&gt;"",VLOOKUP($A31,INDIRECT(X$1&amp;loc_voorspell),15,0)+X30,"")</f>
        <v>85</v>
      </c>
      <c r="Y31" s="299">
        <f ca="1">IF(VLOOKUP($A31,INDIRECT(Y$1&amp;loc_voorspell),15,0)&lt;&gt;"",VLOOKUP($A31,INDIRECT(Y$1&amp;loc_voorspell),15,0)+Y30,"")</f>
        <v>90</v>
      </c>
      <c r="Z31" s="299">
        <f ca="1">IF(VLOOKUP($A31,INDIRECT(Z$1&amp;loc_voorspell),15,0)&lt;&gt;"",VLOOKUP($A31,INDIRECT(Z$1&amp;loc_voorspell),15,0)+Z30,"")</f>
        <v>95</v>
      </c>
      <c r="AA31" s="165">
        <f t="shared" ca="1" si="39"/>
        <v>83.75</v>
      </c>
      <c r="AB31" s="178">
        <f t="shared" ca="1" si="41"/>
        <v>2.9166666666666714</v>
      </c>
      <c r="AC31" s="331" t="str">
        <f t="shared" si="40"/>
        <v>België-Rusland</v>
      </c>
      <c r="AD31" s="179">
        <f t="shared" ca="1" si="16"/>
        <v>21.25</v>
      </c>
      <c r="AE31" s="179">
        <f t="shared" ca="1" si="17"/>
        <v>6.25</v>
      </c>
      <c r="AF31" s="179">
        <f t="shared" ca="1" si="18"/>
        <v>-8.75</v>
      </c>
      <c r="AG31" s="179">
        <f t="shared" ca="1" si="19"/>
        <v>16.25</v>
      </c>
      <c r="AH31" s="179">
        <f t="shared" ca="1" si="20"/>
        <v>11.25</v>
      </c>
      <c r="AI31" s="179">
        <f t="shared" ca="1" si="21"/>
        <v>-18.75</v>
      </c>
      <c r="AJ31" s="179">
        <f t="shared" ca="1" si="22"/>
        <v>-23.75</v>
      </c>
      <c r="AK31" s="179">
        <f t="shared" ca="1" si="23"/>
        <v>16.25</v>
      </c>
      <c r="AL31" s="179">
        <f t="shared" ca="1" si="24"/>
        <v>-3.75</v>
      </c>
      <c r="AM31" s="179">
        <f t="shared" ca="1" si="25"/>
        <v>-3.75</v>
      </c>
      <c r="AN31" s="179">
        <f t="shared" ca="1" si="26"/>
        <v>-18.75</v>
      </c>
      <c r="AO31" s="179">
        <f t="shared" ca="1" si="27"/>
        <v>-3.75</v>
      </c>
      <c r="AP31" s="179">
        <f t="shared" ca="1" si="28"/>
        <v>-3.75</v>
      </c>
      <c r="AQ31" s="179">
        <f t="shared" ca="1" si="28"/>
        <v>-18.75</v>
      </c>
      <c r="AR31" s="179">
        <f t="shared" ca="1" si="29"/>
        <v>6.25</v>
      </c>
      <c r="AS31" s="179">
        <f t="shared" ca="1" si="30"/>
        <v>21.25</v>
      </c>
      <c r="AT31" s="179">
        <f t="shared" ca="1" si="31"/>
        <v>-23.75</v>
      </c>
      <c r="AU31" s="179">
        <f t="shared" ca="1" si="32"/>
        <v>1.25</v>
      </c>
      <c r="AV31" s="179">
        <f t="shared" ca="1" si="33"/>
        <v>-13.75</v>
      </c>
      <c r="AW31" s="179">
        <f t="shared" ca="1" si="34"/>
        <v>-28.75</v>
      </c>
      <c r="AX31" s="179">
        <f t="shared" ca="1" si="35"/>
        <v>21.25</v>
      </c>
      <c r="AY31" s="179">
        <f t="shared" ca="1" si="36"/>
        <v>1.25</v>
      </c>
      <c r="AZ31" s="179">
        <f t="shared" ca="1" si="37"/>
        <v>6.25</v>
      </c>
      <c r="BA31" s="179">
        <f t="shared" ca="1" si="38"/>
        <v>11.25</v>
      </c>
    </row>
    <row r="32" spans="1:53">
      <c r="A32" s="173">
        <v>32</v>
      </c>
      <c r="B32" s="157" t="str">
        <f t="shared" si="14"/>
        <v>Zuid-Korea-Algerije</v>
      </c>
      <c r="C32" s="298">
        <f ca="1">IF(VLOOKUP($A32,INDIRECT(C$1&amp;loc_voorspell),15,0)&lt;&gt;"",VLOOKUP($A32,INDIRECT(C$1&amp;loc_voorspell),15,0)+C31,"")</f>
        <v>110</v>
      </c>
      <c r="D32" s="298">
        <f ca="1">IF(VLOOKUP($A32,INDIRECT(D$1&amp;loc_voorspell),15,0)&lt;&gt;"",VLOOKUP($A32,INDIRECT(D$1&amp;loc_voorspell),15,0)+D31,"")</f>
        <v>90</v>
      </c>
      <c r="E32" s="298">
        <f ca="1">IF(VLOOKUP($A32,INDIRECT(E$1&amp;loc_voorspell),15,0)&lt;&gt;"",VLOOKUP($A32,INDIRECT(E$1&amp;loc_voorspell),15,0)+E31,"")</f>
        <v>75</v>
      </c>
      <c r="F32" s="298">
        <f ca="1">IF(VLOOKUP($A32,INDIRECT(F$1&amp;loc_voorspell),15,0)&lt;&gt;"",VLOOKUP($A32,INDIRECT(F$1&amp;loc_voorspell),15,0)+F31,"")</f>
        <v>100</v>
      </c>
      <c r="G32" s="298">
        <f ca="1">IF(VLOOKUP($A32,INDIRECT(G$1&amp;loc_voorspell),15,0)&lt;&gt;"",VLOOKUP($A32,INDIRECT(G$1&amp;loc_voorspell),15,0)+G31,"")</f>
        <v>100</v>
      </c>
      <c r="H32" s="298">
        <f ca="1">IF(VLOOKUP($A32,INDIRECT(H$1&amp;loc_voorspell),15,0)&lt;&gt;"",VLOOKUP($A32,INDIRECT(H$1&amp;loc_voorspell),15,0)+H31,"")</f>
        <v>65</v>
      </c>
      <c r="I32" s="298">
        <f ca="1">IF(VLOOKUP($A32,INDIRECT(I$1&amp;loc_voorspell),15,0)&lt;&gt;"",VLOOKUP($A32,INDIRECT(I$1&amp;loc_voorspell),15,0)+I31,"")</f>
        <v>60</v>
      </c>
      <c r="J32" s="298">
        <f ca="1">IF(VLOOKUP($A32,INDIRECT(J$1&amp;loc_voorspell),15,0)&lt;&gt;"",VLOOKUP($A32,INDIRECT(J$1&amp;loc_voorspell),15,0)+J31,"")</f>
        <v>105</v>
      </c>
      <c r="K32" s="298">
        <f ca="1">IF(VLOOKUP($A32,INDIRECT(K$1&amp;loc_voorspell),15,0)&lt;&gt;"",VLOOKUP($A32,INDIRECT(K$1&amp;loc_voorspell),15,0)+K31,"")</f>
        <v>80</v>
      </c>
      <c r="L32" s="298">
        <f ca="1">IF(VLOOKUP($A32,INDIRECT(L$1&amp;loc_voorspell),15,0)&lt;&gt;"",VLOOKUP($A32,INDIRECT(L$1&amp;loc_voorspell),15,0)+L31,"")</f>
        <v>80</v>
      </c>
      <c r="M32" s="298">
        <f ca="1">IF(VLOOKUP($A32,INDIRECT(M$1&amp;loc_voorspell),15,0)&lt;&gt;"",VLOOKUP($A32,INDIRECT(M$1&amp;loc_voorspell),15,0)+M31,"")</f>
        <v>65</v>
      </c>
      <c r="N32" s="298">
        <f ca="1">IF(VLOOKUP($A32,INDIRECT(N$1&amp;loc_voorspell),15,0)&lt;&gt;"",VLOOKUP($A32,INDIRECT(N$1&amp;loc_voorspell),15,0)+N31,"")</f>
        <v>110</v>
      </c>
      <c r="O32" s="298">
        <f ca="1">IF(VLOOKUP($A32,INDIRECT(O$1&amp;loc_voorspell),15,0)&lt;&gt;"",VLOOKUP($A32,INDIRECT(O$1&amp;loc_voorspell),15,0)+O31,"")</f>
        <v>85</v>
      </c>
      <c r="P32" s="298">
        <f ca="1">IF(VLOOKUP($A32,INDIRECT(P$1&amp;loc_voorspell),15,0)&lt;&gt;"",VLOOKUP($A32,INDIRECT(P$1&amp;loc_voorspell),15,0)+P31,"")</f>
        <v>65</v>
      </c>
      <c r="Q32" s="298">
        <f ca="1">IF(VLOOKUP($A32,INDIRECT(Q$1&amp;loc_voorspell),15,0)&lt;&gt;"",VLOOKUP($A32,INDIRECT(Q$1&amp;loc_voorspell),15,0)+Q31,"")</f>
        <v>90</v>
      </c>
      <c r="R32" s="298">
        <f ca="1">IF(VLOOKUP($A32,INDIRECT(R$1&amp;loc_voorspell),15,0)&lt;&gt;"",VLOOKUP($A32,INDIRECT(R$1&amp;loc_voorspell),15,0)+R31,"")</f>
        <v>110</v>
      </c>
      <c r="S32" s="298">
        <f ca="1">IF(VLOOKUP($A32,INDIRECT(S$1&amp;loc_voorspell),15,0)&lt;&gt;"",VLOOKUP($A32,INDIRECT(S$1&amp;loc_voorspell),15,0)+S31,"")</f>
        <v>60</v>
      </c>
      <c r="T32" s="298">
        <f ca="1">IF(VLOOKUP($A32,INDIRECT(T$1&amp;loc_voorspell),15,0)&lt;&gt;"",VLOOKUP($A32,INDIRECT(T$1&amp;loc_voorspell),15,0)+T31,"")</f>
        <v>85</v>
      </c>
      <c r="U32" s="298">
        <f ca="1">IF(VLOOKUP($A32,INDIRECT(U$1&amp;loc_voorspell),15,0)&lt;&gt;"",VLOOKUP($A32,INDIRECT(U$1&amp;loc_voorspell),15,0)+U31,"")</f>
        <v>70</v>
      </c>
      <c r="V32" s="298">
        <f ca="1">IF(VLOOKUP($A32,INDIRECT(V$1&amp;loc_voorspell),15,0)&lt;&gt;"",VLOOKUP($A32,INDIRECT(V$1&amp;loc_voorspell),15,0)+V31,"")</f>
        <v>55</v>
      </c>
      <c r="W32" s="298">
        <f ca="1">IF(VLOOKUP($A32,INDIRECT(W$1&amp;loc_voorspell),15,0)&lt;&gt;"",VLOOKUP($A32,INDIRECT(W$1&amp;loc_voorspell),15,0)+W31,"")</f>
        <v>110</v>
      </c>
      <c r="X32" s="298">
        <f ca="1">IF(VLOOKUP($A32,INDIRECT(X$1&amp;loc_voorspell),15,0)&lt;&gt;"",VLOOKUP($A32,INDIRECT(X$1&amp;loc_voorspell),15,0)+X31,"")</f>
        <v>85</v>
      </c>
      <c r="Y32" s="298">
        <f ca="1">IF(VLOOKUP($A32,INDIRECT(Y$1&amp;loc_voorspell),15,0)&lt;&gt;"",VLOOKUP($A32,INDIRECT(Y$1&amp;loc_voorspell),15,0)+Y31,"")</f>
        <v>90</v>
      </c>
      <c r="Z32" s="298">
        <f ca="1">IF(VLOOKUP($A32,INDIRECT(Z$1&amp;loc_voorspell),15,0)&lt;&gt;"",VLOOKUP($A32,INDIRECT(Z$1&amp;loc_voorspell),15,0)+Z31,"")</f>
        <v>95</v>
      </c>
      <c r="AA32" s="165">
        <f t="shared" ca="1" si="39"/>
        <v>85</v>
      </c>
      <c r="AB32" s="178">
        <f t="shared" ca="1" si="41"/>
        <v>1.25</v>
      </c>
      <c r="AC32" s="331" t="str">
        <f t="shared" si="40"/>
        <v>Zuid-Korea-Algerije</v>
      </c>
      <c r="AD32" s="179">
        <f t="shared" ca="1" si="16"/>
        <v>25</v>
      </c>
      <c r="AE32" s="179">
        <f t="shared" ca="1" si="17"/>
        <v>5</v>
      </c>
      <c r="AF32" s="179">
        <f t="shared" ca="1" si="18"/>
        <v>-10</v>
      </c>
      <c r="AG32" s="179">
        <f t="shared" ca="1" si="19"/>
        <v>15</v>
      </c>
      <c r="AH32" s="179">
        <f t="shared" ca="1" si="20"/>
        <v>15</v>
      </c>
      <c r="AI32" s="179">
        <f t="shared" ca="1" si="21"/>
        <v>-20</v>
      </c>
      <c r="AJ32" s="179">
        <f t="shared" ca="1" si="22"/>
        <v>-25</v>
      </c>
      <c r="AK32" s="179">
        <f t="shared" ca="1" si="23"/>
        <v>20</v>
      </c>
      <c r="AL32" s="179">
        <f t="shared" ca="1" si="24"/>
        <v>-5</v>
      </c>
      <c r="AM32" s="179">
        <f t="shared" ca="1" si="25"/>
        <v>-5</v>
      </c>
      <c r="AN32" s="179">
        <f t="shared" ca="1" si="26"/>
        <v>-20</v>
      </c>
      <c r="AO32" s="179">
        <f t="shared" ca="1" si="27"/>
        <v>0</v>
      </c>
      <c r="AP32" s="179">
        <f t="shared" ca="1" si="28"/>
        <v>0</v>
      </c>
      <c r="AQ32" s="179">
        <f t="shared" ca="1" si="28"/>
        <v>-20</v>
      </c>
      <c r="AR32" s="179">
        <f t="shared" ca="1" si="29"/>
        <v>5</v>
      </c>
      <c r="AS32" s="179">
        <f t="shared" ca="1" si="30"/>
        <v>25</v>
      </c>
      <c r="AT32" s="179">
        <f t="shared" ca="1" si="31"/>
        <v>-25</v>
      </c>
      <c r="AU32" s="179">
        <f t="shared" ca="1" si="32"/>
        <v>0</v>
      </c>
      <c r="AV32" s="179">
        <f t="shared" ca="1" si="33"/>
        <v>-15</v>
      </c>
      <c r="AW32" s="179">
        <f t="shared" ca="1" si="34"/>
        <v>-30</v>
      </c>
      <c r="AX32" s="179">
        <f t="shared" ca="1" si="35"/>
        <v>25</v>
      </c>
      <c r="AY32" s="179">
        <f t="shared" ca="1" si="36"/>
        <v>0</v>
      </c>
      <c r="AZ32" s="179">
        <f t="shared" ca="1" si="37"/>
        <v>5</v>
      </c>
      <c r="BA32" s="179">
        <f t="shared" ca="1" si="38"/>
        <v>10</v>
      </c>
    </row>
    <row r="33" spans="1:53">
      <c r="A33" s="173">
        <v>30</v>
      </c>
      <c r="B33" s="158" t="str">
        <f t="shared" si="14"/>
        <v>USA-Portugal</v>
      </c>
      <c r="C33" s="299">
        <f ca="1">IF(VLOOKUP($A33,INDIRECT(C$1&amp;loc_voorspell),15,0)&lt;&gt;"",VLOOKUP($A33,INDIRECT(C$1&amp;loc_voorspell),15,0)+C32,"")</f>
        <v>110</v>
      </c>
      <c r="D33" s="299">
        <f ca="1">IF(VLOOKUP($A33,INDIRECT(D$1&amp;loc_voorspell),15,0)&lt;&gt;"",VLOOKUP($A33,INDIRECT(D$1&amp;loc_voorspell),15,0)+D32,"")</f>
        <v>90</v>
      </c>
      <c r="E33" s="299">
        <f ca="1">IF(VLOOKUP($A33,INDIRECT(E$1&amp;loc_voorspell),15,0)&lt;&gt;"",VLOOKUP($A33,INDIRECT(E$1&amp;loc_voorspell),15,0)+E32,"")</f>
        <v>80</v>
      </c>
      <c r="F33" s="299">
        <f ca="1">IF(VLOOKUP($A33,INDIRECT(F$1&amp;loc_voorspell),15,0)&lt;&gt;"",VLOOKUP($A33,INDIRECT(F$1&amp;loc_voorspell),15,0)+F32,"")</f>
        <v>100</v>
      </c>
      <c r="G33" s="299">
        <f ca="1">IF(VLOOKUP($A33,INDIRECT(G$1&amp;loc_voorspell),15,0)&lt;&gt;"",VLOOKUP($A33,INDIRECT(G$1&amp;loc_voorspell),15,0)+G32,"")</f>
        <v>110</v>
      </c>
      <c r="H33" s="299">
        <f ca="1">IF(VLOOKUP($A33,INDIRECT(H$1&amp;loc_voorspell),15,0)&lt;&gt;"",VLOOKUP($A33,INDIRECT(H$1&amp;loc_voorspell),15,0)+H32,"")</f>
        <v>65</v>
      </c>
      <c r="I33" s="299">
        <f ca="1">IF(VLOOKUP($A33,INDIRECT(I$1&amp;loc_voorspell),15,0)&lt;&gt;"",VLOOKUP($A33,INDIRECT(I$1&amp;loc_voorspell),15,0)+I32,"")</f>
        <v>65</v>
      </c>
      <c r="J33" s="299">
        <f ca="1">IF(VLOOKUP($A33,INDIRECT(J$1&amp;loc_voorspell),15,0)&lt;&gt;"",VLOOKUP($A33,INDIRECT(J$1&amp;loc_voorspell),15,0)+J32,"")</f>
        <v>105</v>
      </c>
      <c r="K33" s="299">
        <f ca="1">IF(VLOOKUP($A33,INDIRECT(K$1&amp;loc_voorspell),15,0)&lt;&gt;"",VLOOKUP($A33,INDIRECT(K$1&amp;loc_voorspell),15,0)+K32,"")</f>
        <v>80</v>
      </c>
      <c r="L33" s="299">
        <f ca="1">IF(VLOOKUP($A33,INDIRECT(L$1&amp;loc_voorspell),15,0)&lt;&gt;"",VLOOKUP($A33,INDIRECT(L$1&amp;loc_voorspell),15,0)+L32,"")</f>
        <v>80</v>
      </c>
      <c r="M33" s="299">
        <f ca="1">IF(VLOOKUP($A33,INDIRECT(M$1&amp;loc_voorspell),15,0)&lt;&gt;"",VLOOKUP($A33,INDIRECT(M$1&amp;loc_voorspell),15,0)+M32,"")</f>
        <v>65</v>
      </c>
      <c r="N33" s="299">
        <f ca="1">IF(VLOOKUP($A33,INDIRECT(N$1&amp;loc_voorspell),15,0)&lt;&gt;"",VLOOKUP($A33,INDIRECT(N$1&amp;loc_voorspell),15,0)+N32,"")</f>
        <v>110</v>
      </c>
      <c r="O33" s="299">
        <f ca="1">IF(VLOOKUP($A33,INDIRECT(O$1&amp;loc_voorspell),15,0)&lt;&gt;"",VLOOKUP($A33,INDIRECT(O$1&amp;loc_voorspell),15,0)+O32,"")</f>
        <v>85</v>
      </c>
      <c r="P33" s="299">
        <f ca="1">IF(VLOOKUP($A33,INDIRECT(P$1&amp;loc_voorspell),15,0)&lt;&gt;"",VLOOKUP($A33,INDIRECT(P$1&amp;loc_voorspell),15,0)+P32,"")</f>
        <v>70</v>
      </c>
      <c r="Q33" s="299">
        <f ca="1">IF(VLOOKUP($A33,INDIRECT(Q$1&amp;loc_voorspell),15,0)&lt;&gt;"",VLOOKUP($A33,INDIRECT(Q$1&amp;loc_voorspell),15,0)+Q32,"")</f>
        <v>90</v>
      </c>
      <c r="R33" s="299">
        <f ca="1">IF(VLOOKUP($A33,INDIRECT(R$1&amp;loc_voorspell),15,0)&lt;&gt;"",VLOOKUP($A33,INDIRECT(R$1&amp;loc_voorspell),15,0)+R32,"")</f>
        <v>110</v>
      </c>
      <c r="S33" s="299">
        <f ca="1">IF(VLOOKUP($A33,INDIRECT(S$1&amp;loc_voorspell),15,0)&lt;&gt;"",VLOOKUP($A33,INDIRECT(S$1&amp;loc_voorspell),15,0)+S32,"")</f>
        <v>60</v>
      </c>
      <c r="T33" s="299">
        <f ca="1">IF(VLOOKUP($A33,INDIRECT(T$1&amp;loc_voorspell),15,0)&lt;&gt;"",VLOOKUP($A33,INDIRECT(T$1&amp;loc_voorspell),15,0)+T32,"")</f>
        <v>85</v>
      </c>
      <c r="U33" s="299">
        <f ca="1">IF(VLOOKUP($A33,INDIRECT(U$1&amp;loc_voorspell),15,0)&lt;&gt;"",VLOOKUP($A33,INDIRECT(U$1&amp;loc_voorspell),15,0)+U32,"")</f>
        <v>70</v>
      </c>
      <c r="V33" s="299">
        <f ca="1">IF(VLOOKUP($A33,INDIRECT(V$1&amp;loc_voorspell),15,0)&lt;&gt;"",VLOOKUP($A33,INDIRECT(V$1&amp;loc_voorspell),15,0)+V32,"")</f>
        <v>60</v>
      </c>
      <c r="W33" s="299">
        <f ca="1">IF(VLOOKUP($A33,INDIRECT(W$1&amp;loc_voorspell),15,0)&lt;&gt;"",VLOOKUP($A33,INDIRECT(W$1&amp;loc_voorspell),15,0)+W32,"")</f>
        <v>110</v>
      </c>
      <c r="X33" s="299">
        <f ca="1">IF(VLOOKUP($A33,INDIRECT(X$1&amp;loc_voorspell),15,0)&lt;&gt;"",VLOOKUP($A33,INDIRECT(X$1&amp;loc_voorspell),15,0)+X32,"")</f>
        <v>85</v>
      </c>
      <c r="Y33" s="299">
        <f ca="1">IF(VLOOKUP($A33,INDIRECT(Y$1&amp;loc_voorspell),15,0)&lt;&gt;"",VLOOKUP($A33,INDIRECT(Y$1&amp;loc_voorspell),15,0)+Y32,"")</f>
        <v>90</v>
      </c>
      <c r="Z33" s="299">
        <f ca="1">IF(VLOOKUP($A33,INDIRECT(Z$1&amp;loc_voorspell),15,0)&lt;&gt;"",VLOOKUP($A33,INDIRECT(Z$1&amp;loc_voorspell),15,0)+Z32,"")</f>
        <v>95</v>
      </c>
      <c r="AA33" s="165">
        <f t="shared" ca="1" si="39"/>
        <v>86.25</v>
      </c>
      <c r="AB33" s="178">
        <f t="shared" ca="1" si="41"/>
        <v>1.25</v>
      </c>
      <c r="AC33" s="331" t="str">
        <f t="shared" si="40"/>
        <v>USA-Portugal</v>
      </c>
      <c r="AD33" s="179">
        <f t="shared" ca="1" si="16"/>
        <v>23.75</v>
      </c>
      <c r="AE33" s="179">
        <f t="shared" ca="1" si="17"/>
        <v>3.75</v>
      </c>
      <c r="AF33" s="179">
        <f t="shared" ca="1" si="18"/>
        <v>-6.25</v>
      </c>
      <c r="AG33" s="179">
        <f t="shared" ca="1" si="19"/>
        <v>13.75</v>
      </c>
      <c r="AH33" s="179">
        <f t="shared" ca="1" si="20"/>
        <v>23.75</v>
      </c>
      <c r="AI33" s="179">
        <f t="shared" ca="1" si="21"/>
        <v>-21.25</v>
      </c>
      <c r="AJ33" s="179">
        <f t="shared" ca="1" si="22"/>
        <v>-21.25</v>
      </c>
      <c r="AK33" s="179">
        <f t="shared" ca="1" si="23"/>
        <v>18.75</v>
      </c>
      <c r="AL33" s="179">
        <f t="shared" ca="1" si="24"/>
        <v>-6.25</v>
      </c>
      <c r="AM33" s="179">
        <f t="shared" ca="1" si="25"/>
        <v>-6.25</v>
      </c>
      <c r="AN33" s="179">
        <f t="shared" ca="1" si="26"/>
        <v>-21.25</v>
      </c>
      <c r="AO33" s="179">
        <f t="shared" ca="1" si="27"/>
        <v>-1.25</v>
      </c>
      <c r="AP33" s="179">
        <f t="shared" ca="1" si="28"/>
        <v>-1.25</v>
      </c>
      <c r="AQ33" s="179">
        <f t="shared" ca="1" si="28"/>
        <v>-16.25</v>
      </c>
      <c r="AR33" s="179">
        <f t="shared" ca="1" si="29"/>
        <v>3.75</v>
      </c>
      <c r="AS33" s="179">
        <f t="shared" ca="1" si="30"/>
        <v>23.75</v>
      </c>
      <c r="AT33" s="179">
        <f t="shared" ca="1" si="31"/>
        <v>-26.25</v>
      </c>
      <c r="AU33" s="179">
        <f t="shared" ca="1" si="32"/>
        <v>-1.25</v>
      </c>
      <c r="AV33" s="179">
        <f t="shared" ca="1" si="33"/>
        <v>-16.25</v>
      </c>
      <c r="AW33" s="179">
        <f t="shared" ca="1" si="34"/>
        <v>-26.25</v>
      </c>
      <c r="AX33" s="179">
        <f t="shared" ca="1" si="35"/>
        <v>23.75</v>
      </c>
      <c r="AY33" s="179">
        <f t="shared" ca="1" si="36"/>
        <v>-1.25</v>
      </c>
      <c r="AZ33" s="179">
        <f t="shared" ca="1" si="37"/>
        <v>3.75</v>
      </c>
      <c r="BA33" s="179">
        <f t="shared" ca="1" si="38"/>
        <v>8.75</v>
      </c>
    </row>
    <row r="34" spans="1:53">
      <c r="A34" s="173">
        <v>35</v>
      </c>
      <c r="B34" s="157" t="str">
        <f t="shared" si="14"/>
        <v>Australië-Spanje</v>
      </c>
      <c r="C34" s="298">
        <f ca="1">IF(VLOOKUP($A34,INDIRECT(C$1&amp;loc_voorspell),15,0)&lt;&gt;"",VLOOKUP($A34,INDIRECT(C$1&amp;loc_voorspell),15,0)+C33,"")</f>
        <v>115</v>
      </c>
      <c r="D34" s="298">
        <f ca="1">IF(VLOOKUP($A34,INDIRECT(D$1&amp;loc_voorspell),15,0)&lt;&gt;"",VLOOKUP($A34,INDIRECT(D$1&amp;loc_voorspell),15,0)+D33,"")</f>
        <v>95</v>
      </c>
      <c r="E34" s="298">
        <f ca="1">IF(VLOOKUP($A34,INDIRECT(E$1&amp;loc_voorspell),15,0)&lt;&gt;"",VLOOKUP($A34,INDIRECT(E$1&amp;loc_voorspell),15,0)+E33,"")</f>
        <v>85</v>
      </c>
      <c r="F34" s="298">
        <f ca="1">IF(VLOOKUP($A34,INDIRECT(F$1&amp;loc_voorspell),15,0)&lt;&gt;"",VLOOKUP($A34,INDIRECT(F$1&amp;loc_voorspell),15,0)+F33,"")</f>
        <v>105</v>
      </c>
      <c r="G34" s="298">
        <f ca="1">IF(VLOOKUP($A34,INDIRECT(G$1&amp;loc_voorspell),15,0)&lt;&gt;"",VLOOKUP($A34,INDIRECT(G$1&amp;loc_voorspell),15,0)+G33,"")</f>
        <v>115</v>
      </c>
      <c r="H34" s="298">
        <f ca="1">IF(VLOOKUP($A34,INDIRECT(H$1&amp;loc_voorspell),15,0)&lt;&gt;"",VLOOKUP($A34,INDIRECT(H$1&amp;loc_voorspell),15,0)+H33,"")</f>
        <v>70</v>
      </c>
      <c r="I34" s="298">
        <f ca="1">IF(VLOOKUP($A34,INDIRECT(I$1&amp;loc_voorspell),15,0)&lt;&gt;"",VLOOKUP($A34,INDIRECT(I$1&amp;loc_voorspell),15,0)+I33,"")</f>
        <v>70</v>
      </c>
      <c r="J34" s="298">
        <f ca="1">IF(VLOOKUP($A34,INDIRECT(J$1&amp;loc_voorspell),15,0)&lt;&gt;"",VLOOKUP($A34,INDIRECT(J$1&amp;loc_voorspell),15,0)+J33,"")</f>
        <v>110</v>
      </c>
      <c r="K34" s="298">
        <f ca="1">IF(VLOOKUP($A34,INDIRECT(K$1&amp;loc_voorspell),15,0)&lt;&gt;"",VLOOKUP($A34,INDIRECT(K$1&amp;loc_voorspell),15,0)+K33,"")</f>
        <v>85</v>
      </c>
      <c r="L34" s="298">
        <f ca="1">IF(VLOOKUP($A34,INDIRECT(L$1&amp;loc_voorspell),15,0)&lt;&gt;"",VLOOKUP($A34,INDIRECT(L$1&amp;loc_voorspell),15,0)+L33,"")</f>
        <v>90</v>
      </c>
      <c r="M34" s="298">
        <f ca="1">IF(VLOOKUP($A34,INDIRECT(M$1&amp;loc_voorspell),15,0)&lt;&gt;"",VLOOKUP($A34,INDIRECT(M$1&amp;loc_voorspell),15,0)+M33,"")</f>
        <v>70</v>
      </c>
      <c r="N34" s="298">
        <f ca="1">IF(VLOOKUP($A34,INDIRECT(N$1&amp;loc_voorspell),15,0)&lt;&gt;"",VLOOKUP($A34,INDIRECT(N$1&amp;loc_voorspell),15,0)+N33,"")</f>
        <v>115</v>
      </c>
      <c r="O34" s="298">
        <f ca="1">IF(VLOOKUP($A34,INDIRECT(O$1&amp;loc_voorspell),15,0)&lt;&gt;"",VLOOKUP($A34,INDIRECT(O$1&amp;loc_voorspell),15,0)+O33,"")</f>
        <v>90</v>
      </c>
      <c r="P34" s="298">
        <f ca="1">IF(VLOOKUP($A34,INDIRECT(P$1&amp;loc_voorspell),15,0)&lt;&gt;"",VLOOKUP($A34,INDIRECT(P$1&amp;loc_voorspell),15,0)+P33,"")</f>
        <v>75</v>
      </c>
      <c r="Q34" s="298">
        <f ca="1">IF(VLOOKUP($A34,INDIRECT(Q$1&amp;loc_voorspell),15,0)&lt;&gt;"",VLOOKUP($A34,INDIRECT(Q$1&amp;loc_voorspell),15,0)+Q33,"")</f>
        <v>95</v>
      </c>
      <c r="R34" s="298">
        <f ca="1">IF(VLOOKUP($A34,INDIRECT(R$1&amp;loc_voorspell),15,0)&lt;&gt;"",VLOOKUP($A34,INDIRECT(R$1&amp;loc_voorspell),15,0)+R33,"")</f>
        <v>115</v>
      </c>
      <c r="S34" s="298">
        <f ca="1">IF(VLOOKUP($A34,INDIRECT(S$1&amp;loc_voorspell),15,0)&lt;&gt;"",VLOOKUP($A34,INDIRECT(S$1&amp;loc_voorspell),15,0)+S33,"")</f>
        <v>65</v>
      </c>
      <c r="T34" s="298">
        <f ca="1">IF(VLOOKUP($A34,INDIRECT(T$1&amp;loc_voorspell),15,0)&lt;&gt;"",VLOOKUP($A34,INDIRECT(T$1&amp;loc_voorspell),15,0)+T33,"")</f>
        <v>90</v>
      </c>
      <c r="U34" s="298">
        <f ca="1">IF(VLOOKUP($A34,INDIRECT(U$1&amp;loc_voorspell),15,0)&lt;&gt;"",VLOOKUP($A34,INDIRECT(U$1&amp;loc_voorspell),15,0)+U33,"")</f>
        <v>75</v>
      </c>
      <c r="V34" s="298">
        <f ca="1">IF(VLOOKUP($A34,INDIRECT(V$1&amp;loc_voorspell),15,0)&lt;&gt;"",VLOOKUP($A34,INDIRECT(V$1&amp;loc_voorspell),15,0)+V33,"")</f>
        <v>65</v>
      </c>
      <c r="W34" s="298">
        <f ca="1">IF(VLOOKUP($A34,INDIRECT(W$1&amp;loc_voorspell),15,0)&lt;&gt;"",VLOOKUP($A34,INDIRECT(W$1&amp;loc_voorspell),15,0)+W33,"")</f>
        <v>115</v>
      </c>
      <c r="X34" s="298">
        <f ca="1">IF(VLOOKUP($A34,INDIRECT(X$1&amp;loc_voorspell),15,0)&lt;&gt;"",VLOOKUP($A34,INDIRECT(X$1&amp;loc_voorspell),15,0)+X33,"")</f>
        <v>85</v>
      </c>
      <c r="Y34" s="298">
        <f ca="1">IF(VLOOKUP($A34,INDIRECT(Y$1&amp;loc_voorspell),15,0)&lt;&gt;"",VLOOKUP($A34,INDIRECT(Y$1&amp;loc_voorspell),15,0)+Y33,"")</f>
        <v>95</v>
      </c>
      <c r="Z34" s="298">
        <f ca="1">IF(VLOOKUP($A34,INDIRECT(Z$1&amp;loc_voorspell),15,0)&lt;&gt;"",VLOOKUP($A34,INDIRECT(Z$1&amp;loc_voorspell),15,0)+Z33,"")</f>
        <v>100</v>
      </c>
      <c r="AA34" s="165">
        <f t="shared" ca="1" si="39"/>
        <v>91.25</v>
      </c>
      <c r="AB34" s="178">
        <f t="shared" ca="1" si="41"/>
        <v>5</v>
      </c>
      <c r="AC34" s="331" t="str">
        <f t="shared" si="40"/>
        <v>Australië-Spanje</v>
      </c>
      <c r="AD34" s="179">
        <f t="shared" ref="AD34:AD65" ca="1" si="42">IF(C34&lt;&gt;"",C34-$AA34,"")</f>
        <v>23.75</v>
      </c>
      <c r="AE34" s="179">
        <f t="shared" ref="AE34:AE65" ca="1" si="43">IF(D34&lt;&gt;"",D34-$AA34,"")</f>
        <v>3.75</v>
      </c>
      <c r="AF34" s="179">
        <f t="shared" ref="AF34:AF65" ca="1" si="44">IF(E34&lt;&gt;"",E34-$AA34,"")</f>
        <v>-6.25</v>
      </c>
      <c r="AG34" s="179">
        <f t="shared" ref="AG34:AG65" ca="1" si="45">IF(F34&lt;&gt;"",F34-$AA34,"")</f>
        <v>13.75</v>
      </c>
      <c r="AH34" s="179">
        <f t="shared" ref="AH34:AH65" ca="1" si="46">IF(G34&lt;&gt;"",G34-$AA34,"")</f>
        <v>23.75</v>
      </c>
      <c r="AI34" s="179">
        <f t="shared" ref="AI34:AI65" ca="1" si="47">IF(H34&lt;&gt;"",H34-$AA34,"")</f>
        <v>-21.25</v>
      </c>
      <c r="AJ34" s="179">
        <f t="shared" ref="AJ34:AJ65" ca="1" si="48">IF(I34&lt;&gt;"",I34-$AA34,"")</f>
        <v>-21.25</v>
      </c>
      <c r="AK34" s="179">
        <f t="shared" ref="AK34:AK65" ca="1" si="49">IF(J34&lt;&gt;"",J34-$AA34,"")</f>
        <v>18.75</v>
      </c>
      <c r="AL34" s="179">
        <f t="shared" ref="AL34:AL65" ca="1" si="50">IF(K34&lt;&gt;"",K34-$AA34,"")</f>
        <v>-6.25</v>
      </c>
      <c r="AM34" s="179">
        <f t="shared" ref="AM34:AM65" ca="1" si="51">IF(L34&lt;&gt;"",L34-$AA34,"")</f>
        <v>-1.25</v>
      </c>
      <c r="AN34" s="179">
        <f t="shared" ref="AN34:AN65" ca="1" si="52">IF(M34&lt;&gt;"",M34-$AA34,"")</f>
        <v>-21.25</v>
      </c>
      <c r="AO34" s="179">
        <f t="shared" ca="1" si="27"/>
        <v>-1.25</v>
      </c>
      <c r="AP34" s="179">
        <f t="shared" ca="1" si="28"/>
        <v>-1.25</v>
      </c>
      <c r="AQ34" s="179">
        <f t="shared" ca="1" si="28"/>
        <v>-16.25</v>
      </c>
      <c r="AR34" s="179">
        <f t="shared" ca="1" si="29"/>
        <v>3.75</v>
      </c>
      <c r="AS34" s="179">
        <f t="shared" ca="1" si="30"/>
        <v>23.75</v>
      </c>
      <c r="AT34" s="179">
        <f t="shared" ca="1" si="31"/>
        <v>-26.25</v>
      </c>
      <c r="AU34" s="179">
        <f t="shared" ca="1" si="32"/>
        <v>-1.25</v>
      </c>
      <c r="AV34" s="179">
        <f t="shared" ca="1" si="33"/>
        <v>-16.25</v>
      </c>
      <c r="AW34" s="179">
        <f t="shared" ca="1" si="34"/>
        <v>-26.25</v>
      </c>
      <c r="AX34" s="179">
        <f t="shared" ca="1" si="35"/>
        <v>23.75</v>
      </c>
      <c r="AY34" s="179">
        <f t="shared" ca="1" si="36"/>
        <v>-6.25</v>
      </c>
      <c r="AZ34" s="179">
        <f t="shared" ca="1" si="37"/>
        <v>3.75</v>
      </c>
      <c r="BA34" s="179">
        <f t="shared" ca="1" si="38"/>
        <v>8.75</v>
      </c>
    </row>
    <row r="35" spans="1:53">
      <c r="A35" s="173">
        <v>36</v>
      </c>
      <c r="B35" s="158" t="str">
        <f t="shared" si="14"/>
        <v>Nederland-Chili</v>
      </c>
      <c r="C35" s="299">
        <f ca="1">IF(VLOOKUP($A35,INDIRECT(C$1&amp;loc_voorspell),15,0)&lt;&gt;"",VLOOKUP($A35,INDIRECT(C$1&amp;loc_voorspell),15,0)+C34,"")</f>
        <v>115</v>
      </c>
      <c r="D35" s="299">
        <f ca="1">IF(VLOOKUP($A35,INDIRECT(D$1&amp;loc_voorspell),15,0)&lt;&gt;"",VLOOKUP($A35,INDIRECT(D$1&amp;loc_voorspell),15,0)+D34,"")</f>
        <v>100</v>
      </c>
      <c r="E35" s="299">
        <f ca="1">IF(VLOOKUP($A35,INDIRECT(E$1&amp;loc_voorspell),15,0)&lt;&gt;"",VLOOKUP($A35,INDIRECT(E$1&amp;loc_voorspell),15,0)+E34,"")</f>
        <v>85</v>
      </c>
      <c r="F35" s="299">
        <f ca="1">IF(VLOOKUP($A35,INDIRECT(F$1&amp;loc_voorspell),15,0)&lt;&gt;"",VLOOKUP($A35,INDIRECT(F$1&amp;loc_voorspell),15,0)+F34,"")</f>
        <v>115</v>
      </c>
      <c r="G35" s="299">
        <f ca="1">IF(VLOOKUP($A35,INDIRECT(G$1&amp;loc_voorspell),15,0)&lt;&gt;"",VLOOKUP($A35,INDIRECT(G$1&amp;loc_voorspell),15,0)+G34,"")</f>
        <v>120</v>
      </c>
      <c r="H35" s="299">
        <f ca="1">IF(VLOOKUP($A35,INDIRECT(H$1&amp;loc_voorspell),15,0)&lt;&gt;"",VLOOKUP($A35,INDIRECT(H$1&amp;loc_voorspell),15,0)+H34,"")</f>
        <v>70</v>
      </c>
      <c r="I35" s="299">
        <f ca="1">IF(VLOOKUP($A35,INDIRECT(I$1&amp;loc_voorspell),15,0)&lt;&gt;"",VLOOKUP($A35,INDIRECT(I$1&amp;loc_voorspell),15,0)+I34,"")</f>
        <v>70</v>
      </c>
      <c r="J35" s="299">
        <f ca="1">IF(VLOOKUP($A35,INDIRECT(J$1&amp;loc_voorspell),15,0)&lt;&gt;"",VLOOKUP($A35,INDIRECT(J$1&amp;loc_voorspell),15,0)+J34,"")</f>
        <v>110</v>
      </c>
      <c r="K35" s="299">
        <f ca="1">IF(VLOOKUP($A35,INDIRECT(K$1&amp;loc_voorspell),15,0)&lt;&gt;"",VLOOKUP($A35,INDIRECT(K$1&amp;loc_voorspell),15,0)+K34,"")</f>
        <v>90</v>
      </c>
      <c r="L35" s="299">
        <f ca="1">IF(VLOOKUP($A35,INDIRECT(L$1&amp;loc_voorspell),15,0)&lt;&gt;"",VLOOKUP($A35,INDIRECT(L$1&amp;loc_voorspell),15,0)+L34,"")</f>
        <v>90</v>
      </c>
      <c r="M35" s="299">
        <f ca="1">IF(VLOOKUP($A35,INDIRECT(M$1&amp;loc_voorspell),15,0)&lt;&gt;"",VLOOKUP($A35,INDIRECT(M$1&amp;loc_voorspell),15,0)+M34,"")</f>
        <v>75</v>
      </c>
      <c r="N35" s="299">
        <f ca="1">IF(VLOOKUP($A35,INDIRECT(N$1&amp;loc_voorspell),15,0)&lt;&gt;"",VLOOKUP($A35,INDIRECT(N$1&amp;loc_voorspell),15,0)+N34,"")</f>
        <v>120</v>
      </c>
      <c r="O35" s="299">
        <f ca="1">IF(VLOOKUP($A35,INDIRECT(O$1&amp;loc_voorspell),15,0)&lt;&gt;"",VLOOKUP($A35,INDIRECT(O$1&amp;loc_voorspell),15,0)+O34,"")</f>
        <v>90</v>
      </c>
      <c r="P35" s="299">
        <f ca="1">IF(VLOOKUP($A35,INDIRECT(P$1&amp;loc_voorspell),15,0)&lt;&gt;"",VLOOKUP($A35,INDIRECT(P$1&amp;loc_voorspell),15,0)+P34,"")</f>
        <v>75</v>
      </c>
      <c r="Q35" s="299">
        <f ca="1">IF(VLOOKUP($A35,INDIRECT(Q$1&amp;loc_voorspell),15,0)&lt;&gt;"",VLOOKUP($A35,INDIRECT(Q$1&amp;loc_voorspell),15,0)+Q34,"")</f>
        <v>105</v>
      </c>
      <c r="R35" s="299">
        <f ca="1">IF(VLOOKUP($A35,INDIRECT(R$1&amp;loc_voorspell),15,0)&lt;&gt;"",VLOOKUP($A35,INDIRECT(R$1&amp;loc_voorspell),15,0)+R34,"")</f>
        <v>120</v>
      </c>
      <c r="S35" s="299">
        <f ca="1">IF(VLOOKUP($A35,INDIRECT(S$1&amp;loc_voorspell),15,0)&lt;&gt;"",VLOOKUP($A35,INDIRECT(S$1&amp;loc_voorspell),15,0)+S34,"")</f>
        <v>65</v>
      </c>
      <c r="T35" s="299">
        <f ca="1">IF(VLOOKUP($A35,INDIRECT(T$1&amp;loc_voorspell),15,0)&lt;&gt;"",VLOOKUP($A35,INDIRECT(T$1&amp;loc_voorspell),15,0)+T34,"")</f>
        <v>95</v>
      </c>
      <c r="U35" s="299">
        <f ca="1">IF(VLOOKUP($A35,INDIRECT(U$1&amp;loc_voorspell),15,0)&lt;&gt;"",VLOOKUP($A35,INDIRECT(U$1&amp;loc_voorspell),15,0)+U34,"")</f>
        <v>80</v>
      </c>
      <c r="V35" s="299">
        <f ca="1">IF(VLOOKUP($A35,INDIRECT(V$1&amp;loc_voorspell),15,0)&lt;&gt;"",VLOOKUP($A35,INDIRECT(V$1&amp;loc_voorspell),15,0)+V34,"")</f>
        <v>75</v>
      </c>
      <c r="W35" s="299">
        <f ca="1">IF(VLOOKUP($A35,INDIRECT(W$1&amp;loc_voorspell),15,0)&lt;&gt;"",VLOOKUP($A35,INDIRECT(W$1&amp;loc_voorspell),15,0)+W34,"")</f>
        <v>115</v>
      </c>
      <c r="X35" s="299">
        <f ca="1">IF(VLOOKUP($A35,INDIRECT(X$1&amp;loc_voorspell),15,0)&lt;&gt;"",VLOOKUP($A35,INDIRECT(X$1&amp;loc_voorspell),15,0)+X34,"")</f>
        <v>90</v>
      </c>
      <c r="Y35" s="299">
        <f ca="1">IF(VLOOKUP($A35,INDIRECT(Y$1&amp;loc_voorspell),15,0)&lt;&gt;"",VLOOKUP($A35,INDIRECT(Y$1&amp;loc_voorspell),15,0)+Y34,"")</f>
        <v>95</v>
      </c>
      <c r="Z35" s="299">
        <f ca="1">IF(VLOOKUP($A35,INDIRECT(Z$1&amp;loc_voorspell),15,0)&lt;&gt;"",VLOOKUP($A35,INDIRECT(Z$1&amp;loc_voorspell),15,0)+Z34,"")</f>
        <v>105</v>
      </c>
      <c r="AA35" s="165">
        <f t="shared" ca="1" si="39"/>
        <v>94.583333333333329</v>
      </c>
      <c r="AB35" s="178">
        <f t="shared" ca="1" si="41"/>
        <v>3.3333333333333286</v>
      </c>
      <c r="AC35" s="331" t="str">
        <f t="shared" si="40"/>
        <v>Nederland-Chili</v>
      </c>
      <c r="AD35" s="179">
        <f t="shared" ca="1" si="42"/>
        <v>20.416666666666671</v>
      </c>
      <c r="AE35" s="179">
        <f t="shared" ca="1" si="43"/>
        <v>5.4166666666666714</v>
      </c>
      <c r="AF35" s="179">
        <f t="shared" ca="1" si="44"/>
        <v>-9.5833333333333286</v>
      </c>
      <c r="AG35" s="179">
        <f t="shared" ca="1" si="45"/>
        <v>20.416666666666671</v>
      </c>
      <c r="AH35" s="179">
        <f t="shared" ca="1" si="46"/>
        <v>25.416666666666671</v>
      </c>
      <c r="AI35" s="179">
        <f t="shared" ca="1" si="47"/>
        <v>-24.583333333333329</v>
      </c>
      <c r="AJ35" s="179">
        <f t="shared" ca="1" si="48"/>
        <v>-24.583333333333329</v>
      </c>
      <c r="AK35" s="179">
        <f t="shared" ca="1" si="49"/>
        <v>15.416666666666671</v>
      </c>
      <c r="AL35" s="179">
        <f t="shared" ca="1" si="50"/>
        <v>-4.5833333333333286</v>
      </c>
      <c r="AM35" s="179">
        <f t="shared" ca="1" si="51"/>
        <v>-4.5833333333333286</v>
      </c>
      <c r="AN35" s="179">
        <f t="shared" ca="1" si="52"/>
        <v>-19.583333333333329</v>
      </c>
      <c r="AO35" s="179">
        <f t="shared" ca="1" si="27"/>
        <v>-4.5833333333333286</v>
      </c>
      <c r="AP35" s="179">
        <f t="shared" ca="1" si="28"/>
        <v>-4.5833333333333286</v>
      </c>
      <c r="AQ35" s="179">
        <f t="shared" ca="1" si="28"/>
        <v>-19.583333333333329</v>
      </c>
      <c r="AR35" s="179">
        <f t="shared" ca="1" si="29"/>
        <v>10.416666666666671</v>
      </c>
      <c r="AS35" s="179">
        <f t="shared" ca="1" si="30"/>
        <v>25.416666666666671</v>
      </c>
      <c r="AT35" s="179">
        <f t="shared" ca="1" si="31"/>
        <v>-29.583333333333329</v>
      </c>
      <c r="AU35" s="179">
        <f t="shared" ca="1" si="32"/>
        <v>0.4166666666666714</v>
      </c>
      <c r="AV35" s="179">
        <f t="shared" ca="1" si="33"/>
        <v>-14.583333333333329</v>
      </c>
      <c r="AW35" s="179">
        <f t="shared" ca="1" si="34"/>
        <v>-19.583333333333329</v>
      </c>
      <c r="AX35" s="179">
        <f t="shared" ca="1" si="35"/>
        <v>20.416666666666671</v>
      </c>
      <c r="AY35" s="179">
        <f t="shared" ca="1" si="36"/>
        <v>-4.5833333333333286</v>
      </c>
      <c r="AZ35" s="179">
        <f t="shared" ca="1" si="37"/>
        <v>0.4166666666666714</v>
      </c>
      <c r="BA35" s="179">
        <f t="shared" ca="1" si="38"/>
        <v>10.416666666666671</v>
      </c>
    </row>
    <row r="36" spans="1:53">
      <c r="A36" s="180" t="str">
        <f>B36</f>
        <v>Boni</v>
      </c>
      <c r="B36" s="324" t="s">
        <v>366</v>
      </c>
      <c r="C36" s="165">
        <f ca="1">IF(C35="","",C35+IF(ISNA(MATCH(Invulblad!$S$19,INDIRECT(C$1&amp;"!$B$3:$B$10"),0)),0,10)+IF(ISNA(MATCH(Invulblad!$S$19,INDIRECT(C$1&amp;"!$d$3:$d$10"),0)),0,10)+IF(ISNA(MATCH(Invulblad!$S$20,INDIRECT(C$1&amp;"!$b$3:$b$10"),0)),0,10)+IF(ISNA(MATCH(Invulblad!$S$20,INDIRECT(C$1&amp;"!$d$3:$d$10"),0)),0,10))</f>
        <v>125</v>
      </c>
      <c r="D36" s="165">
        <f ca="1">IF(D35="","",D35+IF(ISNA(MATCH(Invulblad!$S$19,INDIRECT(D$1&amp;"!$B$3:$B$10"),0)),0,10)+IF(ISNA(MATCH(Invulblad!$S$19,INDIRECT(D$1&amp;"!$d$3:$d$10"),0)),0,10)+IF(ISNA(MATCH(Invulblad!$S$20,INDIRECT(D$1&amp;"!$b$3:$b$10"),0)),0,10)+IF(ISNA(MATCH(Invulblad!$S$20,INDIRECT(D$1&amp;"!$d$3:$d$10"),0)),0,10))</f>
        <v>110</v>
      </c>
      <c r="E36" s="165">
        <f ca="1">IF(E35="","",E35+IF(ISNA(MATCH(Invulblad!$S$19,INDIRECT(E$1&amp;"!$B$3:$B$10"),0)),0,10)+IF(ISNA(MATCH(Invulblad!$S$19,INDIRECT(E$1&amp;"!$d$3:$d$10"),0)),0,10)+IF(ISNA(MATCH(Invulblad!$S$20,INDIRECT(E$1&amp;"!$b$3:$b$10"),0)),0,10)+IF(ISNA(MATCH(Invulblad!$S$20,INDIRECT(E$1&amp;"!$d$3:$d$10"),0)),0,10))</f>
        <v>95</v>
      </c>
      <c r="F36" s="165">
        <f ca="1">IF(F35="","",F35+IF(ISNA(MATCH(Invulblad!$S$19,INDIRECT(F$1&amp;"!$B$3:$B$10"),0)),0,10)+IF(ISNA(MATCH(Invulblad!$S$19,INDIRECT(F$1&amp;"!$d$3:$d$10"),0)),0,10)+IF(ISNA(MATCH(Invulblad!$S$20,INDIRECT(F$1&amp;"!$b$3:$b$10"),0)),0,10)+IF(ISNA(MATCH(Invulblad!$S$20,INDIRECT(F$1&amp;"!$d$3:$d$10"),0)),0,10))</f>
        <v>125</v>
      </c>
      <c r="G36" s="165">
        <f ca="1">IF(G35="","",G35+IF(ISNA(MATCH(Invulblad!$S$19,INDIRECT(G$1&amp;"!$B$3:$B$10"),0)),0,10)+IF(ISNA(MATCH(Invulblad!$S$19,INDIRECT(G$1&amp;"!$d$3:$d$10"),0)),0,10)+IF(ISNA(MATCH(Invulblad!$S$20,INDIRECT(G$1&amp;"!$b$3:$b$10"),0)),0,10)+IF(ISNA(MATCH(Invulblad!$S$20,INDIRECT(G$1&amp;"!$d$3:$d$10"),0)),0,10))</f>
        <v>130</v>
      </c>
      <c r="H36" s="165">
        <f ca="1">IF(H35="","",H35+IF(ISNA(MATCH(Invulblad!$S$19,INDIRECT(H$1&amp;"!$B$3:$B$10"),0)),0,10)+IF(ISNA(MATCH(Invulblad!$S$19,INDIRECT(H$1&amp;"!$d$3:$d$10"),0)),0,10)+IF(ISNA(MATCH(Invulblad!$S$20,INDIRECT(H$1&amp;"!$b$3:$b$10"),0)),0,10)+IF(ISNA(MATCH(Invulblad!$S$20,INDIRECT(H$1&amp;"!$d$3:$d$10"),0)),0,10))</f>
        <v>80</v>
      </c>
      <c r="I36" s="165">
        <f ca="1">IF(I35="","",I35+IF(ISNA(MATCH(Invulblad!$S$19,INDIRECT(I$1&amp;"!$B$3:$B$10"),0)),0,10)+IF(ISNA(MATCH(Invulblad!$S$19,INDIRECT(I$1&amp;"!$d$3:$d$10"),0)),0,10)+IF(ISNA(MATCH(Invulblad!$S$20,INDIRECT(I$1&amp;"!$b$3:$b$10"),0)),0,10)+IF(ISNA(MATCH(Invulblad!$S$20,INDIRECT(I$1&amp;"!$d$3:$d$10"),0)),0,10))</f>
        <v>80</v>
      </c>
      <c r="J36" s="165">
        <f ca="1">IF(J35="","",J35+IF(ISNA(MATCH(Invulblad!$S$19,INDIRECT(J$1&amp;"!$B$3:$B$10"),0)),0,10)+IF(ISNA(MATCH(Invulblad!$S$19,INDIRECT(J$1&amp;"!$d$3:$d$10"),0)),0,10)+IF(ISNA(MATCH(Invulblad!$S$20,INDIRECT(J$1&amp;"!$b$3:$b$10"),0)),0,10)+IF(ISNA(MATCH(Invulblad!$S$20,INDIRECT(J$1&amp;"!$d$3:$d$10"),0)),0,10))</f>
        <v>120</v>
      </c>
      <c r="K36" s="165">
        <f ca="1">IF(K35="","",K35+IF(ISNA(MATCH(Invulblad!$S$19,INDIRECT(K$1&amp;"!$B$3:$B$10"),0)),0,10)+IF(ISNA(MATCH(Invulblad!$S$19,INDIRECT(K$1&amp;"!$d$3:$d$10"),0)),0,10)+IF(ISNA(MATCH(Invulblad!$S$20,INDIRECT(K$1&amp;"!$b$3:$b$10"),0)),0,10)+IF(ISNA(MATCH(Invulblad!$S$20,INDIRECT(K$1&amp;"!$d$3:$d$10"),0)),0,10))</f>
        <v>100</v>
      </c>
      <c r="L36" s="165">
        <f ca="1">IF(L35="","",L35+IF(ISNA(MATCH(Invulblad!$S$19,INDIRECT(L$1&amp;"!$B$3:$B$10"),0)),0,10)+IF(ISNA(MATCH(Invulblad!$S$19,INDIRECT(L$1&amp;"!$d$3:$d$10"),0)),0,10)+IF(ISNA(MATCH(Invulblad!$S$20,INDIRECT(L$1&amp;"!$b$3:$b$10"),0)),0,10)+IF(ISNA(MATCH(Invulblad!$S$20,INDIRECT(L$1&amp;"!$d$3:$d$10"),0)),0,10))</f>
        <v>100</v>
      </c>
      <c r="M36" s="165">
        <f ca="1">IF(M35="","",M35+IF(ISNA(MATCH(Invulblad!$S$19,INDIRECT(M$1&amp;"!$B$3:$B$10"),0)),0,10)+IF(ISNA(MATCH(Invulblad!$S$19,INDIRECT(M$1&amp;"!$d$3:$d$10"),0)),0,10)+IF(ISNA(MATCH(Invulblad!$S$20,INDIRECT(M$1&amp;"!$b$3:$b$10"),0)),0,10)+IF(ISNA(MATCH(Invulblad!$S$20,INDIRECT(M$1&amp;"!$d$3:$d$10"),0)),0,10))</f>
        <v>85</v>
      </c>
      <c r="N36" s="165">
        <f ca="1">IF(N35="","",N35+IF(ISNA(MATCH(Invulblad!$S$19,INDIRECT(N$1&amp;"!$B$3:$B$10"),0)),0,10)+IF(ISNA(MATCH(Invulblad!$S$19,INDIRECT(N$1&amp;"!$d$3:$d$10"),0)),0,10)+IF(ISNA(MATCH(Invulblad!$S$20,INDIRECT(N$1&amp;"!$b$3:$b$10"),0)),0,10)+IF(ISNA(MATCH(Invulblad!$S$20,INDIRECT(N$1&amp;"!$d$3:$d$10"),0)),0,10))</f>
        <v>130</v>
      </c>
      <c r="O36" s="165">
        <f ca="1">IF(O35="","",O35+IF(ISNA(MATCH(Invulblad!$S$19,INDIRECT(O$1&amp;"!$B$3:$B$10"),0)),0,10)+IF(ISNA(MATCH(Invulblad!$S$19,INDIRECT(O$1&amp;"!$d$3:$d$10"),0)),0,10)+IF(ISNA(MATCH(Invulblad!$S$20,INDIRECT(O$1&amp;"!$b$3:$b$10"),0)),0,10)+IF(ISNA(MATCH(Invulblad!$S$20,INDIRECT(O$1&amp;"!$d$3:$d$10"),0)),0,10))</f>
        <v>100</v>
      </c>
      <c r="P36" s="165">
        <f ca="1">IF(P35="","",P35+IF(ISNA(MATCH(Invulblad!$S$19,INDIRECT(P$1&amp;"!$B$3:$B$10"),0)),0,10)+IF(ISNA(MATCH(Invulblad!$S$19,INDIRECT(P$1&amp;"!$d$3:$d$10"),0)),0,10)+IF(ISNA(MATCH(Invulblad!$S$20,INDIRECT(P$1&amp;"!$b$3:$b$10"),0)),0,10)+IF(ISNA(MATCH(Invulblad!$S$20,INDIRECT(P$1&amp;"!$d$3:$d$10"),0)),0,10))</f>
        <v>85</v>
      </c>
      <c r="Q36" s="165">
        <f ca="1">IF(Q35="","",Q35+IF(ISNA(MATCH(Invulblad!$S$19,INDIRECT(Q$1&amp;"!$B$3:$B$10"),0)),0,10)+IF(ISNA(MATCH(Invulblad!$S$19,INDIRECT(Q$1&amp;"!$d$3:$d$10"),0)),0,10)+IF(ISNA(MATCH(Invulblad!$S$20,INDIRECT(Q$1&amp;"!$b$3:$b$10"),0)),0,10)+IF(ISNA(MATCH(Invulblad!$S$20,INDIRECT(Q$1&amp;"!$d$3:$d$10"),0)),0,10))</f>
        <v>115</v>
      </c>
      <c r="R36" s="165">
        <f ca="1">IF(R35="","",R35+IF(ISNA(MATCH(Invulblad!$S$19,INDIRECT(R$1&amp;"!$B$3:$B$10"),0)),0,10)+IF(ISNA(MATCH(Invulblad!$S$19,INDIRECT(R$1&amp;"!$d$3:$d$10"),0)),0,10)+IF(ISNA(MATCH(Invulblad!$S$20,INDIRECT(R$1&amp;"!$b$3:$b$10"),0)),0,10)+IF(ISNA(MATCH(Invulblad!$S$20,INDIRECT(R$1&amp;"!$d$3:$d$10"),0)),0,10))</f>
        <v>130</v>
      </c>
      <c r="S36" s="165">
        <f ca="1">IF(S35="","",S35+IF(ISNA(MATCH(Invulblad!$S$19,INDIRECT(S$1&amp;"!$B$3:$B$10"),0)),0,10)+IF(ISNA(MATCH(Invulblad!$S$19,INDIRECT(S$1&amp;"!$d$3:$d$10"),0)),0,10)+IF(ISNA(MATCH(Invulblad!$S$20,INDIRECT(S$1&amp;"!$b$3:$b$10"),0)),0,10)+IF(ISNA(MATCH(Invulblad!$S$20,INDIRECT(S$1&amp;"!$d$3:$d$10"),0)),0,10))</f>
        <v>75</v>
      </c>
      <c r="T36" s="165">
        <f ca="1">IF(T35="","",T35+IF(ISNA(MATCH(Invulblad!$S$19,INDIRECT(T$1&amp;"!$B$3:$B$10"),0)),0,10)+IF(ISNA(MATCH(Invulblad!$S$19,INDIRECT(T$1&amp;"!$d$3:$d$10"),0)),0,10)+IF(ISNA(MATCH(Invulblad!$S$20,INDIRECT(T$1&amp;"!$b$3:$b$10"),0)),0,10)+IF(ISNA(MATCH(Invulblad!$S$20,INDIRECT(T$1&amp;"!$d$3:$d$10"),0)),0,10))</f>
        <v>105</v>
      </c>
      <c r="U36" s="165">
        <f ca="1">IF(U35="","",U35+IF(ISNA(MATCH(Invulblad!$S$19,INDIRECT(U$1&amp;"!$B$3:$B$10"),0)),0,10)+IF(ISNA(MATCH(Invulblad!$S$19,INDIRECT(U$1&amp;"!$d$3:$d$10"),0)),0,10)+IF(ISNA(MATCH(Invulblad!$S$20,INDIRECT(U$1&amp;"!$b$3:$b$10"),0)),0,10)+IF(ISNA(MATCH(Invulblad!$S$20,INDIRECT(U$1&amp;"!$d$3:$d$10"),0)),0,10))</f>
        <v>90</v>
      </c>
      <c r="V36" s="165">
        <f ca="1">IF(V35="","",V35+IF(ISNA(MATCH(Invulblad!$S$19,INDIRECT(V$1&amp;"!$B$3:$B$10"),0)),0,10)+IF(ISNA(MATCH(Invulblad!$S$19,INDIRECT(V$1&amp;"!$d$3:$d$10"),0)),0,10)+IF(ISNA(MATCH(Invulblad!$S$20,INDIRECT(V$1&amp;"!$b$3:$b$10"),0)),0,10)+IF(ISNA(MATCH(Invulblad!$S$20,INDIRECT(V$1&amp;"!$d$3:$d$10"),0)),0,10))</f>
        <v>85</v>
      </c>
      <c r="W36" s="165">
        <f ca="1">IF(W35="","",W35+IF(ISNA(MATCH(Invulblad!$S$19,INDIRECT(W$1&amp;"!$B$3:$B$10"),0)),0,10)+IF(ISNA(MATCH(Invulblad!$S$19,INDIRECT(W$1&amp;"!$d$3:$d$10"),0)),0,10)+IF(ISNA(MATCH(Invulblad!$S$20,INDIRECT(W$1&amp;"!$b$3:$b$10"),0)),0,10)+IF(ISNA(MATCH(Invulblad!$S$20,INDIRECT(W$1&amp;"!$d$3:$d$10"),0)),0,10))</f>
        <v>125</v>
      </c>
      <c r="X36" s="165">
        <f ca="1">IF(X35="","",X35+IF(ISNA(MATCH(Invulblad!$S$19,INDIRECT(X$1&amp;"!$B$3:$B$10"),0)),0,10)+IF(ISNA(MATCH(Invulblad!$S$19,INDIRECT(X$1&amp;"!$d$3:$d$10"),0)),0,10)+IF(ISNA(MATCH(Invulblad!$S$20,INDIRECT(X$1&amp;"!$b$3:$b$10"),0)),0,10)+IF(ISNA(MATCH(Invulblad!$S$20,INDIRECT(X$1&amp;"!$d$3:$d$10"),0)),0,10))</f>
        <v>100</v>
      </c>
      <c r="Y36" s="165">
        <f ca="1">IF(Y35="","",Y35+IF(ISNA(MATCH(Invulblad!$S$19,INDIRECT(Y$1&amp;"!$B$3:$B$10"),0)),0,10)+IF(ISNA(MATCH(Invulblad!$S$19,INDIRECT(Y$1&amp;"!$d$3:$d$10"),0)),0,10)+IF(ISNA(MATCH(Invulblad!$S$20,INDIRECT(Y$1&amp;"!$b$3:$b$10"),0)),0,10)+IF(ISNA(MATCH(Invulblad!$S$20,INDIRECT(Y$1&amp;"!$d$3:$d$10"),0)),0,10))</f>
        <v>105</v>
      </c>
      <c r="Z36" s="165">
        <f ca="1">IF(Z35="","",Z35+IF(ISNA(MATCH(Invulblad!$S$19,INDIRECT(Z$1&amp;"!$B$3:$B$10"),0)),0,10)+IF(ISNA(MATCH(Invulblad!$S$19,INDIRECT(Z$1&amp;"!$d$3:$d$10"),0)),0,10)+IF(ISNA(MATCH(Invulblad!$S$20,INDIRECT(Z$1&amp;"!$b$3:$b$10"),0)),0,10)+IF(ISNA(MATCH(Invulblad!$S$20,INDIRECT(Z$1&amp;"!$d$3:$d$10"),0)),0,10))</f>
        <v>115</v>
      </c>
      <c r="AA36" s="165">
        <f t="shared" ca="1" si="39"/>
        <v>104.58333333333333</v>
      </c>
      <c r="AB36" s="178">
        <f t="shared" ca="1" si="41"/>
        <v>10</v>
      </c>
      <c r="AC36" s="331" t="str">
        <f t="shared" si="40"/>
        <v>Boni</v>
      </c>
      <c r="AD36" s="179">
        <f t="shared" ca="1" si="42"/>
        <v>20.416666666666671</v>
      </c>
      <c r="AE36" s="179">
        <f t="shared" ca="1" si="43"/>
        <v>5.4166666666666714</v>
      </c>
      <c r="AF36" s="179">
        <f t="shared" ca="1" si="44"/>
        <v>-9.5833333333333286</v>
      </c>
      <c r="AG36" s="179">
        <f t="shared" ca="1" si="45"/>
        <v>20.416666666666671</v>
      </c>
      <c r="AH36" s="179">
        <f t="shared" ca="1" si="46"/>
        <v>25.416666666666671</v>
      </c>
      <c r="AI36" s="179">
        <f t="shared" ca="1" si="47"/>
        <v>-24.583333333333329</v>
      </c>
      <c r="AJ36" s="179">
        <f t="shared" ca="1" si="48"/>
        <v>-24.583333333333329</v>
      </c>
      <c r="AK36" s="179">
        <f t="shared" ca="1" si="49"/>
        <v>15.416666666666671</v>
      </c>
      <c r="AL36" s="179">
        <f t="shared" ca="1" si="50"/>
        <v>-4.5833333333333286</v>
      </c>
      <c r="AM36" s="179">
        <f t="shared" ca="1" si="51"/>
        <v>-4.5833333333333286</v>
      </c>
      <c r="AN36" s="179">
        <f t="shared" ca="1" si="52"/>
        <v>-19.583333333333329</v>
      </c>
      <c r="AO36" s="179">
        <f t="shared" ca="1" si="27"/>
        <v>-4.5833333333333286</v>
      </c>
      <c r="AP36" s="179">
        <f t="shared" ca="1" si="28"/>
        <v>-4.5833333333333286</v>
      </c>
      <c r="AQ36" s="179">
        <f t="shared" ca="1" si="28"/>
        <v>-19.583333333333329</v>
      </c>
      <c r="AR36" s="179">
        <f t="shared" ca="1" si="29"/>
        <v>10.416666666666671</v>
      </c>
      <c r="AS36" s="179">
        <f t="shared" ca="1" si="30"/>
        <v>25.416666666666671</v>
      </c>
      <c r="AT36" s="179">
        <f t="shared" ca="1" si="31"/>
        <v>-29.583333333333329</v>
      </c>
      <c r="AU36" s="179">
        <f t="shared" ca="1" si="32"/>
        <v>0.4166666666666714</v>
      </c>
      <c r="AV36" s="179">
        <f t="shared" ca="1" si="33"/>
        <v>-14.583333333333329</v>
      </c>
      <c r="AW36" s="179">
        <f t="shared" ca="1" si="34"/>
        <v>-19.583333333333329</v>
      </c>
      <c r="AX36" s="179">
        <f t="shared" ca="1" si="35"/>
        <v>20.416666666666671</v>
      </c>
      <c r="AY36" s="179">
        <f t="shared" ca="1" si="36"/>
        <v>-4.5833333333333286</v>
      </c>
      <c r="AZ36" s="179">
        <f t="shared" ca="1" si="37"/>
        <v>0.4166666666666714</v>
      </c>
      <c r="BA36" s="179">
        <f t="shared" ca="1" si="38"/>
        <v>10.416666666666671</v>
      </c>
    </row>
    <row r="37" spans="1:53">
      <c r="A37" s="173">
        <v>33</v>
      </c>
      <c r="B37" s="157" t="str">
        <f>VLOOKUP($A37,wedstrijden,6,0)&amp;"-"&amp;VLOOKUP($A37,wedstrijden,10,0)</f>
        <v>Kameroen-Brazilië</v>
      </c>
      <c r="C37" s="298">
        <f ca="1">IF(VLOOKUP($A37,INDIRECT(C$1&amp;loc_voorspell),15,0)&lt;&gt;"",VLOOKUP($A37,INDIRECT(C$1&amp;loc_voorspell),15,0)+C36,"")</f>
        <v>130</v>
      </c>
      <c r="D37" s="298">
        <f ca="1">IF(VLOOKUP($A37,INDIRECT(D$1&amp;loc_voorspell),15,0)&lt;&gt;"",VLOOKUP($A37,INDIRECT(D$1&amp;loc_voorspell),15,0)+D36,"")</f>
        <v>115</v>
      </c>
      <c r="E37" s="298">
        <f ca="1">IF(VLOOKUP($A37,INDIRECT(E$1&amp;loc_voorspell),15,0)&lt;&gt;"",VLOOKUP($A37,INDIRECT(E$1&amp;loc_voorspell),15,0)+E36,"")</f>
        <v>100</v>
      </c>
      <c r="F37" s="298">
        <f ca="1">IF(VLOOKUP($A37,INDIRECT(F$1&amp;loc_voorspell),15,0)&lt;&gt;"",VLOOKUP($A37,INDIRECT(F$1&amp;loc_voorspell),15,0)+F36,"")</f>
        <v>130</v>
      </c>
      <c r="G37" s="298">
        <f ca="1">IF(VLOOKUP($A37,INDIRECT(G$1&amp;loc_voorspell),15,0)&lt;&gt;"",VLOOKUP($A37,INDIRECT(G$1&amp;loc_voorspell),15,0)+G36,"")</f>
        <v>135</v>
      </c>
      <c r="H37" s="298">
        <f ca="1">IF(VLOOKUP($A37,INDIRECT(H$1&amp;loc_voorspell),15,0)&lt;&gt;"",VLOOKUP($A37,INDIRECT(H$1&amp;loc_voorspell),15,0)+H36,"")</f>
        <v>85</v>
      </c>
      <c r="I37" s="298">
        <f ca="1">IF(VLOOKUP($A37,INDIRECT(I$1&amp;loc_voorspell),15,0)&lt;&gt;"",VLOOKUP($A37,INDIRECT(I$1&amp;loc_voorspell),15,0)+I36,"")</f>
        <v>85</v>
      </c>
      <c r="J37" s="298">
        <f ca="1">IF(VLOOKUP($A37,INDIRECT(J$1&amp;loc_voorspell),15,0)&lt;&gt;"",VLOOKUP($A37,INDIRECT(J$1&amp;loc_voorspell),15,0)+J36,"")</f>
        <v>125</v>
      </c>
      <c r="K37" s="298">
        <f ca="1">IF(VLOOKUP($A37,INDIRECT(K$1&amp;loc_voorspell),15,0)&lt;&gt;"",VLOOKUP($A37,INDIRECT(K$1&amp;loc_voorspell),15,0)+K36,"")</f>
        <v>105</v>
      </c>
      <c r="L37" s="298">
        <f ca="1">IF(VLOOKUP($A37,INDIRECT(L$1&amp;loc_voorspell),15,0)&lt;&gt;"",VLOOKUP($A37,INDIRECT(L$1&amp;loc_voorspell),15,0)+L36,"")</f>
        <v>105</v>
      </c>
      <c r="M37" s="298">
        <f ca="1">IF(VLOOKUP($A37,INDIRECT(M$1&amp;loc_voorspell),15,0)&lt;&gt;"",VLOOKUP($A37,INDIRECT(M$1&amp;loc_voorspell),15,0)+M36,"")</f>
        <v>90</v>
      </c>
      <c r="N37" s="298">
        <f ca="1">IF(VLOOKUP($A37,INDIRECT(N$1&amp;loc_voorspell),15,0)&lt;&gt;"",VLOOKUP($A37,INDIRECT(N$1&amp;loc_voorspell),15,0)+N36,"")</f>
        <v>135</v>
      </c>
      <c r="O37" s="298">
        <f ca="1">IF(VLOOKUP($A37,INDIRECT(O$1&amp;loc_voorspell),15,0)&lt;&gt;"",VLOOKUP($A37,INDIRECT(O$1&amp;loc_voorspell),15,0)+O36,"")</f>
        <v>105</v>
      </c>
      <c r="P37" s="298">
        <f ca="1">IF(VLOOKUP($A37,INDIRECT(P$1&amp;loc_voorspell),15,0)&lt;&gt;"",VLOOKUP($A37,INDIRECT(P$1&amp;loc_voorspell),15,0)+P36,"")</f>
        <v>90</v>
      </c>
      <c r="Q37" s="298">
        <f ca="1">IF(VLOOKUP($A37,INDIRECT(Q$1&amp;loc_voorspell),15,0)&lt;&gt;"",VLOOKUP($A37,INDIRECT(Q$1&amp;loc_voorspell),15,0)+Q36,"")</f>
        <v>115</v>
      </c>
      <c r="R37" s="298">
        <f ca="1">IF(VLOOKUP($A37,INDIRECT(R$1&amp;loc_voorspell),15,0)&lt;&gt;"",VLOOKUP($A37,INDIRECT(R$1&amp;loc_voorspell),15,0)+R36,"")</f>
        <v>135</v>
      </c>
      <c r="S37" s="298">
        <f ca="1">IF(VLOOKUP($A37,INDIRECT(S$1&amp;loc_voorspell),15,0)&lt;&gt;"",VLOOKUP($A37,INDIRECT(S$1&amp;loc_voorspell),15,0)+S36,"")</f>
        <v>80</v>
      </c>
      <c r="T37" s="298">
        <f ca="1">IF(VLOOKUP($A37,INDIRECT(T$1&amp;loc_voorspell),15,0)&lt;&gt;"",VLOOKUP($A37,INDIRECT(T$1&amp;loc_voorspell),15,0)+T36,"")</f>
        <v>110</v>
      </c>
      <c r="U37" s="298">
        <f ca="1">IF(VLOOKUP($A37,INDIRECT(U$1&amp;loc_voorspell),15,0)&lt;&gt;"",VLOOKUP($A37,INDIRECT(U$1&amp;loc_voorspell),15,0)+U36,"")</f>
        <v>95</v>
      </c>
      <c r="V37" s="298">
        <f ca="1">IF(VLOOKUP($A37,INDIRECT(V$1&amp;loc_voorspell),15,0)&lt;&gt;"",VLOOKUP($A37,INDIRECT(V$1&amp;loc_voorspell),15,0)+V36,"")</f>
        <v>90</v>
      </c>
      <c r="W37" s="298">
        <f ca="1">IF(VLOOKUP($A37,INDIRECT(W$1&amp;loc_voorspell),15,0)&lt;&gt;"",VLOOKUP($A37,INDIRECT(W$1&amp;loc_voorspell),15,0)+W36,"")</f>
        <v>130</v>
      </c>
      <c r="X37" s="298">
        <f ca="1">IF(VLOOKUP($A37,INDIRECT(X$1&amp;loc_voorspell),15,0)&lt;&gt;"",VLOOKUP($A37,INDIRECT(X$1&amp;loc_voorspell),15,0)+X36,"")</f>
        <v>100</v>
      </c>
      <c r="Y37" s="298">
        <f ca="1">IF(VLOOKUP($A37,INDIRECT(Y$1&amp;loc_voorspell),15,0)&lt;&gt;"",VLOOKUP($A37,INDIRECT(Y$1&amp;loc_voorspell),15,0)+Y36,"")</f>
        <v>110</v>
      </c>
      <c r="Z37" s="298">
        <f ca="1">IF(VLOOKUP($A37,INDIRECT(Z$1&amp;loc_voorspell),15,0)&lt;&gt;"",VLOOKUP($A37,INDIRECT(Z$1&amp;loc_voorspell),15,0)+Z36,"")</f>
        <v>120</v>
      </c>
      <c r="AA37" s="165">
        <f t="shared" ca="1" si="39"/>
        <v>109.16666666666667</v>
      </c>
      <c r="AB37" s="178">
        <f t="shared" ca="1" si="41"/>
        <v>4.5833333333333428</v>
      </c>
      <c r="AC37" s="331" t="str">
        <f t="shared" si="40"/>
        <v>Kameroen-Brazilië</v>
      </c>
      <c r="AD37" s="179">
        <f t="shared" ca="1" si="42"/>
        <v>20.833333333333329</v>
      </c>
      <c r="AE37" s="179">
        <f t="shared" ca="1" si="43"/>
        <v>5.8333333333333286</v>
      </c>
      <c r="AF37" s="179">
        <f t="shared" ca="1" si="44"/>
        <v>-9.1666666666666714</v>
      </c>
      <c r="AG37" s="179">
        <f t="shared" ca="1" si="45"/>
        <v>20.833333333333329</v>
      </c>
      <c r="AH37" s="179">
        <f t="shared" ca="1" si="46"/>
        <v>25.833333333333329</v>
      </c>
      <c r="AI37" s="179">
        <f t="shared" ca="1" si="47"/>
        <v>-24.166666666666671</v>
      </c>
      <c r="AJ37" s="179">
        <f t="shared" ca="1" si="48"/>
        <v>-24.166666666666671</v>
      </c>
      <c r="AK37" s="179">
        <f t="shared" ca="1" si="49"/>
        <v>15.833333333333329</v>
      </c>
      <c r="AL37" s="179">
        <f t="shared" ca="1" si="50"/>
        <v>-4.1666666666666714</v>
      </c>
      <c r="AM37" s="179">
        <f t="shared" ca="1" si="51"/>
        <v>-4.1666666666666714</v>
      </c>
      <c r="AN37" s="179">
        <f t="shared" ca="1" si="52"/>
        <v>-19.166666666666671</v>
      </c>
      <c r="AO37" s="179">
        <f t="shared" ca="1" si="27"/>
        <v>-4.1666666666666714</v>
      </c>
      <c r="AP37" s="179">
        <f t="shared" ca="1" si="28"/>
        <v>-4.1666666666666714</v>
      </c>
      <c r="AQ37" s="179">
        <f t="shared" ca="1" si="28"/>
        <v>-19.166666666666671</v>
      </c>
      <c r="AR37" s="179">
        <f t="shared" ca="1" si="29"/>
        <v>5.8333333333333286</v>
      </c>
      <c r="AS37" s="179">
        <f t="shared" ca="1" si="30"/>
        <v>25.833333333333329</v>
      </c>
      <c r="AT37" s="179">
        <f t="shared" ca="1" si="31"/>
        <v>-29.166666666666671</v>
      </c>
      <c r="AU37" s="179">
        <f t="shared" ca="1" si="32"/>
        <v>0.8333333333333286</v>
      </c>
      <c r="AV37" s="179">
        <f t="shared" ca="1" si="33"/>
        <v>-14.166666666666671</v>
      </c>
      <c r="AW37" s="179">
        <f t="shared" ca="1" si="34"/>
        <v>-19.166666666666671</v>
      </c>
      <c r="AX37" s="179">
        <f t="shared" ca="1" si="35"/>
        <v>20.833333333333329</v>
      </c>
      <c r="AY37" s="179">
        <f t="shared" ca="1" si="36"/>
        <v>-9.1666666666666714</v>
      </c>
      <c r="AZ37" s="179">
        <f t="shared" ca="1" si="37"/>
        <v>0.8333333333333286</v>
      </c>
      <c r="BA37" s="179">
        <f t="shared" ca="1" si="38"/>
        <v>10.833333333333329</v>
      </c>
    </row>
    <row r="38" spans="1:53">
      <c r="A38" s="173">
        <v>34</v>
      </c>
      <c r="B38" s="158" t="str">
        <f>VLOOKUP($A38,wedstrijden,6,0)&amp;"-"&amp;VLOOKUP($A38,wedstrijden,10,0)</f>
        <v>Kroatië-Mexico</v>
      </c>
      <c r="C38" s="299">
        <f ca="1">IF(VLOOKUP($A38,INDIRECT(C$1&amp;loc_voorspell),15,0)&lt;&gt;"",VLOOKUP($A38,INDIRECT(C$1&amp;loc_voorspell),15,0)+C37,"")</f>
        <v>130</v>
      </c>
      <c r="D38" s="299">
        <f ca="1">IF(VLOOKUP($A38,INDIRECT(D$1&amp;loc_voorspell),15,0)&lt;&gt;"",VLOOKUP($A38,INDIRECT(D$1&amp;loc_voorspell),15,0)+D37,"")</f>
        <v>115</v>
      </c>
      <c r="E38" s="299">
        <f ca="1">IF(VLOOKUP($A38,INDIRECT(E$1&amp;loc_voorspell),15,0)&lt;&gt;"",VLOOKUP($A38,INDIRECT(E$1&amp;loc_voorspell),15,0)+E37,"")</f>
        <v>105</v>
      </c>
      <c r="F38" s="299">
        <f ca="1">IF(VLOOKUP($A38,INDIRECT(F$1&amp;loc_voorspell),15,0)&lt;&gt;"",VLOOKUP($A38,INDIRECT(F$1&amp;loc_voorspell),15,0)+F37,"")</f>
        <v>135</v>
      </c>
      <c r="G38" s="299">
        <f ca="1">IF(VLOOKUP($A38,INDIRECT(G$1&amp;loc_voorspell),15,0)&lt;&gt;"",VLOOKUP($A38,INDIRECT(G$1&amp;loc_voorspell),15,0)+G37,"")</f>
        <v>135</v>
      </c>
      <c r="H38" s="299">
        <f ca="1">IF(VLOOKUP($A38,INDIRECT(H$1&amp;loc_voorspell),15,0)&lt;&gt;"",VLOOKUP($A38,INDIRECT(H$1&amp;loc_voorspell),15,0)+H37,"")</f>
        <v>85</v>
      </c>
      <c r="I38" s="299">
        <f ca="1">IF(VLOOKUP($A38,INDIRECT(I$1&amp;loc_voorspell),15,0)&lt;&gt;"",VLOOKUP($A38,INDIRECT(I$1&amp;loc_voorspell),15,0)+I37,"")</f>
        <v>85</v>
      </c>
      <c r="J38" s="299">
        <f ca="1">IF(VLOOKUP($A38,INDIRECT(J$1&amp;loc_voorspell),15,0)&lt;&gt;"",VLOOKUP($A38,INDIRECT(J$1&amp;loc_voorspell),15,0)+J37,"")</f>
        <v>125</v>
      </c>
      <c r="K38" s="299">
        <f ca="1">IF(VLOOKUP($A38,INDIRECT(K$1&amp;loc_voorspell),15,0)&lt;&gt;"",VLOOKUP($A38,INDIRECT(K$1&amp;loc_voorspell),15,0)+K37,"")</f>
        <v>105</v>
      </c>
      <c r="L38" s="299">
        <f ca="1">IF(VLOOKUP($A38,INDIRECT(L$1&amp;loc_voorspell),15,0)&lt;&gt;"",VLOOKUP($A38,INDIRECT(L$1&amp;loc_voorspell),15,0)+L37,"")</f>
        <v>110</v>
      </c>
      <c r="M38" s="299">
        <f ca="1">IF(VLOOKUP($A38,INDIRECT(M$1&amp;loc_voorspell),15,0)&lt;&gt;"",VLOOKUP($A38,INDIRECT(M$1&amp;loc_voorspell),15,0)+M37,"")</f>
        <v>95</v>
      </c>
      <c r="N38" s="299">
        <f ca="1">IF(VLOOKUP($A38,INDIRECT(N$1&amp;loc_voorspell),15,0)&lt;&gt;"",VLOOKUP($A38,INDIRECT(N$1&amp;loc_voorspell),15,0)+N37,"")</f>
        <v>135</v>
      </c>
      <c r="O38" s="299">
        <f ca="1">IF(VLOOKUP($A38,INDIRECT(O$1&amp;loc_voorspell),15,0)&lt;&gt;"",VLOOKUP($A38,INDIRECT(O$1&amp;loc_voorspell),15,0)+O37,"")</f>
        <v>105</v>
      </c>
      <c r="P38" s="299">
        <f ca="1">IF(VLOOKUP($A38,INDIRECT(P$1&amp;loc_voorspell),15,0)&lt;&gt;"",VLOOKUP($A38,INDIRECT(P$1&amp;loc_voorspell),15,0)+P37,"")</f>
        <v>90</v>
      </c>
      <c r="Q38" s="299">
        <f ca="1">IF(VLOOKUP($A38,INDIRECT(Q$1&amp;loc_voorspell),15,0)&lt;&gt;"",VLOOKUP($A38,INDIRECT(Q$1&amp;loc_voorspell),15,0)+Q37,"")</f>
        <v>120</v>
      </c>
      <c r="R38" s="299">
        <f ca="1">IF(VLOOKUP($A38,INDIRECT(R$1&amp;loc_voorspell),15,0)&lt;&gt;"",VLOOKUP($A38,INDIRECT(R$1&amp;loc_voorspell),15,0)+R37,"")</f>
        <v>135</v>
      </c>
      <c r="S38" s="299">
        <f ca="1">IF(VLOOKUP($A38,INDIRECT(S$1&amp;loc_voorspell),15,0)&lt;&gt;"",VLOOKUP($A38,INDIRECT(S$1&amp;loc_voorspell),15,0)+S37,"")</f>
        <v>80</v>
      </c>
      <c r="T38" s="299">
        <f ca="1">IF(VLOOKUP($A38,INDIRECT(T$1&amp;loc_voorspell),15,0)&lt;&gt;"",VLOOKUP($A38,INDIRECT(T$1&amp;loc_voorspell),15,0)+T37,"")</f>
        <v>115</v>
      </c>
      <c r="U38" s="299">
        <f ca="1">IF(VLOOKUP($A38,INDIRECT(U$1&amp;loc_voorspell),15,0)&lt;&gt;"",VLOOKUP($A38,INDIRECT(U$1&amp;loc_voorspell),15,0)+U37,"")</f>
        <v>95</v>
      </c>
      <c r="V38" s="299">
        <f ca="1">IF(VLOOKUP($A38,INDIRECT(V$1&amp;loc_voorspell),15,0)&lt;&gt;"",VLOOKUP($A38,INDIRECT(V$1&amp;loc_voorspell),15,0)+V37,"")</f>
        <v>90</v>
      </c>
      <c r="W38" s="299">
        <f ca="1">IF(VLOOKUP($A38,INDIRECT(W$1&amp;loc_voorspell),15,0)&lt;&gt;"",VLOOKUP($A38,INDIRECT(W$1&amp;loc_voorspell),15,0)+W37,"")</f>
        <v>130</v>
      </c>
      <c r="X38" s="299">
        <f ca="1">IF(VLOOKUP($A38,INDIRECT(X$1&amp;loc_voorspell),15,0)&lt;&gt;"",VLOOKUP($A38,INDIRECT(X$1&amp;loc_voorspell),15,0)+X37,"")</f>
        <v>100</v>
      </c>
      <c r="Y38" s="299">
        <f ca="1">IF(VLOOKUP($A38,INDIRECT(Y$1&amp;loc_voorspell),15,0)&lt;&gt;"",VLOOKUP($A38,INDIRECT(Y$1&amp;loc_voorspell),15,0)+Y37,"")</f>
        <v>110</v>
      </c>
      <c r="Z38" s="299">
        <f ca="1">IF(VLOOKUP($A38,INDIRECT(Z$1&amp;loc_voorspell),15,0)&lt;&gt;"",VLOOKUP($A38,INDIRECT(Z$1&amp;loc_voorspell),15,0)+Z37,"")</f>
        <v>120</v>
      </c>
      <c r="AA38" s="165">
        <f t="shared" ca="1" si="39"/>
        <v>110.41666666666667</v>
      </c>
      <c r="AB38" s="178">
        <f t="shared" ca="1" si="41"/>
        <v>1.25</v>
      </c>
      <c r="AC38" s="331" t="str">
        <f t="shared" si="40"/>
        <v>Kroatië-Mexico</v>
      </c>
      <c r="AD38" s="179">
        <f t="shared" ca="1" si="42"/>
        <v>19.583333333333329</v>
      </c>
      <c r="AE38" s="179">
        <f t="shared" ca="1" si="43"/>
        <v>4.5833333333333286</v>
      </c>
      <c r="AF38" s="179">
        <f t="shared" ca="1" si="44"/>
        <v>-5.4166666666666714</v>
      </c>
      <c r="AG38" s="179">
        <f t="shared" ca="1" si="45"/>
        <v>24.583333333333329</v>
      </c>
      <c r="AH38" s="179">
        <f t="shared" ca="1" si="46"/>
        <v>24.583333333333329</v>
      </c>
      <c r="AI38" s="179">
        <f t="shared" ca="1" si="47"/>
        <v>-25.416666666666671</v>
      </c>
      <c r="AJ38" s="179">
        <f t="shared" ca="1" si="48"/>
        <v>-25.416666666666671</v>
      </c>
      <c r="AK38" s="179">
        <f t="shared" ca="1" si="49"/>
        <v>14.583333333333329</v>
      </c>
      <c r="AL38" s="179">
        <f t="shared" ca="1" si="50"/>
        <v>-5.4166666666666714</v>
      </c>
      <c r="AM38" s="179">
        <f t="shared" ca="1" si="51"/>
        <v>-0.4166666666666714</v>
      </c>
      <c r="AN38" s="179">
        <f t="shared" ca="1" si="52"/>
        <v>-15.416666666666671</v>
      </c>
      <c r="AO38" s="179">
        <f t="shared" ca="1" si="27"/>
        <v>-5.4166666666666714</v>
      </c>
      <c r="AP38" s="179">
        <f t="shared" ca="1" si="28"/>
        <v>-5.4166666666666714</v>
      </c>
      <c r="AQ38" s="179">
        <f t="shared" ca="1" si="28"/>
        <v>-20.416666666666671</v>
      </c>
      <c r="AR38" s="179">
        <f t="shared" ca="1" si="29"/>
        <v>9.5833333333333286</v>
      </c>
      <c r="AS38" s="179">
        <f t="shared" ca="1" si="30"/>
        <v>24.583333333333329</v>
      </c>
      <c r="AT38" s="179">
        <f t="shared" ca="1" si="31"/>
        <v>-30.416666666666671</v>
      </c>
      <c r="AU38" s="179">
        <f t="shared" ca="1" si="32"/>
        <v>4.5833333333333286</v>
      </c>
      <c r="AV38" s="179">
        <f t="shared" ca="1" si="33"/>
        <v>-15.416666666666671</v>
      </c>
      <c r="AW38" s="179">
        <f t="shared" ca="1" si="34"/>
        <v>-20.416666666666671</v>
      </c>
      <c r="AX38" s="179">
        <f t="shared" ca="1" si="35"/>
        <v>19.583333333333329</v>
      </c>
      <c r="AY38" s="179">
        <f t="shared" ca="1" si="36"/>
        <v>-10.416666666666671</v>
      </c>
      <c r="AZ38" s="179">
        <f t="shared" ca="1" si="37"/>
        <v>-0.4166666666666714</v>
      </c>
      <c r="BA38" s="179">
        <f t="shared" ca="1" si="38"/>
        <v>9.5833333333333286</v>
      </c>
    </row>
    <row r="39" spans="1:53">
      <c r="A39" s="180" t="str">
        <f>B39</f>
        <v>Boni</v>
      </c>
      <c r="B39" s="324" t="s">
        <v>366</v>
      </c>
      <c r="C39" s="165">
        <f ca="1">IF(C38="","",C38+IF(ISNA(MATCH(Invulblad!$S$11,INDIRECT(C$1&amp;"!$B$3:$B$10"),0)),0,10)+IF(ISNA(MATCH(Invulblad!$S$11,INDIRECT(C$1&amp;"!$D$3:$D$10"),0)),0,10)+IF(ISNA(MATCH(Invulblad!$S$12,INDIRECT(C$1&amp;"!$B$3:$B$10"),0)),0,10)+IF(ISNA(MATCH(Invulblad!$S$12,INDIRECT(C$1&amp;"!$D$3:$D$10"),0)),0,10))</f>
        <v>140</v>
      </c>
      <c r="D39" s="165">
        <f ca="1">IF(D38="","",D38+IF(ISNA(MATCH(Invulblad!$S$11,INDIRECT(D$1&amp;"!$B$3:$B$10"),0)),0,10)+IF(ISNA(MATCH(Invulblad!$S$11,INDIRECT(D$1&amp;"!$D$3:$D$10"),0)),0,10)+IF(ISNA(MATCH(Invulblad!$S$12,INDIRECT(D$1&amp;"!$B$3:$B$10"),0)),0,10)+IF(ISNA(MATCH(Invulblad!$S$12,INDIRECT(D$1&amp;"!$D$3:$D$10"),0)),0,10))</f>
        <v>125</v>
      </c>
      <c r="E39" s="165">
        <f ca="1">IF(E38="","",E38+IF(ISNA(MATCH(Invulblad!$S$11,INDIRECT(E$1&amp;"!$B$3:$B$10"),0)),0,10)+IF(ISNA(MATCH(Invulblad!$S$11,INDIRECT(E$1&amp;"!$D$3:$D$10"),0)),0,10)+IF(ISNA(MATCH(Invulblad!$S$12,INDIRECT(E$1&amp;"!$B$3:$B$10"),0)),0,10)+IF(ISNA(MATCH(Invulblad!$S$12,INDIRECT(E$1&amp;"!$D$3:$D$10"),0)),0,10))</f>
        <v>125</v>
      </c>
      <c r="F39" s="165">
        <f ca="1">IF(F38="","",F38+IF(ISNA(MATCH(Invulblad!$S$11,INDIRECT(F$1&amp;"!$B$3:$B$10"),0)),0,10)+IF(ISNA(MATCH(Invulblad!$S$11,INDIRECT(F$1&amp;"!$D$3:$D$10"),0)),0,10)+IF(ISNA(MATCH(Invulblad!$S$12,INDIRECT(F$1&amp;"!$B$3:$B$10"),0)),0,10)+IF(ISNA(MATCH(Invulblad!$S$12,INDIRECT(F$1&amp;"!$D$3:$D$10"),0)),0,10))</f>
        <v>155</v>
      </c>
      <c r="G39" s="165">
        <f ca="1">IF(G38="","",G38+IF(ISNA(MATCH(Invulblad!$S$11,INDIRECT(G$1&amp;"!$B$3:$B$10"),0)),0,10)+IF(ISNA(MATCH(Invulblad!$S$11,INDIRECT(G$1&amp;"!$D$3:$D$10"),0)),0,10)+IF(ISNA(MATCH(Invulblad!$S$12,INDIRECT(G$1&amp;"!$B$3:$B$10"),0)),0,10)+IF(ISNA(MATCH(Invulblad!$S$12,INDIRECT(G$1&amp;"!$D$3:$D$10"),0)),0,10))</f>
        <v>155</v>
      </c>
      <c r="H39" s="165">
        <f ca="1">IF(H38="","",H38+IF(ISNA(MATCH(Invulblad!$S$11,INDIRECT(H$1&amp;"!$B$3:$B$10"),0)),0,10)+IF(ISNA(MATCH(Invulblad!$S$11,INDIRECT(H$1&amp;"!$D$3:$D$10"),0)),0,10)+IF(ISNA(MATCH(Invulblad!$S$12,INDIRECT(H$1&amp;"!$B$3:$B$10"),0)),0,10)+IF(ISNA(MATCH(Invulblad!$S$12,INDIRECT(H$1&amp;"!$D$3:$D$10"),0)),0,10))</f>
        <v>95</v>
      </c>
      <c r="I39" s="165">
        <f ca="1">IF(I38="","",I38+IF(ISNA(MATCH(Invulblad!$S$11,INDIRECT(I$1&amp;"!$B$3:$B$10"),0)),0,10)+IF(ISNA(MATCH(Invulblad!$S$11,INDIRECT(I$1&amp;"!$D$3:$D$10"),0)),0,10)+IF(ISNA(MATCH(Invulblad!$S$12,INDIRECT(I$1&amp;"!$B$3:$B$10"),0)),0,10)+IF(ISNA(MATCH(Invulblad!$S$12,INDIRECT(I$1&amp;"!$D$3:$D$10"),0)),0,10))</f>
        <v>95</v>
      </c>
      <c r="J39" s="165">
        <f ca="1">IF(J38="","",J38+IF(ISNA(MATCH(Invulblad!$S$11,INDIRECT(J$1&amp;"!$B$3:$B$10"),0)),0,10)+IF(ISNA(MATCH(Invulblad!$S$11,INDIRECT(J$1&amp;"!$D$3:$D$10"),0)),0,10)+IF(ISNA(MATCH(Invulblad!$S$12,INDIRECT(J$1&amp;"!$B$3:$B$10"),0)),0,10)+IF(ISNA(MATCH(Invulblad!$S$12,INDIRECT(J$1&amp;"!$D$3:$D$10"),0)),0,10))</f>
        <v>145</v>
      </c>
      <c r="K39" s="165">
        <f ca="1">IF(K38="","",K38+IF(ISNA(MATCH(Invulblad!$S$11,INDIRECT(K$1&amp;"!$B$3:$B$10"),0)),0,10)+IF(ISNA(MATCH(Invulblad!$S$11,INDIRECT(K$1&amp;"!$D$3:$D$10"),0)),0,10)+IF(ISNA(MATCH(Invulblad!$S$12,INDIRECT(K$1&amp;"!$B$3:$B$10"),0)),0,10)+IF(ISNA(MATCH(Invulblad!$S$12,INDIRECT(K$1&amp;"!$D$3:$D$10"),0)),0,10))</f>
        <v>115</v>
      </c>
      <c r="L39" s="165">
        <f ca="1">IF(L38="","",L38+IF(ISNA(MATCH(Invulblad!$S$11,INDIRECT(L$1&amp;"!$B$3:$B$10"),0)),0,10)+IF(ISNA(MATCH(Invulblad!$S$11,INDIRECT(L$1&amp;"!$D$3:$D$10"),0)),0,10)+IF(ISNA(MATCH(Invulblad!$S$12,INDIRECT(L$1&amp;"!$B$3:$B$10"),0)),0,10)+IF(ISNA(MATCH(Invulblad!$S$12,INDIRECT(L$1&amp;"!$D$3:$D$10"),0)),0,10))</f>
        <v>130</v>
      </c>
      <c r="M39" s="165">
        <f ca="1">IF(M38="","",M38+IF(ISNA(MATCH(Invulblad!$S$11,INDIRECT(M$1&amp;"!$B$3:$B$10"),0)),0,10)+IF(ISNA(MATCH(Invulblad!$S$11,INDIRECT(M$1&amp;"!$D$3:$D$10"),0)),0,10)+IF(ISNA(MATCH(Invulblad!$S$12,INDIRECT(M$1&amp;"!$B$3:$B$10"),0)),0,10)+IF(ISNA(MATCH(Invulblad!$S$12,INDIRECT(M$1&amp;"!$D$3:$D$10"),0)),0,10))</f>
        <v>115</v>
      </c>
      <c r="N39" s="165">
        <f ca="1">IF(N38="","",N38+IF(ISNA(MATCH(Invulblad!$S$11,INDIRECT(N$1&amp;"!$B$3:$B$10"),0)),0,10)+IF(ISNA(MATCH(Invulblad!$S$11,INDIRECT(N$1&amp;"!$D$3:$D$10"),0)),0,10)+IF(ISNA(MATCH(Invulblad!$S$12,INDIRECT(N$1&amp;"!$B$3:$B$10"),0)),0,10)+IF(ISNA(MATCH(Invulblad!$S$12,INDIRECT(N$1&amp;"!$D$3:$D$10"),0)),0,10))</f>
        <v>155</v>
      </c>
      <c r="O39" s="165">
        <f ca="1">IF(O38="","",O38+IF(ISNA(MATCH(Invulblad!$S$11,INDIRECT(O$1&amp;"!$B$3:$B$10"),0)),0,10)+IF(ISNA(MATCH(Invulblad!$S$11,INDIRECT(O$1&amp;"!$D$3:$D$10"),0)),0,10)+IF(ISNA(MATCH(Invulblad!$S$12,INDIRECT(O$1&amp;"!$B$3:$B$10"),0)),0,10)+IF(ISNA(MATCH(Invulblad!$S$12,INDIRECT(O$1&amp;"!$D$3:$D$10"),0)),0,10))</f>
        <v>115</v>
      </c>
      <c r="P39" s="165">
        <f ca="1">IF(P38="","",P38+IF(ISNA(MATCH(Invulblad!$S$11,INDIRECT(P$1&amp;"!$B$3:$B$10"),0)),0,10)+IF(ISNA(MATCH(Invulblad!$S$11,INDIRECT(P$1&amp;"!$D$3:$D$10"),0)),0,10)+IF(ISNA(MATCH(Invulblad!$S$12,INDIRECT(P$1&amp;"!$B$3:$B$10"),0)),0,10)+IF(ISNA(MATCH(Invulblad!$S$12,INDIRECT(P$1&amp;"!$D$3:$D$10"),0)),0,10))</f>
        <v>110</v>
      </c>
      <c r="Q39" s="165">
        <f ca="1">IF(Q38="","",Q38+IF(ISNA(MATCH(Invulblad!$S$11,INDIRECT(Q$1&amp;"!$B$3:$B$10"),0)),0,10)+IF(ISNA(MATCH(Invulblad!$S$11,INDIRECT(Q$1&amp;"!$D$3:$D$10"),0)),0,10)+IF(ISNA(MATCH(Invulblad!$S$12,INDIRECT(Q$1&amp;"!$B$3:$B$10"),0)),0,10)+IF(ISNA(MATCH(Invulblad!$S$12,INDIRECT(Q$1&amp;"!$D$3:$D$10"),0)),0,10))</f>
        <v>140</v>
      </c>
      <c r="R39" s="165">
        <f ca="1">IF(R38="","",R38+IF(ISNA(MATCH(Invulblad!$S$11,INDIRECT(R$1&amp;"!$B$3:$B$10"),0)),0,10)+IF(ISNA(MATCH(Invulblad!$S$11,INDIRECT(R$1&amp;"!$D$3:$D$10"),0)),0,10)+IF(ISNA(MATCH(Invulblad!$S$12,INDIRECT(R$1&amp;"!$B$3:$B$10"),0)),0,10)+IF(ISNA(MATCH(Invulblad!$S$12,INDIRECT(R$1&amp;"!$D$3:$D$10"),0)),0,10))</f>
        <v>145</v>
      </c>
      <c r="S39" s="165">
        <f ca="1">IF(S38="","",S38+IF(ISNA(MATCH(Invulblad!$S$11,INDIRECT(S$1&amp;"!$B$3:$B$10"),0)),0,10)+IF(ISNA(MATCH(Invulblad!$S$11,INDIRECT(S$1&amp;"!$D$3:$D$10"),0)),0,10)+IF(ISNA(MATCH(Invulblad!$S$12,INDIRECT(S$1&amp;"!$B$3:$B$10"),0)),0,10)+IF(ISNA(MATCH(Invulblad!$S$12,INDIRECT(S$1&amp;"!$D$3:$D$10"),0)),0,10))</f>
        <v>100</v>
      </c>
      <c r="T39" s="165">
        <f ca="1">IF(T38="","",T38+IF(ISNA(MATCH(Invulblad!$S$11,INDIRECT(T$1&amp;"!$B$3:$B$10"),0)),0,10)+IF(ISNA(MATCH(Invulblad!$S$11,INDIRECT(T$1&amp;"!$D$3:$D$10"),0)),0,10)+IF(ISNA(MATCH(Invulblad!$S$12,INDIRECT(T$1&amp;"!$B$3:$B$10"),0)),0,10)+IF(ISNA(MATCH(Invulblad!$S$12,INDIRECT(T$1&amp;"!$D$3:$D$10"),0)),0,10))</f>
        <v>135</v>
      </c>
      <c r="U39" s="165">
        <f ca="1">IF(U38="","",U38+IF(ISNA(MATCH(Invulblad!$S$11,INDIRECT(U$1&amp;"!$B$3:$B$10"),0)),0,10)+IF(ISNA(MATCH(Invulblad!$S$11,INDIRECT(U$1&amp;"!$D$3:$D$10"),0)),0,10)+IF(ISNA(MATCH(Invulblad!$S$12,INDIRECT(U$1&amp;"!$B$3:$B$10"),0)),0,10)+IF(ISNA(MATCH(Invulblad!$S$12,INDIRECT(U$1&amp;"!$D$3:$D$10"),0)),0,10))</f>
        <v>105</v>
      </c>
      <c r="V39" s="165">
        <f ca="1">IF(V38="","",V38+IF(ISNA(MATCH(Invulblad!$S$11,INDIRECT(V$1&amp;"!$B$3:$B$10"),0)),0,10)+IF(ISNA(MATCH(Invulblad!$S$11,INDIRECT(V$1&amp;"!$D$3:$D$10"),0)),0,10)+IF(ISNA(MATCH(Invulblad!$S$12,INDIRECT(V$1&amp;"!$B$3:$B$10"),0)),0,10)+IF(ISNA(MATCH(Invulblad!$S$12,INDIRECT(V$1&amp;"!$D$3:$D$10"),0)),0,10))</f>
        <v>100</v>
      </c>
      <c r="W39" s="165">
        <f ca="1">IF(W38="","",W38+IF(ISNA(MATCH(Invulblad!$S$11,INDIRECT(W$1&amp;"!$B$3:$B$10"),0)),0,10)+IF(ISNA(MATCH(Invulblad!$S$11,INDIRECT(W$1&amp;"!$D$3:$D$10"),0)),0,10)+IF(ISNA(MATCH(Invulblad!$S$12,INDIRECT(W$1&amp;"!$B$3:$B$10"),0)),0,10)+IF(ISNA(MATCH(Invulblad!$S$12,INDIRECT(W$1&amp;"!$D$3:$D$10"),0)),0,10))</f>
        <v>140</v>
      </c>
      <c r="X39" s="165">
        <f ca="1">IF(X38="","",X38+IF(ISNA(MATCH(Invulblad!$S$11,INDIRECT(X$1&amp;"!$B$3:$B$10"),0)),0,10)+IF(ISNA(MATCH(Invulblad!$S$11,INDIRECT(X$1&amp;"!$D$3:$D$10"),0)),0,10)+IF(ISNA(MATCH(Invulblad!$S$12,INDIRECT(X$1&amp;"!$B$3:$B$10"),0)),0,10)+IF(ISNA(MATCH(Invulblad!$S$12,INDIRECT(X$1&amp;"!$D$3:$D$10"),0)),0,10))</f>
        <v>110</v>
      </c>
      <c r="Y39" s="165">
        <f ca="1">IF(Y38="","",Y38+IF(ISNA(MATCH(Invulblad!$S$11,INDIRECT(Y$1&amp;"!$B$3:$B$10"),0)),0,10)+IF(ISNA(MATCH(Invulblad!$S$11,INDIRECT(Y$1&amp;"!$D$3:$D$10"),0)),0,10)+IF(ISNA(MATCH(Invulblad!$S$12,INDIRECT(Y$1&amp;"!$B$3:$B$10"),0)),0,10)+IF(ISNA(MATCH(Invulblad!$S$12,INDIRECT(Y$1&amp;"!$D$3:$D$10"),0)),0,10))</f>
        <v>120</v>
      </c>
      <c r="Z39" s="165">
        <f ca="1">IF(Z38="","",Z38+IF(ISNA(MATCH(Invulblad!$S$11,INDIRECT(Z$1&amp;"!$B$3:$B$10"),0)),0,10)+IF(ISNA(MATCH(Invulblad!$S$11,INDIRECT(Z$1&amp;"!$D$3:$D$10"),0)),0,10)+IF(ISNA(MATCH(Invulblad!$S$12,INDIRECT(Z$1&amp;"!$B$3:$B$10"),0)),0,10)+IF(ISNA(MATCH(Invulblad!$S$12,INDIRECT(Z$1&amp;"!$D$3:$D$10"),0)),0,10))</f>
        <v>130</v>
      </c>
      <c r="AA39" s="165">
        <f t="shared" ca="1" si="39"/>
        <v>125</v>
      </c>
      <c r="AB39" s="178">
        <f t="shared" ca="1" si="41"/>
        <v>14.583333333333329</v>
      </c>
      <c r="AC39" s="331" t="str">
        <f t="shared" si="40"/>
        <v>Boni</v>
      </c>
      <c r="AD39" s="179">
        <f t="shared" ca="1" si="42"/>
        <v>15</v>
      </c>
      <c r="AE39" s="179">
        <f t="shared" ca="1" si="43"/>
        <v>0</v>
      </c>
      <c r="AF39" s="179">
        <f t="shared" ca="1" si="44"/>
        <v>0</v>
      </c>
      <c r="AG39" s="179">
        <f t="shared" ca="1" si="45"/>
        <v>30</v>
      </c>
      <c r="AH39" s="179">
        <f t="shared" ca="1" si="46"/>
        <v>30</v>
      </c>
      <c r="AI39" s="179">
        <f t="shared" ca="1" si="47"/>
        <v>-30</v>
      </c>
      <c r="AJ39" s="179">
        <f t="shared" ca="1" si="48"/>
        <v>-30</v>
      </c>
      <c r="AK39" s="179">
        <f t="shared" ca="1" si="49"/>
        <v>20</v>
      </c>
      <c r="AL39" s="179">
        <f t="shared" ca="1" si="50"/>
        <v>-10</v>
      </c>
      <c r="AM39" s="179">
        <f t="shared" ca="1" si="51"/>
        <v>5</v>
      </c>
      <c r="AN39" s="179">
        <f t="shared" ca="1" si="52"/>
        <v>-10</v>
      </c>
      <c r="AO39" s="179">
        <f t="shared" ca="1" si="27"/>
        <v>-10</v>
      </c>
      <c r="AP39" s="179">
        <f t="shared" ca="1" si="28"/>
        <v>-10</v>
      </c>
      <c r="AQ39" s="179">
        <f t="shared" ca="1" si="28"/>
        <v>-15</v>
      </c>
      <c r="AR39" s="179">
        <f t="shared" ca="1" si="29"/>
        <v>15</v>
      </c>
      <c r="AS39" s="179">
        <f t="shared" ca="1" si="30"/>
        <v>20</v>
      </c>
      <c r="AT39" s="179">
        <f t="shared" ca="1" si="31"/>
        <v>-25</v>
      </c>
      <c r="AU39" s="179">
        <f t="shared" ca="1" si="32"/>
        <v>10</v>
      </c>
      <c r="AV39" s="179">
        <f t="shared" ca="1" si="33"/>
        <v>-20</v>
      </c>
      <c r="AW39" s="179">
        <f t="shared" ca="1" si="34"/>
        <v>-25</v>
      </c>
      <c r="AX39" s="179">
        <f t="shared" ca="1" si="35"/>
        <v>15</v>
      </c>
      <c r="AY39" s="179">
        <f t="shared" ca="1" si="36"/>
        <v>-15</v>
      </c>
      <c r="AZ39" s="179">
        <f t="shared" ca="1" si="37"/>
        <v>-5</v>
      </c>
      <c r="BA39" s="179">
        <f t="shared" ca="1" si="38"/>
        <v>5</v>
      </c>
    </row>
    <row r="40" spans="1:53">
      <c r="A40" s="173">
        <v>39</v>
      </c>
      <c r="B40" s="157" t="str">
        <f>VLOOKUP($A40,wedstrijden,6,0)&amp;"-"&amp;VLOOKUP($A40,wedstrijden,10,0)</f>
        <v>Italië-Uruguay</v>
      </c>
      <c r="C40" s="298">
        <f ca="1">IF(VLOOKUP($A40,INDIRECT(C$1&amp;loc_voorspell),15,0)&lt;&gt;"",VLOOKUP($A40,INDIRECT(C$1&amp;loc_voorspell),15,0)+C39,"")</f>
        <v>140</v>
      </c>
      <c r="D40" s="298">
        <f ca="1">IF(VLOOKUP($A40,INDIRECT(D$1&amp;loc_voorspell),15,0)&lt;&gt;"",VLOOKUP($A40,INDIRECT(D$1&amp;loc_voorspell),15,0)+D39,"")</f>
        <v>125</v>
      </c>
      <c r="E40" s="298">
        <f ca="1">IF(VLOOKUP($A40,INDIRECT(E$1&amp;loc_voorspell),15,0)&lt;&gt;"",VLOOKUP($A40,INDIRECT(E$1&amp;loc_voorspell),15,0)+E39,"")</f>
        <v>125</v>
      </c>
      <c r="F40" s="298">
        <f ca="1">IF(VLOOKUP($A40,INDIRECT(F$1&amp;loc_voorspell),15,0)&lt;&gt;"",VLOOKUP($A40,INDIRECT(F$1&amp;loc_voorspell),15,0)+F39,"")</f>
        <v>155</v>
      </c>
      <c r="G40" s="298">
        <f ca="1">IF(VLOOKUP($A40,INDIRECT(G$1&amp;loc_voorspell),15,0)&lt;&gt;"",VLOOKUP($A40,INDIRECT(G$1&amp;loc_voorspell),15,0)+G39,"")</f>
        <v>155</v>
      </c>
      <c r="H40" s="298">
        <f ca="1">IF(VLOOKUP($A40,INDIRECT(H$1&amp;loc_voorspell),15,0)&lt;&gt;"",VLOOKUP($A40,INDIRECT(H$1&amp;loc_voorspell),15,0)+H39,"")</f>
        <v>95</v>
      </c>
      <c r="I40" s="298">
        <f ca="1">IF(VLOOKUP($A40,INDIRECT(I$1&amp;loc_voorspell),15,0)&lt;&gt;"",VLOOKUP($A40,INDIRECT(I$1&amp;loc_voorspell),15,0)+I39,"")</f>
        <v>95</v>
      </c>
      <c r="J40" s="298">
        <f ca="1">IF(VLOOKUP($A40,INDIRECT(J$1&amp;loc_voorspell),15,0)&lt;&gt;"",VLOOKUP($A40,INDIRECT(J$1&amp;loc_voorspell),15,0)+J39,"")</f>
        <v>145</v>
      </c>
      <c r="K40" s="298">
        <f ca="1">IF(VLOOKUP($A40,INDIRECT(K$1&amp;loc_voorspell),15,0)&lt;&gt;"",VLOOKUP($A40,INDIRECT(K$1&amp;loc_voorspell),15,0)+K39,"")</f>
        <v>115</v>
      </c>
      <c r="L40" s="298">
        <f ca="1">IF(VLOOKUP($A40,INDIRECT(L$1&amp;loc_voorspell),15,0)&lt;&gt;"",VLOOKUP($A40,INDIRECT(L$1&amp;loc_voorspell),15,0)+L39,"")</f>
        <v>130</v>
      </c>
      <c r="M40" s="298">
        <f ca="1">IF(VLOOKUP($A40,INDIRECT(M$1&amp;loc_voorspell),15,0)&lt;&gt;"",VLOOKUP($A40,INDIRECT(M$1&amp;loc_voorspell),15,0)+M39,"")</f>
        <v>115</v>
      </c>
      <c r="N40" s="298">
        <f ca="1">IF(VLOOKUP($A40,INDIRECT(N$1&amp;loc_voorspell),15,0)&lt;&gt;"",VLOOKUP($A40,INDIRECT(N$1&amp;loc_voorspell),15,0)+N39,"")</f>
        <v>160</v>
      </c>
      <c r="O40" s="298">
        <f ca="1">IF(VLOOKUP($A40,INDIRECT(O$1&amp;loc_voorspell),15,0)&lt;&gt;"",VLOOKUP($A40,INDIRECT(O$1&amp;loc_voorspell),15,0)+O39,"")</f>
        <v>120</v>
      </c>
      <c r="P40" s="298">
        <f ca="1">IF(VLOOKUP($A40,INDIRECT(P$1&amp;loc_voorspell),15,0)&lt;&gt;"",VLOOKUP($A40,INDIRECT(P$1&amp;loc_voorspell),15,0)+P39,"")</f>
        <v>110</v>
      </c>
      <c r="Q40" s="298">
        <f ca="1">IF(VLOOKUP($A40,INDIRECT(Q$1&amp;loc_voorspell),15,0)&lt;&gt;"",VLOOKUP($A40,INDIRECT(Q$1&amp;loc_voorspell),15,0)+Q39,"")</f>
        <v>140</v>
      </c>
      <c r="R40" s="298">
        <f ca="1">IF(VLOOKUP($A40,INDIRECT(R$1&amp;loc_voorspell),15,0)&lt;&gt;"",VLOOKUP($A40,INDIRECT(R$1&amp;loc_voorspell),15,0)+R39,"")</f>
        <v>145</v>
      </c>
      <c r="S40" s="298">
        <f ca="1">IF(VLOOKUP($A40,INDIRECT(S$1&amp;loc_voorspell),15,0)&lt;&gt;"",VLOOKUP($A40,INDIRECT(S$1&amp;loc_voorspell),15,0)+S39,"")</f>
        <v>100</v>
      </c>
      <c r="T40" s="298">
        <f ca="1">IF(VLOOKUP($A40,INDIRECT(T$1&amp;loc_voorspell),15,0)&lt;&gt;"",VLOOKUP($A40,INDIRECT(T$1&amp;loc_voorspell),15,0)+T39,"")</f>
        <v>135</v>
      </c>
      <c r="U40" s="298">
        <f ca="1">IF(VLOOKUP($A40,INDIRECT(U$1&amp;loc_voorspell),15,0)&lt;&gt;"",VLOOKUP($A40,INDIRECT(U$1&amp;loc_voorspell),15,0)+U39,"")</f>
        <v>105</v>
      </c>
      <c r="V40" s="298">
        <f ca="1">IF(VLOOKUP($A40,INDIRECT(V$1&amp;loc_voorspell),15,0)&lt;&gt;"",VLOOKUP($A40,INDIRECT(V$1&amp;loc_voorspell),15,0)+V39,"")</f>
        <v>100</v>
      </c>
      <c r="W40" s="298">
        <f ca="1">IF(VLOOKUP($A40,INDIRECT(W$1&amp;loc_voorspell),15,0)&lt;&gt;"",VLOOKUP($A40,INDIRECT(W$1&amp;loc_voorspell),15,0)+W39,"")</f>
        <v>140</v>
      </c>
      <c r="X40" s="298">
        <f ca="1">IF(VLOOKUP($A40,INDIRECT(X$1&amp;loc_voorspell),15,0)&lt;&gt;"",VLOOKUP($A40,INDIRECT(X$1&amp;loc_voorspell),15,0)+X39,"")</f>
        <v>110</v>
      </c>
      <c r="Y40" s="298">
        <f ca="1">IF(VLOOKUP($A40,INDIRECT(Y$1&amp;loc_voorspell),15,0)&lt;&gt;"",VLOOKUP($A40,INDIRECT(Y$1&amp;loc_voorspell),15,0)+Y39,"")</f>
        <v>120</v>
      </c>
      <c r="Z40" s="298">
        <f ca="1">IF(VLOOKUP($A40,INDIRECT(Z$1&amp;loc_voorspell),15,0)&lt;&gt;"",VLOOKUP($A40,INDIRECT(Z$1&amp;loc_voorspell),15,0)+Z39,"")</f>
        <v>130</v>
      </c>
      <c r="AA40" s="165">
        <f t="shared" ca="1" si="39"/>
        <v>125.41666666666667</v>
      </c>
      <c r="AB40" s="178">
        <f t="shared" ca="1" si="41"/>
        <v>0.4166666666666714</v>
      </c>
      <c r="AC40" s="331" t="str">
        <f t="shared" si="40"/>
        <v>Italië-Uruguay</v>
      </c>
      <c r="AD40" s="179">
        <f t="shared" ca="1" si="42"/>
        <v>14.583333333333329</v>
      </c>
      <c r="AE40" s="179">
        <f t="shared" ca="1" si="43"/>
        <v>-0.4166666666666714</v>
      </c>
      <c r="AF40" s="179">
        <f t="shared" ca="1" si="44"/>
        <v>-0.4166666666666714</v>
      </c>
      <c r="AG40" s="179">
        <f t="shared" ca="1" si="45"/>
        <v>29.583333333333329</v>
      </c>
      <c r="AH40" s="179">
        <f t="shared" ca="1" si="46"/>
        <v>29.583333333333329</v>
      </c>
      <c r="AI40" s="179">
        <f t="shared" ca="1" si="47"/>
        <v>-30.416666666666671</v>
      </c>
      <c r="AJ40" s="179">
        <f t="shared" ca="1" si="48"/>
        <v>-30.416666666666671</v>
      </c>
      <c r="AK40" s="179">
        <f t="shared" ca="1" si="49"/>
        <v>19.583333333333329</v>
      </c>
      <c r="AL40" s="179">
        <f t="shared" ca="1" si="50"/>
        <v>-10.416666666666671</v>
      </c>
      <c r="AM40" s="179">
        <f t="shared" ca="1" si="51"/>
        <v>4.5833333333333286</v>
      </c>
      <c r="AN40" s="179">
        <f t="shared" ca="1" si="52"/>
        <v>-10.416666666666671</v>
      </c>
      <c r="AO40" s="179">
        <f t="shared" ca="1" si="27"/>
        <v>-5.4166666666666714</v>
      </c>
      <c r="AP40" s="179">
        <f t="shared" ca="1" si="28"/>
        <v>-5.4166666666666714</v>
      </c>
      <c r="AQ40" s="179">
        <f t="shared" ca="1" si="28"/>
        <v>-15.416666666666671</v>
      </c>
      <c r="AR40" s="179">
        <f t="shared" ca="1" si="29"/>
        <v>14.583333333333329</v>
      </c>
      <c r="AS40" s="179">
        <f t="shared" ca="1" si="30"/>
        <v>19.583333333333329</v>
      </c>
      <c r="AT40" s="179">
        <f t="shared" ca="1" si="31"/>
        <v>-25.416666666666671</v>
      </c>
      <c r="AU40" s="179">
        <f t="shared" ca="1" si="32"/>
        <v>9.5833333333333286</v>
      </c>
      <c r="AV40" s="179">
        <f t="shared" ca="1" si="33"/>
        <v>-20.416666666666671</v>
      </c>
      <c r="AW40" s="179">
        <f t="shared" ca="1" si="34"/>
        <v>-25.416666666666671</v>
      </c>
      <c r="AX40" s="179">
        <f t="shared" ca="1" si="35"/>
        <v>14.583333333333329</v>
      </c>
      <c r="AY40" s="179">
        <f t="shared" ca="1" si="36"/>
        <v>-15.416666666666671</v>
      </c>
      <c r="AZ40" s="179">
        <f t="shared" ca="1" si="37"/>
        <v>-5.4166666666666714</v>
      </c>
      <c r="BA40" s="179">
        <f t="shared" ca="1" si="38"/>
        <v>4.5833333333333286</v>
      </c>
    </row>
    <row r="41" spans="1:53">
      <c r="A41" s="173">
        <v>40</v>
      </c>
      <c r="B41" s="158" t="str">
        <f>VLOOKUP($A41,wedstrijden,6,0)&amp;"-"&amp;VLOOKUP($A41,wedstrijden,10,0)</f>
        <v>Costa Rica-Engeland</v>
      </c>
      <c r="C41" s="299">
        <f ca="1">IF(VLOOKUP($A41,INDIRECT(C$1&amp;loc_voorspell),15,0)&lt;&gt;"",VLOOKUP($A41,INDIRECT(C$1&amp;loc_voorspell),15,0)+C40,"")</f>
        <v>140</v>
      </c>
      <c r="D41" s="299">
        <f ca="1">IF(VLOOKUP($A41,INDIRECT(D$1&amp;loc_voorspell),15,0)&lt;&gt;"",VLOOKUP($A41,INDIRECT(D$1&amp;loc_voorspell),15,0)+D40,"")</f>
        <v>125</v>
      </c>
      <c r="E41" s="299">
        <f ca="1">IF(VLOOKUP($A41,INDIRECT(E$1&amp;loc_voorspell),15,0)&lt;&gt;"",VLOOKUP($A41,INDIRECT(E$1&amp;loc_voorspell),15,0)+E40,"")</f>
        <v>125</v>
      </c>
      <c r="F41" s="299">
        <f ca="1">IF(VLOOKUP($A41,INDIRECT(F$1&amp;loc_voorspell),15,0)&lt;&gt;"",VLOOKUP($A41,INDIRECT(F$1&amp;loc_voorspell),15,0)+F40,"")</f>
        <v>155</v>
      </c>
      <c r="G41" s="299">
        <f ca="1">IF(VLOOKUP($A41,INDIRECT(G$1&amp;loc_voorspell),15,0)&lt;&gt;"",VLOOKUP($A41,INDIRECT(G$1&amp;loc_voorspell),15,0)+G40,"")</f>
        <v>155</v>
      </c>
      <c r="H41" s="299">
        <f ca="1">IF(VLOOKUP($A41,INDIRECT(H$1&amp;loc_voorspell),15,0)&lt;&gt;"",VLOOKUP($A41,INDIRECT(H$1&amp;loc_voorspell),15,0)+H40,"")</f>
        <v>95</v>
      </c>
      <c r="I41" s="299">
        <f ca="1">IF(VLOOKUP($A41,INDIRECT(I$1&amp;loc_voorspell),15,0)&lt;&gt;"",VLOOKUP($A41,INDIRECT(I$1&amp;loc_voorspell),15,0)+I40,"")</f>
        <v>95</v>
      </c>
      <c r="J41" s="299">
        <f ca="1">IF(VLOOKUP($A41,INDIRECT(J$1&amp;loc_voorspell),15,0)&lt;&gt;"",VLOOKUP($A41,INDIRECT(J$1&amp;loc_voorspell),15,0)+J40,"")</f>
        <v>145</v>
      </c>
      <c r="K41" s="299">
        <f ca="1">IF(VLOOKUP($A41,INDIRECT(K$1&amp;loc_voorspell),15,0)&lt;&gt;"",VLOOKUP($A41,INDIRECT(K$1&amp;loc_voorspell),15,0)+K40,"")</f>
        <v>115</v>
      </c>
      <c r="L41" s="299">
        <f ca="1">IF(VLOOKUP($A41,INDIRECT(L$1&amp;loc_voorspell),15,0)&lt;&gt;"",VLOOKUP($A41,INDIRECT(L$1&amp;loc_voorspell),15,0)+L40,"")</f>
        <v>130</v>
      </c>
      <c r="M41" s="299">
        <f ca="1">IF(VLOOKUP($A41,INDIRECT(M$1&amp;loc_voorspell),15,0)&lt;&gt;"",VLOOKUP($A41,INDIRECT(M$1&amp;loc_voorspell),15,0)+M40,"")</f>
        <v>115</v>
      </c>
      <c r="N41" s="299">
        <f ca="1">IF(VLOOKUP($A41,INDIRECT(N$1&amp;loc_voorspell),15,0)&lt;&gt;"",VLOOKUP($A41,INDIRECT(N$1&amp;loc_voorspell),15,0)+N40,"")</f>
        <v>160</v>
      </c>
      <c r="O41" s="299">
        <f ca="1">IF(VLOOKUP($A41,INDIRECT(O$1&amp;loc_voorspell),15,0)&lt;&gt;"",VLOOKUP($A41,INDIRECT(O$1&amp;loc_voorspell),15,0)+O40,"")</f>
        <v>120</v>
      </c>
      <c r="P41" s="299">
        <f ca="1">IF(VLOOKUP($A41,INDIRECT(P$1&amp;loc_voorspell),15,0)&lt;&gt;"",VLOOKUP($A41,INDIRECT(P$1&amp;loc_voorspell),15,0)+P40,"")</f>
        <v>110</v>
      </c>
      <c r="Q41" s="299">
        <f ca="1">IF(VLOOKUP($A41,INDIRECT(Q$1&amp;loc_voorspell),15,0)&lt;&gt;"",VLOOKUP($A41,INDIRECT(Q$1&amp;loc_voorspell),15,0)+Q40,"")</f>
        <v>145</v>
      </c>
      <c r="R41" s="299">
        <f ca="1">IF(VLOOKUP($A41,INDIRECT(R$1&amp;loc_voorspell),15,0)&lt;&gt;"",VLOOKUP($A41,INDIRECT(R$1&amp;loc_voorspell),15,0)+R40,"")</f>
        <v>145</v>
      </c>
      <c r="S41" s="299">
        <f ca="1">IF(VLOOKUP($A41,INDIRECT(S$1&amp;loc_voorspell),15,0)&lt;&gt;"",VLOOKUP($A41,INDIRECT(S$1&amp;loc_voorspell),15,0)+S40,"")</f>
        <v>100</v>
      </c>
      <c r="T41" s="299">
        <f ca="1">IF(VLOOKUP($A41,INDIRECT(T$1&amp;loc_voorspell),15,0)&lt;&gt;"",VLOOKUP($A41,INDIRECT(T$1&amp;loc_voorspell),15,0)+T40,"")</f>
        <v>135</v>
      </c>
      <c r="U41" s="299">
        <f ca="1">IF(VLOOKUP($A41,INDIRECT(U$1&amp;loc_voorspell),15,0)&lt;&gt;"",VLOOKUP($A41,INDIRECT(U$1&amp;loc_voorspell),15,0)+U40,"")</f>
        <v>105</v>
      </c>
      <c r="V41" s="299">
        <f ca="1">IF(VLOOKUP($A41,INDIRECT(V$1&amp;loc_voorspell),15,0)&lt;&gt;"",VLOOKUP($A41,INDIRECT(V$1&amp;loc_voorspell),15,0)+V40,"")</f>
        <v>100</v>
      </c>
      <c r="W41" s="299">
        <f ca="1">IF(VLOOKUP($A41,INDIRECT(W$1&amp;loc_voorspell),15,0)&lt;&gt;"",VLOOKUP($A41,INDIRECT(W$1&amp;loc_voorspell),15,0)+W40,"")</f>
        <v>140</v>
      </c>
      <c r="X41" s="299">
        <f ca="1">IF(VLOOKUP($A41,INDIRECT(X$1&amp;loc_voorspell),15,0)&lt;&gt;"",VLOOKUP($A41,INDIRECT(X$1&amp;loc_voorspell),15,0)+X40,"")</f>
        <v>110</v>
      </c>
      <c r="Y41" s="299">
        <f ca="1">IF(VLOOKUP($A41,INDIRECT(Y$1&amp;loc_voorspell),15,0)&lt;&gt;"",VLOOKUP($A41,INDIRECT(Y$1&amp;loc_voorspell),15,0)+Y40,"")</f>
        <v>120</v>
      </c>
      <c r="Z41" s="299">
        <f ca="1">IF(VLOOKUP($A41,INDIRECT(Z$1&amp;loc_voorspell),15,0)&lt;&gt;"",VLOOKUP($A41,INDIRECT(Z$1&amp;loc_voorspell),15,0)+Z40,"")</f>
        <v>130</v>
      </c>
      <c r="AA41" s="165">
        <f t="shared" ca="1" si="39"/>
        <v>125.625</v>
      </c>
      <c r="AB41" s="178">
        <f t="shared" ca="1" si="41"/>
        <v>0.2083333333333286</v>
      </c>
      <c r="AC41" s="331" t="str">
        <f t="shared" si="40"/>
        <v>Costa Rica-Engeland</v>
      </c>
      <c r="AD41" s="179">
        <f t="shared" ca="1" si="42"/>
        <v>14.375</v>
      </c>
      <c r="AE41" s="179">
        <f t="shared" ca="1" si="43"/>
        <v>-0.625</v>
      </c>
      <c r="AF41" s="179">
        <f t="shared" ca="1" si="44"/>
        <v>-0.625</v>
      </c>
      <c r="AG41" s="179">
        <f t="shared" ca="1" si="45"/>
        <v>29.375</v>
      </c>
      <c r="AH41" s="179">
        <f t="shared" ca="1" si="46"/>
        <v>29.375</v>
      </c>
      <c r="AI41" s="179">
        <f t="shared" ca="1" si="47"/>
        <v>-30.625</v>
      </c>
      <c r="AJ41" s="179">
        <f t="shared" ca="1" si="48"/>
        <v>-30.625</v>
      </c>
      <c r="AK41" s="179">
        <f t="shared" ca="1" si="49"/>
        <v>19.375</v>
      </c>
      <c r="AL41" s="179">
        <f t="shared" ca="1" si="50"/>
        <v>-10.625</v>
      </c>
      <c r="AM41" s="179">
        <f t="shared" ca="1" si="51"/>
        <v>4.375</v>
      </c>
      <c r="AN41" s="179">
        <f t="shared" ca="1" si="52"/>
        <v>-10.625</v>
      </c>
      <c r="AO41" s="179">
        <f t="shared" ca="1" si="27"/>
        <v>-5.625</v>
      </c>
      <c r="AP41" s="179">
        <f t="shared" ca="1" si="28"/>
        <v>-5.625</v>
      </c>
      <c r="AQ41" s="179">
        <f t="shared" ca="1" si="28"/>
        <v>-15.625</v>
      </c>
      <c r="AR41" s="179">
        <f t="shared" ca="1" si="29"/>
        <v>19.375</v>
      </c>
      <c r="AS41" s="179">
        <f t="shared" ca="1" si="30"/>
        <v>19.375</v>
      </c>
      <c r="AT41" s="179">
        <f t="shared" ca="1" si="31"/>
        <v>-25.625</v>
      </c>
      <c r="AU41" s="179">
        <f t="shared" ca="1" si="32"/>
        <v>9.375</v>
      </c>
      <c r="AV41" s="179">
        <f t="shared" ca="1" si="33"/>
        <v>-20.625</v>
      </c>
      <c r="AW41" s="179">
        <f t="shared" ca="1" si="34"/>
        <v>-25.625</v>
      </c>
      <c r="AX41" s="179">
        <f t="shared" ca="1" si="35"/>
        <v>14.375</v>
      </c>
      <c r="AY41" s="179">
        <f t="shared" ca="1" si="36"/>
        <v>-15.625</v>
      </c>
      <c r="AZ41" s="179">
        <f t="shared" ca="1" si="37"/>
        <v>-5.625</v>
      </c>
      <c r="BA41" s="179">
        <f t="shared" ca="1" si="38"/>
        <v>4.375</v>
      </c>
    </row>
    <row r="42" spans="1:53">
      <c r="A42" s="180" t="str">
        <f>B42</f>
        <v>Boni</v>
      </c>
      <c r="B42" s="324" t="s">
        <v>366</v>
      </c>
      <c r="C42" s="165">
        <f ca="1">IF(C41="","",C41+IF(ISNA(MATCH(Invulblad!$S$35,INDIRECT(C$1&amp;"!$B$3:$B$10"),0)),0,10)+IF(ISNA(MATCH(Invulblad!$S$35,INDIRECT(C$1&amp;"!$D$3:$D$10"),0)),0,10)+IF(ISNA(MATCH(Invulblad!$S$36,INDIRECT(C$1&amp;"!$B$3:$B$10"),0)),0,10)+IF(ISNA(MATCH(Invulblad!$S$36,INDIRECT(C$1&amp;"!$D$3:$D$10"),0)),0,10))</f>
        <v>150</v>
      </c>
      <c r="D42" s="165">
        <f ca="1">IF(D41="","",D41+IF(ISNA(MATCH(Invulblad!$S$35,INDIRECT(D$1&amp;"!$B$3:$B$10"),0)),0,10)+IF(ISNA(MATCH(Invulblad!$S$35,INDIRECT(D$1&amp;"!$D$3:$D$10"),0)),0,10)+IF(ISNA(MATCH(Invulblad!$S$36,INDIRECT(D$1&amp;"!$B$3:$B$10"),0)),0,10)+IF(ISNA(MATCH(Invulblad!$S$36,INDIRECT(D$1&amp;"!$D$3:$D$10"),0)),0,10))</f>
        <v>135</v>
      </c>
      <c r="E42" s="165">
        <f ca="1">IF(E41="","",E41+IF(ISNA(MATCH(Invulblad!$S$35,INDIRECT(E$1&amp;"!$B$3:$B$10"),0)),0,10)+IF(ISNA(MATCH(Invulblad!$S$35,INDIRECT(E$1&amp;"!$D$3:$D$10"),0)),0,10)+IF(ISNA(MATCH(Invulblad!$S$36,INDIRECT(E$1&amp;"!$B$3:$B$10"),0)),0,10)+IF(ISNA(MATCH(Invulblad!$S$36,INDIRECT(E$1&amp;"!$D$3:$D$10"),0)),0,10))</f>
        <v>125</v>
      </c>
      <c r="F42" s="165">
        <f ca="1">IF(F41="","",F41+IF(ISNA(MATCH(Invulblad!$S$35,INDIRECT(F$1&amp;"!$B$3:$B$10"),0)),0,10)+IF(ISNA(MATCH(Invulblad!$S$35,INDIRECT(F$1&amp;"!$D$3:$D$10"),0)),0,10)+IF(ISNA(MATCH(Invulblad!$S$36,INDIRECT(F$1&amp;"!$B$3:$B$10"),0)),0,10)+IF(ISNA(MATCH(Invulblad!$S$36,INDIRECT(F$1&amp;"!$D$3:$D$10"),0)),0,10))</f>
        <v>165</v>
      </c>
      <c r="G42" s="165">
        <f ca="1">IF(G41="","",G41+IF(ISNA(MATCH(Invulblad!$S$35,INDIRECT(G$1&amp;"!$B$3:$B$10"),0)),0,10)+IF(ISNA(MATCH(Invulblad!$S$35,INDIRECT(G$1&amp;"!$D$3:$D$10"),0)),0,10)+IF(ISNA(MATCH(Invulblad!$S$36,INDIRECT(G$1&amp;"!$B$3:$B$10"),0)),0,10)+IF(ISNA(MATCH(Invulblad!$S$36,INDIRECT(G$1&amp;"!$D$3:$D$10"),0)),0,10))</f>
        <v>165</v>
      </c>
      <c r="H42" s="165">
        <f ca="1">IF(H41="","",H41+IF(ISNA(MATCH(Invulblad!$S$35,INDIRECT(H$1&amp;"!$B$3:$B$10"),0)),0,10)+IF(ISNA(MATCH(Invulblad!$S$35,INDIRECT(H$1&amp;"!$D$3:$D$10"),0)),0,10)+IF(ISNA(MATCH(Invulblad!$S$36,INDIRECT(H$1&amp;"!$B$3:$B$10"),0)),0,10)+IF(ISNA(MATCH(Invulblad!$S$36,INDIRECT(H$1&amp;"!$D$3:$D$10"),0)),0,10))</f>
        <v>95</v>
      </c>
      <c r="I42" s="165">
        <f ca="1">IF(I41="","",I41+IF(ISNA(MATCH(Invulblad!$S$35,INDIRECT(I$1&amp;"!$B$3:$B$10"),0)),0,10)+IF(ISNA(MATCH(Invulblad!$S$35,INDIRECT(I$1&amp;"!$D$3:$D$10"),0)),0,10)+IF(ISNA(MATCH(Invulblad!$S$36,INDIRECT(I$1&amp;"!$B$3:$B$10"),0)),0,10)+IF(ISNA(MATCH(Invulblad!$S$36,INDIRECT(I$1&amp;"!$D$3:$D$10"),0)),0,10))</f>
        <v>105</v>
      </c>
      <c r="J42" s="165">
        <f ca="1">IF(J41="","",J41+IF(ISNA(MATCH(Invulblad!$S$35,INDIRECT(J$1&amp;"!$B$3:$B$10"),0)),0,10)+IF(ISNA(MATCH(Invulblad!$S$35,INDIRECT(J$1&amp;"!$D$3:$D$10"),0)),0,10)+IF(ISNA(MATCH(Invulblad!$S$36,INDIRECT(J$1&amp;"!$B$3:$B$10"),0)),0,10)+IF(ISNA(MATCH(Invulblad!$S$36,INDIRECT(J$1&amp;"!$D$3:$D$10"),0)),0,10))</f>
        <v>155</v>
      </c>
      <c r="K42" s="165">
        <f ca="1">IF(K41="","",K41+IF(ISNA(MATCH(Invulblad!$S$35,INDIRECT(K$1&amp;"!$B$3:$B$10"),0)),0,10)+IF(ISNA(MATCH(Invulblad!$S$35,INDIRECT(K$1&amp;"!$D$3:$D$10"),0)),0,10)+IF(ISNA(MATCH(Invulblad!$S$36,INDIRECT(K$1&amp;"!$B$3:$B$10"),0)),0,10)+IF(ISNA(MATCH(Invulblad!$S$36,INDIRECT(K$1&amp;"!$D$3:$D$10"),0)),0,10))</f>
        <v>125</v>
      </c>
      <c r="L42" s="165">
        <f ca="1">IF(L41="","",L41+IF(ISNA(MATCH(Invulblad!$S$35,INDIRECT(L$1&amp;"!$B$3:$B$10"),0)),0,10)+IF(ISNA(MATCH(Invulblad!$S$35,INDIRECT(L$1&amp;"!$D$3:$D$10"),0)),0,10)+IF(ISNA(MATCH(Invulblad!$S$36,INDIRECT(L$1&amp;"!$B$3:$B$10"),0)),0,10)+IF(ISNA(MATCH(Invulblad!$S$36,INDIRECT(L$1&amp;"!$D$3:$D$10"),0)),0,10))</f>
        <v>140</v>
      </c>
      <c r="M42" s="165">
        <f ca="1">IF(M41="","",M41+IF(ISNA(MATCH(Invulblad!$S$35,INDIRECT(M$1&amp;"!$B$3:$B$10"),0)),0,10)+IF(ISNA(MATCH(Invulblad!$S$35,INDIRECT(M$1&amp;"!$D$3:$D$10"),0)),0,10)+IF(ISNA(MATCH(Invulblad!$S$36,INDIRECT(M$1&amp;"!$B$3:$B$10"),0)),0,10)+IF(ISNA(MATCH(Invulblad!$S$36,INDIRECT(M$1&amp;"!$D$3:$D$10"),0)),0,10))</f>
        <v>125</v>
      </c>
      <c r="N42" s="165">
        <f ca="1">IF(N41="","",N41+IF(ISNA(MATCH(Invulblad!$S$35,INDIRECT(N$1&amp;"!$B$3:$B$10"),0)),0,10)+IF(ISNA(MATCH(Invulblad!$S$35,INDIRECT(N$1&amp;"!$D$3:$D$10"),0)),0,10)+IF(ISNA(MATCH(Invulblad!$S$36,INDIRECT(N$1&amp;"!$B$3:$B$10"),0)),0,10)+IF(ISNA(MATCH(Invulblad!$S$36,INDIRECT(N$1&amp;"!$D$3:$D$10"),0)),0,10))</f>
        <v>170</v>
      </c>
      <c r="O42" s="165">
        <f ca="1">IF(O41="","",O41+IF(ISNA(MATCH(Invulblad!$S$35,INDIRECT(O$1&amp;"!$B$3:$B$10"),0)),0,10)+IF(ISNA(MATCH(Invulblad!$S$35,INDIRECT(O$1&amp;"!$D$3:$D$10"),0)),0,10)+IF(ISNA(MATCH(Invulblad!$S$36,INDIRECT(O$1&amp;"!$B$3:$B$10"),0)),0,10)+IF(ISNA(MATCH(Invulblad!$S$36,INDIRECT(O$1&amp;"!$D$3:$D$10"),0)),0,10))</f>
        <v>130</v>
      </c>
      <c r="P42" s="165">
        <f ca="1">IF(P41="","",P41+IF(ISNA(MATCH(Invulblad!$S$35,INDIRECT(P$1&amp;"!$B$3:$B$10"),0)),0,10)+IF(ISNA(MATCH(Invulblad!$S$35,INDIRECT(P$1&amp;"!$D$3:$D$10"),0)),0,10)+IF(ISNA(MATCH(Invulblad!$S$36,INDIRECT(P$1&amp;"!$B$3:$B$10"),0)),0,10)+IF(ISNA(MATCH(Invulblad!$S$36,INDIRECT(P$1&amp;"!$D$3:$D$10"),0)),0,10))</f>
        <v>120</v>
      </c>
      <c r="Q42" s="165">
        <f ca="1">IF(Q41="","",Q41+IF(ISNA(MATCH(Invulblad!$S$35,INDIRECT(Q$1&amp;"!$B$3:$B$10"),0)),0,10)+IF(ISNA(MATCH(Invulblad!$S$35,INDIRECT(Q$1&amp;"!$D$3:$D$10"),0)),0,10)+IF(ISNA(MATCH(Invulblad!$S$36,INDIRECT(Q$1&amp;"!$B$3:$B$10"),0)),0,10)+IF(ISNA(MATCH(Invulblad!$S$36,INDIRECT(Q$1&amp;"!$D$3:$D$10"),0)),0,10))</f>
        <v>155</v>
      </c>
      <c r="R42" s="165">
        <f ca="1">IF(R41="","",R41+IF(ISNA(MATCH(Invulblad!$S$35,INDIRECT(R$1&amp;"!$B$3:$B$10"),0)),0,10)+IF(ISNA(MATCH(Invulblad!$S$35,INDIRECT(R$1&amp;"!$D$3:$D$10"),0)),0,10)+IF(ISNA(MATCH(Invulblad!$S$36,INDIRECT(R$1&amp;"!$B$3:$B$10"),0)),0,10)+IF(ISNA(MATCH(Invulblad!$S$36,INDIRECT(R$1&amp;"!$D$3:$D$10"),0)),0,10))</f>
        <v>155</v>
      </c>
      <c r="S42" s="165">
        <f ca="1">IF(S41="","",S41+IF(ISNA(MATCH(Invulblad!$S$35,INDIRECT(S$1&amp;"!$B$3:$B$10"),0)),0,10)+IF(ISNA(MATCH(Invulblad!$S$35,INDIRECT(S$1&amp;"!$D$3:$D$10"),0)),0,10)+IF(ISNA(MATCH(Invulblad!$S$36,INDIRECT(S$1&amp;"!$B$3:$B$10"),0)),0,10)+IF(ISNA(MATCH(Invulblad!$S$36,INDIRECT(S$1&amp;"!$D$3:$D$10"),0)),0,10))</f>
        <v>100</v>
      </c>
      <c r="T42" s="165">
        <f ca="1">IF(T41="","",T41+IF(ISNA(MATCH(Invulblad!$S$35,INDIRECT(T$1&amp;"!$B$3:$B$10"),0)),0,10)+IF(ISNA(MATCH(Invulblad!$S$35,INDIRECT(T$1&amp;"!$D$3:$D$10"),0)),0,10)+IF(ISNA(MATCH(Invulblad!$S$36,INDIRECT(T$1&amp;"!$B$3:$B$10"),0)),0,10)+IF(ISNA(MATCH(Invulblad!$S$36,INDIRECT(T$1&amp;"!$D$3:$D$10"),0)),0,10))</f>
        <v>135</v>
      </c>
      <c r="U42" s="165">
        <f ca="1">IF(U41="","",U41+IF(ISNA(MATCH(Invulblad!$S$35,INDIRECT(U$1&amp;"!$B$3:$B$10"),0)),0,10)+IF(ISNA(MATCH(Invulblad!$S$35,INDIRECT(U$1&amp;"!$D$3:$D$10"),0)),0,10)+IF(ISNA(MATCH(Invulblad!$S$36,INDIRECT(U$1&amp;"!$B$3:$B$10"),0)),0,10)+IF(ISNA(MATCH(Invulblad!$S$36,INDIRECT(U$1&amp;"!$D$3:$D$10"),0)),0,10))</f>
        <v>105</v>
      </c>
      <c r="V42" s="165">
        <f ca="1">IF(V41="","",V41+IF(ISNA(MATCH(Invulblad!$S$35,INDIRECT(V$1&amp;"!$B$3:$B$10"),0)),0,10)+IF(ISNA(MATCH(Invulblad!$S$35,INDIRECT(V$1&amp;"!$D$3:$D$10"),0)),0,10)+IF(ISNA(MATCH(Invulblad!$S$36,INDIRECT(V$1&amp;"!$B$3:$B$10"),0)),0,10)+IF(ISNA(MATCH(Invulblad!$S$36,INDIRECT(V$1&amp;"!$D$3:$D$10"),0)),0,10))</f>
        <v>110</v>
      </c>
      <c r="W42" s="165">
        <f ca="1">IF(W41="","",W41+IF(ISNA(MATCH(Invulblad!$S$35,INDIRECT(W$1&amp;"!$B$3:$B$10"),0)),0,10)+IF(ISNA(MATCH(Invulblad!$S$35,INDIRECT(W$1&amp;"!$D$3:$D$10"),0)),0,10)+IF(ISNA(MATCH(Invulblad!$S$36,INDIRECT(W$1&amp;"!$B$3:$B$10"),0)),0,10)+IF(ISNA(MATCH(Invulblad!$S$36,INDIRECT(W$1&amp;"!$D$3:$D$10"),0)),0,10))</f>
        <v>150</v>
      </c>
      <c r="X42" s="165">
        <f ca="1">IF(X41="","",X41+IF(ISNA(MATCH(Invulblad!$S$35,INDIRECT(X$1&amp;"!$B$3:$B$10"),0)),0,10)+IF(ISNA(MATCH(Invulblad!$S$35,INDIRECT(X$1&amp;"!$D$3:$D$10"),0)),0,10)+IF(ISNA(MATCH(Invulblad!$S$36,INDIRECT(X$1&amp;"!$B$3:$B$10"),0)),0,10)+IF(ISNA(MATCH(Invulblad!$S$36,INDIRECT(X$1&amp;"!$D$3:$D$10"),0)),0,10))</f>
        <v>110</v>
      </c>
      <c r="Y42" s="165">
        <f ca="1">IF(Y41="","",Y41+IF(ISNA(MATCH(Invulblad!$S$35,INDIRECT(Y$1&amp;"!$B$3:$B$10"),0)),0,10)+IF(ISNA(MATCH(Invulblad!$S$35,INDIRECT(Y$1&amp;"!$D$3:$D$10"),0)),0,10)+IF(ISNA(MATCH(Invulblad!$S$36,INDIRECT(Y$1&amp;"!$B$3:$B$10"),0)),0,10)+IF(ISNA(MATCH(Invulblad!$S$36,INDIRECT(Y$1&amp;"!$D$3:$D$10"),0)),0,10))</f>
        <v>130</v>
      </c>
      <c r="Z42" s="165">
        <f ca="1">IF(Z41="","",Z41+IF(ISNA(MATCH(Invulblad!$S$35,INDIRECT(Z$1&amp;"!$B$3:$B$10"),0)),0,10)+IF(ISNA(MATCH(Invulblad!$S$35,INDIRECT(Z$1&amp;"!$D$3:$D$10"),0)),0,10)+IF(ISNA(MATCH(Invulblad!$S$36,INDIRECT(Z$1&amp;"!$B$3:$B$10"),0)),0,10)+IF(ISNA(MATCH(Invulblad!$S$36,INDIRECT(Z$1&amp;"!$D$3:$D$10"),0)),0,10))</f>
        <v>140</v>
      </c>
      <c r="AA42" s="165">
        <f t="shared" ca="1" si="39"/>
        <v>133.125</v>
      </c>
      <c r="AB42" s="178">
        <f t="shared" ca="1" si="41"/>
        <v>7.5</v>
      </c>
      <c r="AC42" s="331" t="str">
        <f t="shared" si="40"/>
        <v>Boni</v>
      </c>
      <c r="AD42" s="179">
        <f t="shared" ca="1" si="42"/>
        <v>16.875</v>
      </c>
      <c r="AE42" s="179">
        <f t="shared" ca="1" si="43"/>
        <v>1.875</v>
      </c>
      <c r="AF42" s="179">
        <f t="shared" ca="1" si="44"/>
        <v>-8.125</v>
      </c>
      <c r="AG42" s="179">
        <f t="shared" ca="1" si="45"/>
        <v>31.875</v>
      </c>
      <c r="AH42" s="179">
        <f t="shared" ca="1" si="46"/>
        <v>31.875</v>
      </c>
      <c r="AI42" s="179">
        <f t="shared" ca="1" si="47"/>
        <v>-38.125</v>
      </c>
      <c r="AJ42" s="179">
        <f t="shared" ca="1" si="48"/>
        <v>-28.125</v>
      </c>
      <c r="AK42" s="179">
        <f t="shared" ca="1" si="49"/>
        <v>21.875</v>
      </c>
      <c r="AL42" s="179">
        <f t="shared" ca="1" si="50"/>
        <v>-8.125</v>
      </c>
      <c r="AM42" s="179">
        <f t="shared" ca="1" si="51"/>
        <v>6.875</v>
      </c>
      <c r="AN42" s="179">
        <f t="shared" ca="1" si="52"/>
        <v>-8.125</v>
      </c>
      <c r="AO42" s="179">
        <f t="shared" ca="1" si="27"/>
        <v>-3.125</v>
      </c>
      <c r="AP42" s="179">
        <f t="shared" ca="1" si="28"/>
        <v>-3.125</v>
      </c>
      <c r="AQ42" s="179">
        <f t="shared" ca="1" si="28"/>
        <v>-13.125</v>
      </c>
      <c r="AR42" s="179">
        <f t="shared" ca="1" si="29"/>
        <v>21.875</v>
      </c>
      <c r="AS42" s="179">
        <f t="shared" ca="1" si="30"/>
        <v>21.875</v>
      </c>
      <c r="AT42" s="179">
        <f t="shared" ca="1" si="31"/>
        <v>-33.125</v>
      </c>
      <c r="AU42" s="179">
        <f t="shared" ca="1" si="32"/>
        <v>1.875</v>
      </c>
      <c r="AV42" s="179">
        <f t="shared" ca="1" si="33"/>
        <v>-28.125</v>
      </c>
      <c r="AW42" s="179">
        <f t="shared" ca="1" si="34"/>
        <v>-23.125</v>
      </c>
      <c r="AX42" s="179">
        <f t="shared" ca="1" si="35"/>
        <v>16.875</v>
      </c>
      <c r="AY42" s="179">
        <f t="shared" ca="1" si="36"/>
        <v>-23.125</v>
      </c>
      <c r="AZ42" s="179">
        <f t="shared" ca="1" si="37"/>
        <v>-3.125</v>
      </c>
      <c r="BA42" s="179">
        <f t="shared" ca="1" si="38"/>
        <v>6.875</v>
      </c>
    </row>
    <row r="43" spans="1:53">
      <c r="A43" s="173">
        <v>37</v>
      </c>
      <c r="B43" s="157" t="str">
        <f>VLOOKUP($A43,wedstrijden,6,0)&amp;"-"&amp;VLOOKUP($A43,wedstrijden,10,0)</f>
        <v>Japan-Colombia</v>
      </c>
      <c r="C43" s="298">
        <f ca="1">IF(VLOOKUP($A43,INDIRECT(C$1&amp;loc_voorspell),15,0)&lt;&gt;"",VLOOKUP($A43,INDIRECT(C$1&amp;loc_voorspell),15,0)+C42,"")</f>
        <v>150</v>
      </c>
      <c r="D43" s="298">
        <f ca="1">IF(VLOOKUP($A43,INDIRECT(D$1&amp;loc_voorspell),15,0)&lt;&gt;"",VLOOKUP($A43,INDIRECT(D$1&amp;loc_voorspell),15,0)+D42,"")</f>
        <v>135</v>
      </c>
      <c r="E43" s="298">
        <f ca="1">IF(VLOOKUP($A43,INDIRECT(E$1&amp;loc_voorspell),15,0)&lt;&gt;"",VLOOKUP($A43,INDIRECT(E$1&amp;loc_voorspell),15,0)+E42,"")</f>
        <v>125</v>
      </c>
      <c r="F43" s="298">
        <f ca="1">IF(VLOOKUP($A43,INDIRECT(F$1&amp;loc_voorspell),15,0)&lt;&gt;"",VLOOKUP($A43,INDIRECT(F$1&amp;loc_voorspell),15,0)+F42,"")</f>
        <v>170</v>
      </c>
      <c r="G43" s="298">
        <f ca="1">IF(VLOOKUP($A43,INDIRECT(G$1&amp;loc_voorspell),15,0)&lt;&gt;"",VLOOKUP($A43,INDIRECT(G$1&amp;loc_voorspell),15,0)+G42,"")</f>
        <v>170</v>
      </c>
      <c r="H43" s="298">
        <f ca="1">IF(VLOOKUP($A43,INDIRECT(H$1&amp;loc_voorspell),15,0)&lt;&gt;"",VLOOKUP($A43,INDIRECT(H$1&amp;loc_voorspell),15,0)+H42,"")</f>
        <v>100</v>
      </c>
      <c r="I43" s="298">
        <f ca="1">IF(VLOOKUP($A43,INDIRECT(I$1&amp;loc_voorspell),15,0)&lt;&gt;"",VLOOKUP($A43,INDIRECT(I$1&amp;loc_voorspell),15,0)+I42,"")</f>
        <v>110</v>
      </c>
      <c r="J43" s="298">
        <f ca="1">IF(VLOOKUP($A43,INDIRECT(J$1&amp;loc_voorspell),15,0)&lt;&gt;"",VLOOKUP($A43,INDIRECT(J$1&amp;loc_voorspell),15,0)+J42,"")</f>
        <v>160</v>
      </c>
      <c r="K43" s="298">
        <f ca="1">IF(VLOOKUP($A43,INDIRECT(K$1&amp;loc_voorspell),15,0)&lt;&gt;"",VLOOKUP($A43,INDIRECT(K$1&amp;loc_voorspell),15,0)+K42,"")</f>
        <v>130</v>
      </c>
      <c r="L43" s="298">
        <f ca="1">IF(VLOOKUP($A43,INDIRECT(L$1&amp;loc_voorspell),15,0)&lt;&gt;"",VLOOKUP($A43,INDIRECT(L$1&amp;loc_voorspell),15,0)+L42,"")</f>
        <v>145</v>
      </c>
      <c r="M43" s="298">
        <f ca="1">IF(VLOOKUP($A43,INDIRECT(M$1&amp;loc_voorspell),15,0)&lt;&gt;"",VLOOKUP($A43,INDIRECT(M$1&amp;loc_voorspell),15,0)+M42,"")</f>
        <v>125</v>
      </c>
      <c r="N43" s="298">
        <f ca="1">IF(VLOOKUP($A43,INDIRECT(N$1&amp;loc_voorspell),15,0)&lt;&gt;"",VLOOKUP($A43,INDIRECT(N$1&amp;loc_voorspell),15,0)+N42,"")</f>
        <v>175</v>
      </c>
      <c r="O43" s="298">
        <f ca="1">IF(VLOOKUP($A43,INDIRECT(O$1&amp;loc_voorspell),15,0)&lt;&gt;"",VLOOKUP($A43,INDIRECT(O$1&amp;loc_voorspell),15,0)+O42,"")</f>
        <v>130</v>
      </c>
      <c r="P43" s="298">
        <f ca="1">IF(VLOOKUP($A43,INDIRECT(P$1&amp;loc_voorspell),15,0)&lt;&gt;"",VLOOKUP($A43,INDIRECT(P$1&amp;loc_voorspell),15,0)+P42,"")</f>
        <v>120</v>
      </c>
      <c r="Q43" s="298">
        <f ca="1">IF(VLOOKUP($A43,INDIRECT(Q$1&amp;loc_voorspell),15,0)&lt;&gt;"",VLOOKUP($A43,INDIRECT(Q$1&amp;loc_voorspell),15,0)+Q42,"")</f>
        <v>160</v>
      </c>
      <c r="R43" s="298">
        <f ca="1">IF(VLOOKUP($A43,INDIRECT(R$1&amp;loc_voorspell),15,0)&lt;&gt;"",VLOOKUP($A43,INDIRECT(R$1&amp;loc_voorspell),15,0)+R42,"")</f>
        <v>160</v>
      </c>
      <c r="S43" s="298">
        <f ca="1">IF(VLOOKUP($A43,INDIRECT(S$1&amp;loc_voorspell),15,0)&lt;&gt;"",VLOOKUP($A43,INDIRECT(S$1&amp;loc_voorspell),15,0)+S42,"")</f>
        <v>105</v>
      </c>
      <c r="T43" s="298">
        <f ca="1">IF(VLOOKUP($A43,INDIRECT(T$1&amp;loc_voorspell),15,0)&lt;&gt;"",VLOOKUP($A43,INDIRECT(T$1&amp;loc_voorspell),15,0)+T42,"")</f>
        <v>135</v>
      </c>
      <c r="U43" s="298">
        <f ca="1">IF(VLOOKUP($A43,INDIRECT(U$1&amp;loc_voorspell),15,0)&lt;&gt;"",VLOOKUP($A43,INDIRECT(U$1&amp;loc_voorspell),15,0)+U42,"")</f>
        <v>105</v>
      </c>
      <c r="V43" s="298">
        <f ca="1">IF(VLOOKUP($A43,INDIRECT(V$1&amp;loc_voorspell),15,0)&lt;&gt;"",VLOOKUP($A43,INDIRECT(V$1&amp;loc_voorspell),15,0)+V42,"")</f>
        <v>110</v>
      </c>
      <c r="W43" s="298">
        <f ca="1">IF(VLOOKUP($A43,INDIRECT(W$1&amp;loc_voorspell),15,0)&lt;&gt;"",VLOOKUP($A43,INDIRECT(W$1&amp;loc_voorspell),15,0)+W42,"")</f>
        <v>155</v>
      </c>
      <c r="X43" s="298">
        <f ca="1">IF(VLOOKUP($A43,INDIRECT(X$1&amp;loc_voorspell),15,0)&lt;&gt;"",VLOOKUP($A43,INDIRECT(X$1&amp;loc_voorspell),15,0)+X42,"")</f>
        <v>110</v>
      </c>
      <c r="Y43" s="298">
        <f ca="1">IF(VLOOKUP($A43,INDIRECT(Y$1&amp;loc_voorspell),15,0)&lt;&gt;"",VLOOKUP($A43,INDIRECT(Y$1&amp;loc_voorspell),15,0)+Y42,"")</f>
        <v>135</v>
      </c>
      <c r="Z43" s="298">
        <f ca="1">IF(VLOOKUP($A43,INDIRECT(Z$1&amp;loc_voorspell),15,0)&lt;&gt;"",VLOOKUP($A43,INDIRECT(Z$1&amp;loc_voorspell),15,0)+Z42,"")</f>
        <v>140</v>
      </c>
      <c r="AA43" s="165">
        <f t="shared" ca="1" si="39"/>
        <v>135.83333333333334</v>
      </c>
      <c r="AB43" s="178">
        <f t="shared" ca="1" si="41"/>
        <v>2.7083333333333428</v>
      </c>
      <c r="AC43" s="331" t="str">
        <f t="shared" si="40"/>
        <v>Japan-Colombia</v>
      </c>
      <c r="AD43" s="179">
        <f t="shared" ca="1" si="42"/>
        <v>14.166666666666657</v>
      </c>
      <c r="AE43" s="179">
        <f t="shared" ca="1" si="43"/>
        <v>-0.83333333333334281</v>
      </c>
      <c r="AF43" s="179">
        <f t="shared" ca="1" si="44"/>
        <v>-10.833333333333343</v>
      </c>
      <c r="AG43" s="179">
        <f t="shared" ca="1" si="45"/>
        <v>34.166666666666657</v>
      </c>
      <c r="AH43" s="179">
        <f t="shared" ca="1" si="46"/>
        <v>34.166666666666657</v>
      </c>
      <c r="AI43" s="179">
        <f t="shared" ca="1" si="47"/>
        <v>-35.833333333333343</v>
      </c>
      <c r="AJ43" s="179">
        <f t="shared" ca="1" si="48"/>
        <v>-25.833333333333343</v>
      </c>
      <c r="AK43" s="179">
        <f t="shared" ca="1" si="49"/>
        <v>24.166666666666657</v>
      </c>
      <c r="AL43" s="179">
        <f t="shared" ca="1" si="50"/>
        <v>-5.8333333333333428</v>
      </c>
      <c r="AM43" s="179">
        <f t="shared" ca="1" si="51"/>
        <v>9.1666666666666572</v>
      </c>
      <c r="AN43" s="179">
        <f t="shared" ca="1" si="52"/>
        <v>-10.833333333333343</v>
      </c>
      <c r="AO43" s="179">
        <f t="shared" ca="1" si="27"/>
        <v>-5.8333333333333428</v>
      </c>
      <c r="AP43" s="179">
        <f t="shared" ca="1" si="28"/>
        <v>-5.8333333333333428</v>
      </c>
      <c r="AQ43" s="179">
        <f t="shared" ca="1" si="28"/>
        <v>-15.833333333333343</v>
      </c>
      <c r="AR43" s="179">
        <f t="shared" ca="1" si="29"/>
        <v>24.166666666666657</v>
      </c>
      <c r="AS43" s="179">
        <f t="shared" ca="1" si="30"/>
        <v>24.166666666666657</v>
      </c>
      <c r="AT43" s="179">
        <f t="shared" ca="1" si="31"/>
        <v>-30.833333333333343</v>
      </c>
      <c r="AU43" s="179">
        <f t="shared" ca="1" si="32"/>
        <v>-0.83333333333334281</v>
      </c>
      <c r="AV43" s="179">
        <f t="shared" ca="1" si="33"/>
        <v>-30.833333333333343</v>
      </c>
      <c r="AW43" s="179">
        <f t="shared" ca="1" si="34"/>
        <v>-25.833333333333343</v>
      </c>
      <c r="AX43" s="179">
        <f t="shared" ca="1" si="35"/>
        <v>19.166666666666657</v>
      </c>
      <c r="AY43" s="179">
        <f t="shared" ca="1" si="36"/>
        <v>-25.833333333333343</v>
      </c>
      <c r="AZ43" s="179">
        <f t="shared" ca="1" si="37"/>
        <v>-0.83333333333334281</v>
      </c>
      <c r="BA43" s="179">
        <f t="shared" ca="1" si="38"/>
        <v>4.1666666666666572</v>
      </c>
    </row>
    <row r="44" spans="1:53">
      <c r="A44" s="173">
        <v>38</v>
      </c>
      <c r="B44" s="158" t="str">
        <f>VLOOKUP($A44,wedstrijden,6,0)&amp;"-"&amp;VLOOKUP($A44,wedstrijden,10,0)</f>
        <v>Griekenland-Ivoorkust</v>
      </c>
      <c r="C44" s="299">
        <f ca="1">IF(VLOOKUP($A44,INDIRECT(C$1&amp;loc_voorspell),15,0)&lt;&gt;"",VLOOKUP($A44,INDIRECT(C$1&amp;loc_voorspell),15,0)+C43,"")</f>
        <v>150</v>
      </c>
      <c r="D44" s="299">
        <f ca="1">IF(VLOOKUP($A44,INDIRECT(D$1&amp;loc_voorspell),15,0)&lt;&gt;"",VLOOKUP($A44,INDIRECT(D$1&amp;loc_voorspell),15,0)+D43,"")</f>
        <v>135</v>
      </c>
      <c r="E44" s="299">
        <f ca="1">IF(VLOOKUP($A44,INDIRECT(E$1&amp;loc_voorspell),15,0)&lt;&gt;"",VLOOKUP($A44,INDIRECT(E$1&amp;loc_voorspell),15,0)+E43,"")</f>
        <v>130</v>
      </c>
      <c r="F44" s="299">
        <f ca="1">IF(VLOOKUP($A44,INDIRECT(F$1&amp;loc_voorspell),15,0)&lt;&gt;"",VLOOKUP($A44,INDIRECT(F$1&amp;loc_voorspell),15,0)+F43,"")</f>
        <v>170</v>
      </c>
      <c r="G44" s="299">
        <f ca="1">IF(VLOOKUP($A44,INDIRECT(G$1&amp;loc_voorspell),15,0)&lt;&gt;"",VLOOKUP($A44,INDIRECT(G$1&amp;loc_voorspell),15,0)+G43,"")</f>
        <v>170</v>
      </c>
      <c r="H44" s="299">
        <f ca="1">IF(VLOOKUP($A44,INDIRECT(H$1&amp;loc_voorspell),15,0)&lt;&gt;"",VLOOKUP($A44,INDIRECT(H$1&amp;loc_voorspell),15,0)+H43,"")</f>
        <v>100</v>
      </c>
      <c r="I44" s="299">
        <f ca="1">IF(VLOOKUP($A44,INDIRECT(I$1&amp;loc_voorspell),15,0)&lt;&gt;"",VLOOKUP($A44,INDIRECT(I$1&amp;loc_voorspell),15,0)+I43,"")</f>
        <v>110</v>
      </c>
      <c r="J44" s="299">
        <f ca="1">IF(VLOOKUP($A44,INDIRECT(J$1&amp;loc_voorspell),15,0)&lt;&gt;"",VLOOKUP($A44,INDIRECT(J$1&amp;loc_voorspell),15,0)+J43,"")</f>
        <v>165</v>
      </c>
      <c r="K44" s="299">
        <f ca="1">IF(VLOOKUP($A44,INDIRECT(K$1&amp;loc_voorspell),15,0)&lt;&gt;"",VLOOKUP($A44,INDIRECT(K$1&amp;loc_voorspell),15,0)+K43,"")</f>
        <v>130</v>
      </c>
      <c r="L44" s="299">
        <f ca="1">IF(VLOOKUP($A44,INDIRECT(L$1&amp;loc_voorspell),15,0)&lt;&gt;"",VLOOKUP($A44,INDIRECT(L$1&amp;loc_voorspell),15,0)+L43,"")</f>
        <v>145</v>
      </c>
      <c r="M44" s="299">
        <f ca="1">IF(VLOOKUP($A44,INDIRECT(M$1&amp;loc_voorspell),15,0)&lt;&gt;"",VLOOKUP($A44,INDIRECT(M$1&amp;loc_voorspell),15,0)+M43,"")</f>
        <v>130</v>
      </c>
      <c r="N44" s="299">
        <f ca="1">IF(VLOOKUP($A44,INDIRECT(N$1&amp;loc_voorspell),15,0)&lt;&gt;"",VLOOKUP($A44,INDIRECT(N$1&amp;loc_voorspell),15,0)+N43,"")</f>
        <v>175</v>
      </c>
      <c r="O44" s="299">
        <f ca="1">IF(VLOOKUP($A44,INDIRECT(O$1&amp;loc_voorspell),15,0)&lt;&gt;"",VLOOKUP($A44,INDIRECT(O$1&amp;loc_voorspell),15,0)+O43,"")</f>
        <v>130</v>
      </c>
      <c r="P44" s="299">
        <f ca="1">IF(VLOOKUP($A44,INDIRECT(P$1&amp;loc_voorspell),15,0)&lt;&gt;"",VLOOKUP($A44,INDIRECT(P$1&amp;loc_voorspell),15,0)+P43,"")</f>
        <v>120</v>
      </c>
      <c r="Q44" s="299">
        <f ca="1">IF(VLOOKUP($A44,INDIRECT(Q$1&amp;loc_voorspell),15,0)&lt;&gt;"",VLOOKUP($A44,INDIRECT(Q$1&amp;loc_voorspell),15,0)+Q43,"")</f>
        <v>165</v>
      </c>
      <c r="R44" s="299">
        <f ca="1">IF(VLOOKUP($A44,INDIRECT(R$1&amp;loc_voorspell),15,0)&lt;&gt;"",VLOOKUP($A44,INDIRECT(R$1&amp;loc_voorspell),15,0)+R43,"")</f>
        <v>160</v>
      </c>
      <c r="S44" s="299">
        <f ca="1">IF(VLOOKUP($A44,INDIRECT(S$1&amp;loc_voorspell),15,0)&lt;&gt;"",VLOOKUP($A44,INDIRECT(S$1&amp;loc_voorspell),15,0)+S43,"")</f>
        <v>115</v>
      </c>
      <c r="T44" s="299">
        <f ca="1">IF(VLOOKUP($A44,INDIRECT(T$1&amp;loc_voorspell),15,0)&lt;&gt;"",VLOOKUP($A44,INDIRECT(T$1&amp;loc_voorspell),15,0)+T43,"")</f>
        <v>135</v>
      </c>
      <c r="U44" s="299">
        <f ca="1">IF(VLOOKUP($A44,INDIRECT(U$1&amp;loc_voorspell),15,0)&lt;&gt;"",VLOOKUP($A44,INDIRECT(U$1&amp;loc_voorspell),15,0)+U43,"")</f>
        <v>110</v>
      </c>
      <c r="V44" s="299">
        <f ca="1">IF(VLOOKUP($A44,INDIRECT(V$1&amp;loc_voorspell),15,0)&lt;&gt;"",VLOOKUP($A44,INDIRECT(V$1&amp;loc_voorspell),15,0)+V43,"")</f>
        <v>110</v>
      </c>
      <c r="W44" s="299">
        <f ca="1">IF(VLOOKUP($A44,INDIRECT(W$1&amp;loc_voorspell),15,0)&lt;&gt;"",VLOOKUP($A44,INDIRECT(W$1&amp;loc_voorspell),15,0)+W43,"")</f>
        <v>155</v>
      </c>
      <c r="X44" s="299">
        <f ca="1">IF(VLOOKUP($A44,INDIRECT(X$1&amp;loc_voorspell),15,0)&lt;&gt;"",VLOOKUP($A44,INDIRECT(X$1&amp;loc_voorspell),15,0)+X43,"")</f>
        <v>110</v>
      </c>
      <c r="Y44" s="299">
        <f ca="1">IF(VLOOKUP($A44,INDIRECT(Y$1&amp;loc_voorspell),15,0)&lt;&gt;"",VLOOKUP($A44,INDIRECT(Y$1&amp;loc_voorspell),15,0)+Y43,"")</f>
        <v>135</v>
      </c>
      <c r="Z44" s="299">
        <f ca="1">IF(VLOOKUP($A44,INDIRECT(Z$1&amp;loc_voorspell),15,0)&lt;&gt;"",VLOOKUP($A44,INDIRECT(Z$1&amp;loc_voorspell),15,0)+Z43,"")</f>
        <v>140</v>
      </c>
      <c r="AA44" s="165">
        <f t="shared" ca="1" si="39"/>
        <v>137.29166666666666</v>
      </c>
      <c r="AB44" s="178">
        <f t="shared" ca="1" si="41"/>
        <v>1.4583333333333144</v>
      </c>
      <c r="AC44" s="331" t="str">
        <f t="shared" si="40"/>
        <v>Griekenland-Ivoorkust</v>
      </c>
      <c r="AD44" s="179">
        <f t="shared" ca="1" si="42"/>
        <v>12.708333333333343</v>
      </c>
      <c r="AE44" s="179">
        <f t="shared" ca="1" si="43"/>
        <v>-2.2916666666666572</v>
      </c>
      <c r="AF44" s="179">
        <f t="shared" ca="1" si="44"/>
        <v>-7.2916666666666572</v>
      </c>
      <c r="AG44" s="179">
        <f t="shared" ca="1" si="45"/>
        <v>32.708333333333343</v>
      </c>
      <c r="AH44" s="179">
        <f t="shared" ca="1" si="46"/>
        <v>32.708333333333343</v>
      </c>
      <c r="AI44" s="179">
        <f t="shared" ca="1" si="47"/>
        <v>-37.291666666666657</v>
      </c>
      <c r="AJ44" s="179">
        <f t="shared" ca="1" si="48"/>
        <v>-27.291666666666657</v>
      </c>
      <c r="AK44" s="179">
        <f t="shared" ca="1" si="49"/>
        <v>27.708333333333343</v>
      </c>
      <c r="AL44" s="179">
        <f t="shared" ca="1" si="50"/>
        <v>-7.2916666666666572</v>
      </c>
      <c r="AM44" s="179">
        <f t="shared" ca="1" si="51"/>
        <v>7.7083333333333428</v>
      </c>
      <c r="AN44" s="179">
        <f t="shared" ca="1" si="52"/>
        <v>-7.2916666666666572</v>
      </c>
      <c r="AO44" s="179">
        <f t="shared" ca="1" si="27"/>
        <v>-7.2916666666666572</v>
      </c>
      <c r="AP44" s="179">
        <f t="shared" ca="1" si="28"/>
        <v>-7.2916666666666572</v>
      </c>
      <c r="AQ44" s="179">
        <f t="shared" ca="1" si="28"/>
        <v>-17.291666666666657</v>
      </c>
      <c r="AR44" s="179">
        <f t="shared" ca="1" si="29"/>
        <v>27.708333333333343</v>
      </c>
      <c r="AS44" s="179">
        <f t="shared" ca="1" si="30"/>
        <v>22.708333333333343</v>
      </c>
      <c r="AT44" s="179">
        <f t="shared" ca="1" si="31"/>
        <v>-22.291666666666657</v>
      </c>
      <c r="AU44" s="179">
        <f t="shared" ca="1" si="32"/>
        <v>-2.2916666666666572</v>
      </c>
      <c r="AV44" s="179">
        <f t="shared" ca="1" si="33"/>
        <v>-27.291666666666657</v>
      </c>
      <c r="AW44" s="179">
        <f t="shared" ca="1" si="34"/>
        <v>-27.291666666666657</v>
      </c>
      <c r="AX44" s="179">
        <f t="shared" ca="1" si="35"/>
        <v>17.708333333333343</v>
      </c>
      <c r="AY44" s="179">
        <f t="shared" ca="1" si="36"/>
        <v>-27.291666666666657</v>
      </c>
      <c r="AZ44" s="179">
        <f t="shared" ca="1" si="37"/>
        <v>-2.2916666666666572</v>
      </c>
      <c r="BA44" s="179">
        <f t="shared" ca="1" si="38"/>
        <v>2.7083333333333428</v>
      </c>
    </row>
    <row r="45" spans="1:53">
      <c r="A45" s="180" t="str">
        <f>B45</f>
        <v>Boni</v>
      </c>
      <c r="B45" s="324" t="s">
        <v>366</v>
      </c>
      <c r="C45" s="165">
        <f ca="1">IF(C44="","",C44+IF(ISNA(MATCH(Invulblad!$S$27,INDIRECT(C$1&amp;"!$B$3:$B$10"),0)),0,10)+IF(ISNA(MATCH(Invulblad!$S$27,INDIRECT(C$1&amp;"!$D$3:$D$10"),0)),0,10)+IF(ISNA(MATCH(Invulblad!$S$28,INDIRECT(C$1&amp;"!$B$3:$B$10"),0)),0,10)+IF(ISNA(MATCH(Invulblad!$S$28,INDIRECT(C$1&amp;"!$D$3:$D$10"),0)),0,10))</f>
        <v>150</v>
      </c>
      <c r="D45" s="165">
        <f ca="1">IF(D44="","",D44+IF(ISNA(MATCH(Invulblad!$S$27,INDIRECT(D$1&amp;"!$B$3:$B$10"),0)),0,10)+IF(ISNA(MATCH(Invulblad!$S$27,INDIRECT(D$1&amp;"!$D$3:$D$10"),0)),0,10)+IF(ISNA(MATCH(Invulblad!$S$28,INDIRECT(D$1&amp;"!$B$3:$B$10"),0)),0,10)+IF(ISNA(MATCH(Invulblad!$S$28,INDIRECT(D$1&amp;"!$D$3:$D$10"),0)),0,10))</f>
        <v>145</v>
      </c>
      <c r="E45" s="165">
        <f ca="1">IF(E44="","",E44+IF(ISNA(MATCH(Invulblad!$S$27,INDIRECT(E$1&amp;"!$B$3:$B$10"),0)),0,10)+IF(ISNA(MATCH(Invulblad!$S$27,INDIRECT(E$1&amp;"!$D$3:$D$10"),0)),0,10)+IF(ISNA(MATCH(Invulblad!$S$28,INDIRECT(E$1&amp;"!$B$3:$B$10"),0)),0,10)+IF(ISNA(MATCH(Invulblad!$S$28,INDIRECT(E$1&amp;"!$D$3:$D$10"),0)),0,10))</f>
        <v>140</v>
      </c>
      <c r="F45" s="165">
        <f ca="1">IF(F44="","",F44+IF(ISNA(MATCH(Invulblad!$S$27,INDIRECT(F$1&amp;"!$B$3:$B$10"),0)),0,10)+IF(ISNA(MATCH(Invulblad!$S$27,INDIRECT(F$1&amp;"!$D$3:$D$10"),0)),0,10)+IF(ISNA(MATCH(Invulblad!$S$28,INDIRECT(F$1&amp;"!$B$3:$B$10"),0)),0,10)+IF(ISNA(MATCH(Invulblad!$S$28,INDIRECT(F$1&amp;"!$D$3:$D$10"),0)),0,10))</f>
        <v>180</v>
      </c>
      <c r="G45" s="165">
        <f ca="1">IF(G44="","",G44+IF(ISNA(MATCH(Invulblad!$S$27,INDIRECT(G$1&amp;"!$B$3:$B$10"),0)),0,10)+IF(ISNA(MATCH(Invulblad!$S$27,INDIRECT(G$1&amp;"!$D$3:$D$10"),0)),0,10)+IF(ISNA(MATCH(Invulblad!$S$28,INDIRECT(G$1&amp;"!$B$3:$B$10"),0)),0,10)+IF(ISNA(MATCH(Invulblad!$S$28,INDIRECT(G$1&amp;"!$D$3:$D$10"),0)),0,10))</f>
        <v>180</v>
      </c>
      <c r="H45" s="165">
        <f ca="1">IF(H44="","",H44+IF(ISNA(MATCH(Invulblad!$S$27,INDIRECT(H$1&amp;"!$B$3:$B$10"),0)),0,10)+IF(ISNA(MATCH(Invulblad!$S$27,INDIRECT(H$1&amp;"!$D$3:$D$10"),0)),0,10)+IF(ISNA(MATCH(Invulblad!$S$28,INDIRECT(H$1&amp;"!$B$3:$B$10"),0)),0,10)+IF(ISNA(MATCH(Invulblad!$S$28,INDIRECT(H$1&amp;"!$D$3:$D$10"),0)),0,10))</f>
        <v>110</v>
      </c>
      <c r="I45" s="165">
        <f ca="1">IF(I44="","",I44+IF(ISNA(MATCH(Invulblad!$S$27,INDIRECT(I$1&amp;"!$B$3:$B$10"),0)),0,10)+IF(ISNA(MATCH(Invulblad!$S$27,INDIRECT(I$1&amp;"!$D$3:$D$10"),0)),0,10)+IF(ISNA(MATCH(Invulblad!$S$28,INDIRECT(I$1&amp;"!$B$3:$B$10"),0)),0,10)+IF(ISNA(MATCH(Invulblad!$S$28,INDIRECT(I$1&amp;"!$D$3:$D$10"),0)),0,10))</f>
        <v>120</v>
      </c>
      <c r="J45" s="165">
        <f ca="1">IF(J44="","",J44+IF(ISNA(MATCH(Invulblad!$S$27,INDIRECT(J$1&amp;"!$B$3:$B$10"),0)),0,10)+IF(ISNA(MATCH(Invulblad!$S$27,INDIRECT(J$1&amp;"!$D$3:$D$10"),0)),0,10)+IF(ISNA(MATCH(Invulblad!$S$28,INDIRECT(J$1&amp;"!$B$3:$B$10"),0)),0,10)+IF(ISNA(MATCH(Invulblad!$S$28,INDIRECT(J$1&amp;"!$D$3:$D$10"),0)),0,10))</f>
        <v>185</v>
      </c>
      <c r="K45" s="165">
        <f ca="1">IF(K44="","",K44+IF(ISNA(MATCH(Invulblad!$S$27,INDIRECT(K$1&amp;"!$B$3:$B$10"),0)),0,10)+IF(ISNA(MATCH(Invulblad!$S$27,INDIRECT(K$1&amp;"!$D$3:$D$10"),0)),0,10)+IF(ISNA(MATCH(Invulblad!$S$28,INDIRECT(K$1&amp;"!$B$3:$B$10"),0)),0,10)+IF(ISNA(MATCH(Invulblad!$S$28,INDIRECT(K$1&amp;"!$D$3:$D$10"),0)),0,10))</f>
        <v>140</v>
      </c>
      <c r="L45" s="165">
        <f ca="1">IF(L44="","",L44+IF(ISNA(MATCH(Invulblad!$S$27,INDIRECT(L$1&amp;"!$B$3:$B$10"),0)),0,10)+IF(ISNA(MATCH(Invulblad!$S$27,INDIRECT(L$1&amp;"!$D$3:$D$10"),0)),0,10)+IF(ISNA(MATCH(Invulblad!$S$28,INDIRECT(L$1&amp;"!$B$3:$B$10"),0)),0,10)+IF(ISNA(MATCH(Invulblad!$S$28,INDIRECT(L$1&amp;"!$D$3:$D$10"),0)),0,10))</f>
        <v>155</v>
      </c>
      <c r="M45" s="165">
        <f ca="1">IF(M44="","",M44+IF(ISNA(MATCH(Invulblad!$S$27,INDIRECT(M$1&amp;"!$B$3:$B$10"),0)),0,10)+IF(ISNA(MATCH(Invulblad!$S$27,INDIRECT(M$1&amp;"!$D$3:$D$10"),0)),0,10)+IF(ISNA(MATCH(Invulblad!$S$28,INDIRECT(M$1&amp;"!$B$3:$B$10"),0)),0,10)+IF(ISNA(MATCH(Invulblad!$S$28,INDIRECT(M$1&amp;"!$D$3:$D$10"),0)),0,10))</f>
        <v>140</v>
      </c>
      <c r="N45" s="165">
        <f ca="1">IF(N44="","",N44+IF(ISNA(MATCH(Invulblad!$S$27,INDIRECT(N$1&amp;"!$B$3:$B$10"),0)),0,10)+IF(ISNA(MATCH(Invulblad!$S$27,INDIRECT(N$1&amp;"!$D$3:$D$10"),0)),0,10)+IF(ISNA(MATCH(Invulblad!$S$28,INDIRECT(N$1&amp;"!$B$3:$B$10"),0)),0,10)+IF(ISNA(MATCH(Invulblad!$S$28,INDIRECT(N$1&amp;"!$D$3:$D$10"),0)),0,10))</f>
        <v>185</v>
      </c>
      <c r="O45" s="165">
        <f ca="1">IF(O44="","",O44+IF(ISNA(MATCH(Invulblad!$S$27,INDIRECT(O$1&amp;"!$B$3:$B$10"),0)),0,10)+IF(ISNA(MATCH(Invulblad!$S$27,INDIRECT(O$1&amp;"!$D$3:$D$10"),0)),0,10)+IF(ISNA(MATCH(Invulblad!$S$28,INDIRECT(O$1&amp;"!$B$3:$B$10"),0)),0,10)+IF(ISNA(MATCH(Invulblad!$S$28,INDIRECT(O$1&amp;"!$D$3:$D$10"),0)),0,10))</f>
        <v>140</v>
      </c>
      <c r="P45" s="165">
        <f ca="1">IF(P44="","",P44+IF(ISNA(MATCH(Invulblad!$S$27,INDIRECT(P$1&amp;"!$B$3:$B$10"),0)),0,10)+IF(ISNA(MATCH(Invulblad!$S$27,INDIRECT(P$1&amp;"!$D$3:$D$10"),0)),0,10)+IF(ISNA(MATCH(Invulblad!$S$28,INDIRECT(P$1&amp;"!$B$3:$B$10"),0)),0,10)+IF(ISNA(MATCH(Invulblad!$S$28,INDIRECT(P$1&amp;"!$D$3:$D$10"),0)),0,10))</f>
        <v>130</v>
      </c>
      <c r="Q45" s="165">
        <f ca="1">IF(Q44="","",Q44+IF(ISNA(MATCH(Invulblad!$S$27,INDIRECT(Q$1&amp;"!$B$3:$B$10"),0)),0,10)+IF(ISNA(MATCH(Invulblad!$S$27,INDIRECT(Q$1&amp;"!$D$3:$D$10"),0)),0,10)+IF(ISNA(MATCH(Invulblad!$S$28,INDIRECT(Q$1&amp;"!$B$3:$B$10"),0)),0,10)+IF(ISNA(MATCH(Invulblad!$S$28,INDIRECT(Q$1&amp;"!$D$3:$D$10"),0)),0,10))</f>
        <v>175</v>
      </c>
      <c r="R45" s="165">
        <f ca="1">IF(R44="","",R44+IF(ISNA(MATCH(Invulblad!$S$27,INDIRECT(R$1&amp;"!$B$3:$B$10"),0)),0,10)+IF(ISNA(MATCH(Invulblad!$S$27,INDIRECT(R$1&amp;"!$D$3:$D$10"),0)),0,10)+IF(ISNA(MATCH(Invulblad!$S$28,INDIRECT(R$1&amp;"!$B$3:$B$10"),0)),0,10)+IF(ISNA(MATCH(Invulblad!$S$28,INDIRECT(R$1&amp;"!$D$3:$D$10"),0)),0,10))</f>
        <v>170</v>
      </c>
      <c r="S45" s="165">
        <f ca="1">IF(S44="","",S44+IF(ISNA(MATCH(Invulblad!$S$27,INDIRECT(S$1&amp;"!$B$3:$B$10"),0)),0,10)+IF(ISNA(MATCH(Invulblad!$S$27,INDIRECT(S$1&amp;"!$D$3:$D$10"),0)),0,10)+IF(ISNA(MATCH(Invulblad!$S$28,INDIRECT(S$1&amp;"!$B$3:$B$10"),0)),0,10)+IF(ISNA(MATCH(Invulblad!$S$28,INDIRECT(S$1&amp;"!$D$3:$D$10"),0)),0,10))</f>
        <v>125</v>
      </c>
      <c r="T45" s="165">
        <f ca="1">IF(T44="","",T44+IF(ISNA(MATCH(Invulblad!$S$27,INDIRECT(T$1&amp;"!$B$3:$B$10"),0)),0,10)+IF(ISNA(MATCH(Invulblad!$S$27,INDIRECT(T$1&amp;"!$D$3:$D$10"),0)),0,10)+IF(ISNA(MATCH(Invulblad!$S$28,INDIRECT(T$1&amp;"!$B$3:$B$10"),0)),0,10)+IF(ISNA(MATCH(Invulblad!$S$28,INDIRECT(T$1&amp;"!$D$3:$D$10"),0)),0,10))</f>
        <v>135</v>
      </c>
      <c r="U45" s="165">
        <f ca="1">IF(U44="","",U44+IF(ISNA(MATCH(Invulblad!$S$27,INDIRECT(U$1&amp;"!$B$3:$B$10"),0)),0,10)+IF(ISNA(MATCH(Invulblad!$S$27,INDIRECT(U$1&amp;"!$D$3:$D$10"),0)),0,10)+IF(ISNA(MATCH(Invulblad!$S$28,INDIRECT(U$1&amp;"!$B$3:$B$10"),0)),0,10)+IF(ISNA(MATCH(Invulblad!$S$28,INDIRECT(U$1&amp;"!$D$3:$D$10"),0)),0,10))</f>
        <v>120</v>
      </c>
      <c r="V45" s="165">
        <f ca="1">IF(V44="","",V44+IF(ISNA(MATCH(Invulblad!$S$27,INDIRECT(V$1&amp;"!$B$3:$B$10"),0)),0,10)+IF(ISNA(MATCH(Invulblad!$S$27,INDIRECT(V$1&amp;"!$D$3:$D$10"),0)),0,10)+IF(ISNA(MATCH(Invulblad!$S$28,INDIRECT(V$1&amp;"!$B$3:$B$10"),0)),0,10)+IF(ISNA(MATCH(Invulblad!$S$28,INDIRECT(V$1&amp;"!$D$3:$D$10"),0)),0,10))</f>
        <v>110</v>
      </c>
      <c r="W45" s="165">
        <f ca="1">IF(W44="","",W44+IF(ISNA(MATCH(Invulblad!$S$27,INDIRECT(W$1&amp;"!$B$3:$B$10"),0)),0,10)+IF(ISNA(MATCH(Invulblad!$S$27,INDIRECT(W$1&amp;"!$D$3:$D$10"),0)),0,10)+IF(ISNA(MATCH(Invulblad!$S$28,INDIRECT(W$1&amp;"!$B$3:$B$10"),0)),0,10)+IF(ISNA(MATCH(Invulblad!$S$28,INDIRECT(W$1&amp;"!$D$3:$D$10"),0)),0,10))</f>
        <v>165</v>
      </c>
      <c r="X45" s="165">
        <f ca="1">IF(X44="","",X44+IF(ISNA(MATCH(Invulblad!$S$27,INDIRECT(X$1&amp;"!$B$3:$B$10"),0)),0,10)+IF(ISNA(MATCH(Invulblad!$S$27,INDIRECT(X$1&amp;"!$D$3:$D$10"),0)),0,10)+IF(ISNA(MATCH(Invulblad!$S$28,INDIRECT(X$1&amp;"!$B$3:$B$10"),0)),0,10)+IF(ISNA(MATCH(Invulblad!$S$28,INDIRECT(X$1&amp;"!$D$3:$D$10"),0)),0,10))</f>
        <v>110</v>
      </c>
      <c r="Y45" s="165">
        <f ca="1">IF(Y44="","",Y44+IF(ISNA(MATCH(Invulblad!$S$27,INDIRECT(Y$1&amp;"!$B$3:$B$10"),0)),0,10)+IF(ISNA(MATCH(Invulblad!$S$27,INDIRECT(Y$1&amp;"!$D$3:$D$10"),0)),0,10)+IF(ISNA(MATCH(Invulblad!$S$28,INDIRECT(Y$1&amp;"!$B$3:$B$10"),0)),0,10)+IF(ISNA(MATCH(Invulblad!$S$28,INDIRECT(Y$1&amp;"!$D$3:$D$10"),0)),0,10))</f>
        <v>145</v>
      </c>
      <c r="Z45" s="165">
        <f ca="1">IF(Z44="","",Z44+IF(ISNA(MATCH(Invulblad!$S$27,INDIRECT(Z$1&amp;"!$B$3:$B$10"),0)),0,10)+IF(ISNA(MATCH(Invulblad!$S$27,INDIRECT(Z$1&amp;"!$D$3:$D$10"),0)),0,10)+IF(ISNA(MATCH(Invulblad!$S$28,INDIRECT(Z$1&amp;"!$B$3:$B$10"),0)),0,10)+IF(ISNA(MATCH(Invulblad!$S$28,INDIRECT(Z$1&amp;"!$D$3:$D$10"),0)),0,10))</f>
        <v>150</v>
      </c>
      <c r="AA45" s="165">
        <f t="shared" ca="1" si="39"/>
        <v>146.04166666666666</v>
      </c>
      <c r="AB45" s="178">
        <f t="shared" ca="1" si="41"/>
        <v>8.75</v>
      </c>
      <c r="AC45" s="331" t="str">
        <f t="shared" si="40"/>
        <v>Boni</v>
      </c>
      <c r="AD45" s="179">
        <f t="shared" ca="1" si="42"/>
        <v>3.9583333333333428</v>
      </c>
      <c r="AE45" s="179">
        <f t="shared" ca="1" si="43"/>
        <v>-1.0416666666666572</v>
      </c>
      <c r="AF45" s="179">
        <f t="shared" ca="1" si="44"/>
        <v>-6.0416666666666572</v>
      </c>
      <c r="AG45" s="179">
        <f t="shared" ca="1" si="45"/>
        <v>33.958333333333343</v>
      </c>
      <c r="AH45" s="179">
        <f t="shared" ca="1" si="46"/>
        <v>33.958333333333343</v>
      </c>
      <c r="AI45" s="179">
        <f t="shared" ca="1" si="47"/>
        <v>-36.041666666666657</v>
      </c>
      <c r="AJ45" s="179">
        <f t="shared" ca="1" si="48"/>
        <v>-26.041666666666657</v>
      </c>
      <c r="AK45" s="179">
        <f t="shared" ca="1" si="49"/>
        <v>38.958333333333343</v>
      </c>
      <c r="AL45" s="179">
        <f t="shared" ca="1" si="50"/>
        <v>-6.0416666666666572</v>
      </c>
      <c r="AM45" s="179">
        <f t="shared" ca="1" si="51"/>
        <v>8.9583333333333428</v>
      </c>
      <c r="AN45" s="179">
        <f t="shared" ca="1" si="52"/>
        <v>-6.0416666666666572</v>
      </c>
      <c r="AO45" s="179">
        <f t="shared" ca="1" si="27"/>
        <v>-6.0416666666666572</v>
      </c>
      <c r="AP45" s="179">
        <f t="shared" ca="1" si="28"/>
        <v>-6.0416666666666572</v>
      </c>
      <c r="AQ45" s="179">
        <f t="shared" ca="1" si="28"/>
        <v>-16.041666666666657</v>
      </c>
      <c r="AR45" s="179">
        <f t="shared" ca="1" si="29"/>
        <v>28.958333333333343</v>
      </c>
      <c r="AS45" s="179">
        <f t="shared" ca="1" si="30"/>
        <v>23.958333333333343</v>
      </c>
      <c r="AT45" s="179">
        <f t="shared" ca="1" si="31"/>
        <v>-21.041666666666657</v>
      </c>
      <c r="AU45" s="179">
        <f t="shared" ca="1" si="32"/>
        <v>-11.041666666666657</v>
      </c>
      <c r="AV45" s="179">
        <f t="shared" ca="1" si="33"/>
        <v>-26.041666666666657</v>
      </c>
      <c r="AW45" s="179">
        <f t="shared" ca="1" si="34"/>
        <v>-36.041666666666657</v>
      </c>
      <c r="AX45" s="179">
        <f t="shared" ca="1" si="35"/>
        <v>18.958333333333343</v>
      </c>
      <c r="AY45" s="179">
        <f t="shared" ca="1" si="36"/>
        <v>-36.041666666666657</v>
      </c>
      <c r="AZ45" s="179">
        <f t="shared" ca="1" si="37"/>
        <v>-1.0416666666666572</v>
      </c>
      <c r="BA45" s="179">
        <f t="shared" ca="1" si="38"/>
        <v>3.9583333333333428</v>
      </c>
    </row>
    <row r="46" spans="1:53">
      <c r="A46" s="173">
        <v>43</v>
      </c>
      <c r="B46" s="157" t="str">
        <f>VLOOKUP($A46,wedstrijden,6,0)&amp;"-"&amp;VLOOKUP($A46,wedstrijden,10,0)</f>
        <v>Nigeria-Argentinië</v>
      </c>
      <c r="C46" s="298">
        <f ca="1">IF(VLOOKUP($A46,INDIRECT(C$1&amp;loc_voorspell),15,0)&lt;&gt;"",VLOOKUP($A46,INDIRECT(C$1&amp;loc_voorspell),15,0)+C45,"")</f>
        <v>155</v>
      </c>
      <c r="D46" s="298">
        <f ca="1">IF(VLOOKUP($A46,INDIRECT(D$1&amp;loc_voorspell),15,0)&lt;&gt;"",VLOOKUP($A46,INDIRECT(D$1&amp;loc_voorspell),15,0)+D45,"")</f>
        <v>150</v>
      </c>
      <c r="E46" s="298">
        <f ca="1">IF(VLOOKUP($A46,INDIRECT(E$1&amp;loc_voorspell),15,0)&lt;&gt;"",VLOOKUP($A46,INDIRECT(E$1&amp;loc_voorspell),15,0)+E45,"")</f>
        <v>145</v>
      </c>
      <c r="F46" s="298">
        <f ca="1">IF(VLOOKUP($A46,INDIRECT(F$1&amp;loc_voorspell),15,0)&lt;&gt;"",VLOOKUP($A46,INDIRECT(F$1&amp;loc_voorspell),15,0)+F45,"")</f>
        <v>185</v>
      </c>
      <c r="G46" s="298">
        <f ca="1">IF(VLOOKUP($A46,INDIRECT(G$1&amp;loc_voorspell),15,0)&lt;&gt;"",VLOOKUP($A46,INDIRECT(G$1&amp;loc_voorspell),15,0)+G45,"")</f>
        <v>185</v>
      </c>
      <c r="H46" s="298">
        <f ca="1">IF(VLOOKUP($A46,INDIRECT(H$1&amp;loc_voorspell),15,0)&lt;&gt;"",VLOOKUP($A46,INDIRECT(H$1&amp;loc_voorspell),15,0)+H45,"")</f>
        <v>120</v>
      </c>
      <c r="I46" s="298">
        <f ca="1">IF(VLOOKUP($A46,INDIRECT(I$1&amp;loc_voorspell),15,0)&lt;&gt;"",VLOOKUP($A46,INDIRECT(I$1&amp;loc_voorspell),15,0)+I45,"")</f>
        <v>125</v>
      </c>
      <c r="J46" s="298">
        <f ca="1">IF(VLOOKUP($A46,INDIRECT(J$1&amp;loc_voorspell),15,0)&lt;&gt;"",VLOOKUP($A46,INDIRECT(J$1&amp;loc_voorspell),15,0)+J45,"")</f>
        <v>190</v>
      </c>
      <c r="K46" s="298">
        <f ca="1">IF(VLOOKUP($A46,INDIRECT(K$1&amp;loc_voorspell),15,0)&lt;&gt;"",VLOOKUP($A46,INDIRECT(K$1&amp;loc_voorspell),15,0)+K45,"")</f>
        <v>145</v>
      </c>
      <c r="L46" s="298">
        <f ca="1">IF(VLOOKUP($A46,INDIRECT(L$1&amp;loc_voorspell),15,0)&lt;&gt;"",VLOOKUP($A46,INDIRECT(L$1&amp;loc_voorspell),15,0)+L45,"")</f>
        <v>160</v>
      </c>
      <c r="M46" s="298">
        <f ca="1">IF(VLOOKUP($A46,INDIRECT(M$1&amp;loc_voorspell),15,0)&lt;&gt;"",VLOOKUP($A46,INDIRECT(M$1&amp;loc_voorspell),15,0)+M45,"")</f>
        <v>145</v>
      </c>
      <c r="N46" s="298">
        <f ca="1">IF(VLOOKUP($A46,INDIRECT(N$1&amp;loc_voorspell),15,0)&lt;&gt;"",VLOOKUP($A46,INDIRECT(N$1&amp;loc_voorspell),15,0)+N45,"")</f>
        <v>190</v>
      </c>
      <c r="O46" s="298">
        <f ca="1">IF(VLOOKUP($A46,INDIRECT(O$1&amp;loc_voorspell),15,0)&lt;&gt;"",VLOOKUP($A46,INDIRECT(O$1&amp;loc_voorspell),15,0)+O45,"")</f>
        <v>145</v>
      </c>
      <c r="P46" s="298">
        <f ca="1">IF(VLOOKUP($A46,INDIRECT(P$1&amp;loc_voorspell),15,0)&lt;&gt;"",VLOOKUP($A46,INDIRECT(P$1&amp;loc_voorspell),15,0)+P45,"")</f>
        <v>135</v>
      </c>
      <c r="Q46" s="298">
        <f ca="1">IF(VLOOKUP($A46,INDIRECT(Q$1&amp;loc_voorspell),15,0)&lt;&gt;"",VLOOKUP($A46,INDIRECT(Q$1&amp;loc_voorspell),15,0)+Q45,"")</f>
        <v>175</v>
      </c>
      <c r="R46" s="298">
        <f ca="1">IF(VLOOKUP($A46,INDIRECT(R$1&amp;loc_voorspell),15,0)&lt;&gt;"",VLOOKUP($A46,INDIRECT(R$1&amp;loc_voorspell),15,0)+R45,"")</f>
        <v>175</v>
      </c>
      <c r="S46" s="298">
        <f ca="1">IF(VLOOKUP($A46,INDIRECT(S$1&amp;loc_voorspell),15,0)&lt;&gt;"",VLOOKUP($A46,INDIRECT(S$1&amp;loc_voorspell),15,0)+S45,"")</f>
        <v>130</v>
      </c>
      <c r="T46" s="298">
        <f ca="1">IF(VLOOKUP($A46,INDIRECT(T$1&amp;loc_voorspell),15,0)&lt;&gt;"",VLOOKUP($A46,INDIRECT(T$1&amp;loc_voorspell),15,0)+T45,"")</f>
        <v>145</v>
      </c>
      <c r="U46" s="298">
        <f ca="1">IF(VLOOKUP($A46,INDIRECT(U$1&amp;loc_voorspell),15,0)&lt;&gt;"",VLOOKUP($A46,INDIRECT(U$1&amp;loc_voorspell),15,0)+U45,"")</f>
        <v>125</v>
      </c>
      <c r="V46" s="298">
        <f ca="1">IF(VLOOKUP($A46,INDIRECT(V$1&amp;loc_voorspell),15,0)&lt;&gt;"",VLOOKUP($A46,INDIRECT(V$1&amp;loc_voorspell),15,0)+V45,"")</f>
        <v>115</v>
      </c>
      <c r="W46" s="298">
        <f ca="1">IF(VLOOKUP($A46,INDIRECT(W$1&amp;loc_voorspell),15,0)&lt;&gt;"",VLOOKUP($A46,INDIRECT(W$1&amp;loc_voorspell),15,0)+W45,"")</f>
        <v>170</v>
      </c>
      <c r="X46" s="298">
        <f ca="1">IF(VLOOKUP($A46,INDIRECT(X$1&amp;loc_voorspell),15,0)&lt;&gt;"",VLOOKUP($A46,INDIRECT(X$1&amp;loc_voorspell),15,0)+X45,"")</f>
        <v>110</v>
      </c>
      <c r="Y46" s="298">
        <f ca="1">IF(VLOOKUP($A46,INDIRECT(Y$1&amp;loc_voorspell),15,0)&lt;&gt;"",VLOOKUP($A46,INDIRECT(Y$1&amp;loc_voorspell),15,0)+Y45,"")</f>
        <v>150</v>
      </c>
      <c r="Z46" s="298">
        <f ca="1">IF(VLOOKUP($A46,INDIRECT(Z$1&amp;loc_voorspell),15,0)&lt;&gt;"",VLOOKUP($A46,INDIRECT(Z$1&amp;loc_voorspell),15,0)+Z45,"")</f>
        <v>155</v>
      </c>
      <c r="AA46" s="165">
        <f t="shared" ca="1" si="39"/>
        <v>151.04166666666666</v>
      </c>
      <c r="AB46" s="178">
        <f t="shared" ca="1" si="41"/>
        <v>5</v>
      </c>
      <c r="AC46" s="331" t="str">
        <f t="shared" si="40"/>
        <v>Nigeria-Argentinië</v>
      </c>
      <c r="AD46" s="179">
        <f t="shared" ca="1" si="42"/>
        <v>3.9583333333333428</v>
      </c>
      <c r="AE46" s="179">
        <f t="shared" ca="1" si="43"/>
        <v>-1.0416666666666572</v>
      </c>
      <c r="AF46" s="179">
        <f t="shared" ca="1" si="44"/>
        <v>-6.0416666666666572</v>
      </c>
      <c r="AG46" s="179">
        <f t="shared" ca="1" si="45"/>
        <v>33.958333333333343</v>
      </c>
      <c r="AH46" s="179">
        <f t="shared" ca="1" si="46"/>
        <v>33.958333333333343</v>
      </c>
      <c r="AI46" s="179">
        <f t="shared" ca="1" si="47"/>
        <v>-31.041666666666657</v>
      </c>
      <c r="AJ46" s="179">
        <f t="shared" ca="1" si="48"/>
        <v>-26.041666666666657</v>
      </c>
      <c r="AK46" s="179">
        <f t="shared" ca="1" si="49"/>
        <v>38.958333333333343</v>
      </c>
      <c r="AL46" s="179">
        <f t="shared" ca="1" si="50"/>
        <v>-6.0416666666666572</v>
      </c>
      <c r="AM46" s="179">
        <f t="shared" ca="1" si="51"/>
        <v>8.9583333333333428</v>
      </c>
      <c r="AN46" s="179">
        <f t="shared" ca="1" si="52"/>
        <v>-6.0416666666666572</v>
      </c>
      <c r="AO46" s="179">
        <f t="shared" ca="1" si="27"/>
        <v>-6.0416666666666572</v>
      </c>
      <c r="AP46" s="179">
        <f t="shared" ca="1" si="28"/>
        <v>-6.0416666666666572</v>
      </c>
      <c r="AQ46" s="179">
        <f t="shared" ca="1" si="28"/>
        <v>-16.041666666666657</v>
      </c>
      <c r="AR46" s="179">
        <f t="shared" ca="1" si="29"/>
        <v>23.958333333333343</v>
      </c>
      <c r="AS46" s="179">
        <f t="shared" ca="1" si="30"/>
        <v>23.958333333333343</v>
      </c>
      <c r="AT46" s="179">
        <f t="shared" ca="1" si="31"/>
        <v>-21.041666666666657</v>
      </c>
      <c r="AU46" s="179">
        <f t="shared" ca="1" si="32"/>
        <v>-6.0416666666666572</v>
      </c>
      <c r="AV46" s="179">
        <f t="shared" ca="1" si="33"/>
        <v>-26.041666666666657</v>
      </c>
      <c r="AW46" s="179">
        <f t="shared" ca="1" si="34"/>
        <v>-36.041666666666657</v>
      </c>
      <c r="AX46" s="179">
        <f t="shared" ca="1" si="35"/>
        <v>18.958333333333343</v>
      </c>
      <c r="AY46" s="179">
        <f t="shared" ca="1" si="36"/>
        <v>-41.041666666666657</v>
      </c>
      <c r="AZ46" s="179">
        <f t="shared" ca="1" si="37"/>
        <v>-1.0416666666666572</v>
      </c>
      <c r="BA46" s="179">
        <f t="shared" ca="1" si="38"/>
        <v>3.9583333333333428</v>
      </c>
    </row>
    <row r="47" spans="1:53">
      <c r="A47" s="173">
        <v>44</v>
      </c>
      <c r="B47" s="158" t="str">
        <f>VLOOKUP($A47,wedstrijden,6,0)&amp;"-"&amp;VLOOKUP($A47,wedstrijden,10,0)</f>
        <v>Bosnië-Herzegovina-Iran</v>
      </c>
      <c r="C47" s="299">
        <f ca="1">IF(VLOOKUP($A47,INDIRECT(C$1&amp;loc_voorspell),15,0)&lt;&gt;"",VLOOKUP($A47,INDIRECT(C$1&amp;loc_voorspell),15,0)+C46,"")</f>
        <v>160</v>
      </c>
      <c r="D47" s="299">
        <f ca="1">IF(VLOOKUP($A47,INDIRECT(D$1&amp;loc_voorspell),15,0)&lt;&gt;"",VLOOKUP($A47,INDIRECT(D$1&amp;loc_voorspell),15,0)+D46,"")</f>
        <v>155</v>
      </c>
      <c r="E47" s="299">
        <f ca="1">IF(VLOOKUP($A47,INDIRECT(E$1&amp;loc_voorspell),15,0)&lt;&gt;"",VLOOKUP($A47,INDIRECT(E$1&amp;loc_voorspell),15,0)+E46,"")</f>
        <v>145</v>
      </c>
      <c r="F47" s="299">
        <f ca="1">IF(VLOOKUP($A47,INDIRECT(F$1&amp;loc_voorspell),15,0)&lt;&gt;"",VLOOKUP($A47,INDIRECT(F$1&amp;loc_voorspell),15,0)+F46,"")</f>
        <v>190</v>
      </c>
      <c r="G47" s="299">
        <f ca="1">IF(VLOOKUP($A47,INDIRECT(G$1&amp;loc_voorspell),15,0)&lt;&gt;"",VLOOKUP($A47,INDIRECT(G$1&amp;loc_voorspell),15,0)+G46,"")</f>
        <v>190</v>
      </c>
      <c r="H47" s="299">
        <f ca="1">IF(VLOOKUP($A47,INDIRECT(H$1&amp;loc_voorspell),15,0)&lt;&gt;"",VLOOKUP($A47,INDIRECT(H$1&amp;loc_voorspell),15,0)+H46,"")</f>
        <v>120</v>
      </c>
      <c r="I47" s="299">
        <f ca="1">IF(VLOOKUP($A47,INDIRECT(I$1&amp;loc_voorspell),15,0)&lt;&gt;"",VLOOKUP($A47,INDIRECT(I$1&amp;loc_voorspell),15,0)+I46,"")</f>
        <v>125</v>
      </c>
      <c r="J47" s="299">
        <f ca="1">IF(VLOOKUP($A47,INDIRECT(J$1&amp;loc_voorspell),15,0)&lt;&gt;"",VLOOKUP($A47,INDIRECT(J$1&amp;loc_voorspell),15,0)+J46,"")</f>
        <v>190</v>
      </c>
      <c r="K47" s="299">
        <f ca="1">IF(VLOOKUP($A47,INDIRECT(K$1&amp;loc_voorspell),15,0)&lt;&gt;"",VLOOKUP($A47,INDIRECT(K$1&amp;loc_voorspell),15,0)+K46,"")</f>
        <v>150</v>
      </c>
      <c r="L47" s="299">
        <f ca="1">IF(VLOOKUP($A47,INDIRECT(L$1&amp;loc_voorspell),15,0)&lt;&gt;"",VLOOKUP($A47,INDIRECT(L$1&amp;loc_voorspell),15,0)+L46,"")</f>
        <v>165</v>
      </c>
      <c r="M47" s="299">
        <f ca="1">IF(VLOOKUP($A47,INDIRECT(M$1&amp;loc_voorspell),15,0)&lt;&gt;"",VLOOKUP($A47,INDIRECT(M$1&amp;loc_voorspell),15,0)+M46,"")</f>
        <v>150</v>
      </c>
      <c r="N47" s="299">
        <f ca="1">IF(VLOOKUP($A47,INDIRECT(N$1&amp;loc_voorspell),15,0)&lt;&gt;"",VLOOKUP($A47,INDIRECT(N$1&amp;loc_voorspell),15,0)+N46,"")</f>
        <v>190</v>
      </c>
      <c r="O47" s="299">
        <f ca="1">IF(VLOOKUP($A47,INDIRECT(O$1&amp;loc_voorspell),15,0)&lt;&gt;"",VLOOKUP($A47,INDIRECT(O$1&amp;loc_voorspell),15,0)+O46,"")</f>
        <v>150</v>
      </c>
      <c r="P47" s="299">
        <f ca="1">IF(VLOOKUP($A47,INDIRECT(P$1&amp;loc_voorspell),15,0)&lt;&gt;"",VLOOKUP($A47,INDIRECT(P$1&amp;loc_voorspell),15,0)+P46,"")</f>
        <v>140</v>
      </c>
      <c r="Q47" s="299">
        <f ca="1">IF(VLOOKUP($A47,INDIRECT(Q$1&amp;loc_voorspell),15,0)&lt;&gt;"",VLOOKUP($A47,INDIRECT(Q$1&amp;loc_voorspell),15,0)+Q46,"")</f>
        <v>180</v>
      </c>
      <c r="R47" s="299">
        <f ca="1">IF(VLOOKUP($A47,INDIRECT(R$1&amp;loc_voorspell),15,0)&lt;&gt;"",VLOOKUP($A47,INDIRECT(R$1&amp;loc_voorspell),15,0)+R46,"")</f>
        <v>180</v>
      </c>
      <c r="S47" s="299">
        <f ca="1">IF(VLOOKUP($A47,INDIRECT(S$1&amp;loc_voorspell),15,0)&lt;&gt;"",VLOOKUP($A47,INDIRECT(S$1&amp;loc_voorspell),15,0)+S46,"")</f>
        <v>130</v>
      </c>
      <c r="T47" s="299">
        <f ca="1">IF(VLOOKUP($A47,INDIRECT(T$1&amp;loc_voorspell),15,0)&lt;&gt;"",VLOOKUP($A47,INDIRECT(T$1&amp;loc_voorspell),15,0)+T46,"")</f>
        <v>150</v>
      </c>
      <c r="U47" s="299">
        <f ca="1">IF(VLOOKUP($A47,INDIRECT(U$1&amp;loc_voorspell),15,0)&lt;&gt;"",VLOOKUP($A47,INDIRECT(U$1&amp;loc_voorspell),15,0)+U46,"")</f>
        <v>130</v>
      </c>
      <c r="V47" s="299">
        <f ca="1">IF(VLOOKUP($A47,INDIRECT(V$1&amp;loc_voorspell),15,0)&lt;&gt;"",VLOOKUP($A47,INDIRECT(V$1&amp;loc_voorspell),15,0)+V46,"")</f>
        <v>120</v>
      </c>
      <c r="W47" s="299">
        <f ca="1">IF(VLOOKUP($A47,INDIRECT(W$1&amp;loc_voorspell),15,0)&lt;&gt;"",VLOOKUP($A47,INDIRECT(W$1&amp;loc_voorspell),15,0)+W46,"")</f>
        <v>175</v>
      </c>
      <c r="X47" s="299">
        <f ca="1">IF(VLOOKUP($A47,INDIRECT(X$1&amp;loc_voorspell),15,0)&lt;&gt;"",VLOOKUP($A47,INDIRECT(X$1&amp;loc_voorspell),15,0)+X46,"")</f>
        <v>110</v>
      </c>
      <c r="Y47" s="299">
        <f ca="1">IF(VLOOKUP($A47,INDIRECT(Y$1&amp;loc_voorspell),15,0)&lt;&gt;"",VLOOKUP($A47,INDIRECT(Y$1&amp;loc_voorspell),15,0)+Y46,"")</f>
        <v>155</v>
      </c>
      <c r="Z47" s="299">
        <f ca="1">IF(VLOOKUP($A47,INDIRECT(Z$1&amp;loc_voorspell),15,0)&lt;&gt;"",VLOOKUP($A47,INDIRECT(Z$1&amp;loc_voorspell),15,0)+Z46,"")</f>
        <v>160</v>
      </c>
      <c r="AA47" s="165">
        <f t="shared" ca="1" si="39"/>
        <v>154.58333333333334</v>
      </c>
      <c r="AB47" s="178">
        <f t="shared" ca="1" si="41"/>
        <v>3.5416666666666856</v>
      </c>
      <c r="AC47" s="331" t="str">
        <f t="shared" si="40"/>
        <v>Bosnië-Herzegovina-Iran</v>
      </c>
      <c r="AD47" s="179">
        <f t="shared" ca="1" si="42"/>
        <v>5.4166666666666572</v>
      </c>
      <c r="AE47" s="179">
        <f t="shared" ca="1" si="43"/>
        <v>0.41666666666665719</v>
      </c>
      <c r="AF47" s="179">
        <f t="shared" ca="1" si="44"/>
        <v>-9.5833333333333428</v>
      </c>
      <c r="AG47" s="179">
        <f t="shared" ca="1" si="45"/>
        <v>35.416666666666657</v>
      </c>
      <c r="AH47" s="179">
        <f t="shared" ca="1" si="46"/>
        <v>35.416666666666657</v>
      </c>
      <c r="AI47" s="179">
        <f t="shared" ca="1" si="47"/>
        <v>-34.583333333333343</v>
      </c>
      <c r="AJ47" s="179">
        <f t="shared" ca="1" si="48"/>
        <v>-29.583333333333343</v>
      </c>
      <c r="AK47" s="179">
        <f t="shared" ca="1" si="49"/>
        <v>35.416666666666657</v>
      </c>
      <c r="AL47" s="179">
        <f t="shared" ca="1" si="50"/>
        <v>-4.5833333333333428</v>
      </c>
      <c r="AM47" s="179">
        <f t="shared" ca="1" si="51"/>
        <v>10.416666666666657</v>
      </c>
      <c r="AN47" s="179">
        <f t="shared" ca="1" si="52"/>
        <v>-4.5833333333333428</v>
      </c>
      <c r="AO47" s="179">
        <f t="shared" ca="1" si="27"/>
        <v>-4.5833333333333428</v>
      </c>
      <c r="AP47" s="179">
        <f t="shared" ca="1" si="28"/>
        <v>-4.5833333333333428</v>
      </c>
      <c r="AQ47" s="179">
        <f t="shared" ca="1" si="28"/>
        <v>-14.583333333333343</v>
      </c>
      <c r="AR47" s="179">
        <f t="shared" ca="1" si="29"/>
        <v>25.416666666666657</v>
      </c>
      <c r="AS47" s="179">
        <f t="shared" ca="1" si="30"/>
        <v>25.416666666666657</v>
      </c>
      <c r="AT47" s="179">
        <f t="shared" ca="1" si="31"/>
        <v>-24.583333333333343</v>
      </c>
      <c r="AU47" s="179">
        <f t="shared" ca="1" si="32"/>
        <v>-4.5833333333333428</v>
      </c>
      <c r="AV47" s="179">
        <f t="shared" ca="1" si="33"/>
        <v>-24.583333333333343</v>
      </c>
      <c r="AW47" s="179">
        <f t="shared" ca="1" si="34"/>
        <v>-34.583333333333343</v>
      </c>
      <c r="AX47" s="179">
        <f t="shared" ca="1" si="35"/>
        <v>20.416666666666657</v>
      </c>
      <c r="AY47" s="179">
        <f t="shared" ca="1" si="36"/>
        <v>-44.583333333333343</v>
      </c>
      <c r="AZ47" s="179">
        <f t="shared" ca="1" si="37"/>
        <v>0.41666666666665719</v>
      </c>
      <c r="BA47" s="179">
        <f t="shared" ca="1" si="38"/>
        <v>5.4166666666666572</v>
      </c>
    </row>
    <row r="48" spans="1:53">
      <c r="A48" s="180" t="str">
        <f>B48</f>
        <v>Boni</v>
      </c>
      <c r="B48" s="324" t="s">
        <v>366</v>
      </c>
      <c r="C48" s="165">
        <f ca="1">IF(C47="","",C47+IF(ISNA(MATCH(Invulblad!$S$51,INDIRECT(C$1&amp;"!$B$3:$B$10"),0)),0,10)+IF(ISNA(MATCH(Invulblad!$S$51,INDIRECT(C$1&amp;"!$D$3:$D$10"),0)),0,10)+IF(ISNA(MATCH(Invulblad!$S$52,INDIRECT(C$1&amp;"!$B$3:$B$10"),0)),0,10)+IF(ISNA(MATCH(Invulblad!$S$52,INDIRECT(C$1&amp;"!$D$3:$D$10"),0)),0,10))</f>
        <v>170</v>
      </c>
      <c r="D48" s="165">
        <f ca="1">IF(D47="","",D47+IF(ISNA(MATCH(Invulblad!$S$51,INDIRECT(D$1&amp;"!$B$3:$B$10"),0)),0,10)+IF(ISNA(MATCH(Invulblad!$S$51,INDIRECT(D$1&amp;"!$D$3:$D$10"),0)),0,10)+IF(ISNA(MATCH(Invulblad!$S$52,INDIRECT(D$1&amp;"!$B$3:$B$10"),0)),0,10)+IF(ISNA(MATCH(Invulblad!$S$52,INDIRECT(D$1&amp;"!$D$3:$D$10"),0)),0,10))</f>
        <v>175</v>
      </c>
      <c r="E48" s="165">
        <f ca="1">IF(E47="","",E47+IF(ISNA(MATCH(Invulblad!$S$51,INDIRECT(E$1&amp;"!$B$3:$B$10"),0)),0,10)+IF(ISNA(MATCH(Invulblad!$S$51,INDIRECT(E$1&amp;"!$D$3:$D$10"),0)),0,10)+IF(ISNA(MATCH(Invulblad!$S$52,INDIRECT(E$1&amp;"!$B$3:$B$10"),0)),0,10)+IF(ISNA(MATCH(Invulblad!$S$52,INDIRECT(E$1&amp;"!$D$3:$D$10"),0)),0,10))</f>
        <v>165</v>
      </c>
      <c r="F48" s="165">
        <f ca="1">IF(F47="","",F47+IF(ISNA(MATCH(Invulblad!$S$51,INDIRECT(F$1&amp;"!$B$3:$B$10"),0)),0,10)+IF(ISNA(MATCH(Invulblad!$S$51,INDIRECT(F$1&amp;"!$D$3:$D$10"),0)),0,10)+IF(ISNA(MATCH(Invulblad!$S$52,INDIRECT(F$1&amp;"!$B$3:$B$10"),0)),0,10)+IF(ISNA(MATCH(Invulblad!$S$52,INDIRECT(F$1&amp;"!$D$3:$D$10"),0)),0,10))</f>
        <v>200</v>
      </c>
      <c r="G48" s="165">
        <f ca="1">IF(G47="","",G47+IF(ISNA(MATCH(Invulblad!$S$51,INDIRECT(G$1&amp;"!$B$3:$B$10"),0)),0,10)+IF(ISNA(MATCH(Invulblad!$S$51,INDIRECT(G$1&amp;"!$D$3:$D$10"),0)),0,10)+IF(ISNA(MATCH(Invulblad!$S$52,INDIRECT(G$1&amp;"!$B$3:$B$10"),0)),0,10)+IF(ISNA(MATCH(Invulblad!$S$52,INDIRECT(G$1&amp;"!$D$3:$D$10"),0)),0,10))</f>
        <v>200</v>
      </c>
      <c r="H48" s="165">
        <f ca="1">IF(H47="","",H47+IF(ISNA(MATCH(Invulblad!$S$51,INDIRECT(H$1&amp;"!$B$3:$B$10"),0)),0,10)+IF(ISNA(MATCH(Invulblad!$S$51,INDIRECT(H$1&amp;"!$D$3:$D$10"),0)),0,10)+IF(ISNA(MATCH(Invulblad!$S$52,INDIRECT(H$1&amp;"!$B$3:$B$10"),0)),0,10)+IF(ISNA(MATCH(Invulblad!$S$52,INDIRECT(H$1&amp;"!$D$3:$D$10"),0)),0,10))</f>
        <v>130</v>
      </c>
      <c r="I48" s="165">
        <f ca="1">IF(I47="","",I47+IF(ISNA(MATCH(Invulblad!$S$51,INDIRECT(I$1&amp;"!$B$3:$B$10"),0)),0,10)+IF(ISNA(MATCH(Invulblad!$S$51,INDIRECT(I$1&amp;"!$D$3:$D$10"),0)),0,10)+IF(ISNA(MATCH(Invulblad!$S$52,INDIRECT(I$1&amp;"!$B$3:$B$10"),0)),0,10)+IF(ISNA(MATCH(Invulblad!$S$52,INDIRECT(I$1&amp;"!$D$3:$D$10"),0)),0,10))</f>
        <v>145</v>
      </c>
      <c r="J48" s="165">
        <f ca="1">IF(J47="","",J47+IF(ISNA(MATCH(Invulblad!$S$51,INDIRECT(J$1&amp;"!$B$3:$B$10"),0)),0,10)+IF(ISNA(MATCH(Invulblad!$S$51,INDIRECT(J$1&amp;"!$D$3:$D$10"),0)),0,10)+IF(ISNA(MATCH(Invulblad!$S$52,INDIRECT(J$1&amp;"!$B$3:$B$10"),0)),0,10)+IF(ISNA(MATCH(Invulblad!$S$52,INDIRECT(J$1&amp;"!$D$3:$D$10"),0)),0,10))</f>
        <v>200</v>
      </c>
      <c r="K48" s="165">
        <f ca="1">IF(K47="","",K47+IF(ISNA(MATCH(Invulblad!$S$51,INDIRECT(K$1&amp;"!$B$3:$B$10"),0)),0,10)+IF(ISNA(MATCH(Invulblad!$S$51,INDIRECT(K$1&amp;"!$D$3:$D$10"),0)),0,10)+IF(ISNA(MATCH(Invulblad!$S$52,INDIRECT(K$1&amp;"!$B$3:$B$10"),0)),0,10)+IF(ISNA(MATCH(Invulblad!$S$52,INDIRECT(K$1&amp;"!$D$3:$D$10"),0)),0,10))</f>
        <v>170</v>
      </c>
      <c r="L48" s="165">
        <f ca="1">IF(L47="","",L47+IF(ISNA(MATCH(Invulblad!$S$51,INDIRECT(L$1&amp;"!$B$3:$B$10"),0)),0,10)+IF(ISNA(MATCH(Invulblad!$S$51,INDIRECT(L$1&amp;"!$D$3:$D$10"),0)),0,10)+IF(ISNA(MATCH(Invulblad!$S$52,INDIRECT(L$1&amp;"!$B$3:$B$10"),0)),0,10)+IF(ISNA(MATCH(Invulblad!$S$52,INDIRECT(L$1&amp;"!$D$3:$D$10"),0)),0,10))</f>
        <v>175</v>
      </c>
      <c r="M48" s="165">
        <f ca="1">IF(M47="","",M47+IF(ISNA(MATCH(Invulblad!$S$51,INDIRECT(M$1&amp;"!$B$3:$B$10"),0)),0,10)+IF(ISNA(MATCH(Invulblad!$S$51,INDIRECT(M$1&amp;"!$D$3:$D$10"),0)),0,10)+IF(ISNA(MATCH(Invulblad!$S$52,INDIRECT(M$1&amp;"!$B$3:$B$10"),0)),0,10)+IF(ISNA(MATCH(Invulblad!$S$52,INDIRECT(M$1&amp;"!$D$3:$D$10"),0)),0,10))</f>
        <v>160</v>
      </c>
      <c r="N48" s="165">
        <f ca="1">IF(N47="","",N47+IF(ISNA(MATCH(Invulblad!$S$51,INDIRECT(N$1&amp;"!$B$3:$B$10"),0)),0,10)+IF(ISNA(MATCH(Invulblad!$S$51,INDIRECT(N$1&amp;"!$D$3:$D$10"),0)),0,10)+IF(ISNA(MATCH(Invulblad!$S$52,INDIRECT(N$1&amp;"!$B$3:$B$10"),0)),0,10)+IF(ISNA(MATCH(Invulblad!$S$52,INDIRECT(N$1&amp;"!$D$3:$D$10"),0)),0,10))</f>
        <v>210</v>
      </c>
      <c r="O48" s="165">
        <f ca="1">IF(O47="","",O47+IF(ISNA(MATCH(Invulblad!$S$51,INDIRECT(O$1&amp;"!$B$3:$B$10"),0)),0,10)+IF(ISNA(MATCH(Invulblad!$S$51,INDIRECT(O$1&amp;"!$D$3:$D$10"),0)),0,10)+IF(ISNA(MATCH(Invulblad!$S$52,INDIRECT(O$1&amp;"!$B$3:$B$10"),0)),0,10)+IF(ISNA(MATCH(Invulblad!$S$52,INDIRECT(O$1&amp;"!$D$3:$D$10"),0)),0,10))</f>
        <v>160</v>
      </c>
      <c r="P48" s="165">
        <f ca="1">IF(P47="","",P47+IF(ISNA(MATCH(Invulblad!$S$51,INDIRECT(P$1&amp;"!$B$3:$B$10"),0)),0,10)+IF(ISNA(MATCH(Invulblad!$S$51,INDIRECT(P$1&amp;"!$D$3:$D$10"),0)),0,10)+IF(ISNA(MATCH(Invulblad!$S$52,INDIRECT(P$1&amp;"!$B$3:$B$10"),0)),0,10)+IF(ISNA(MATCH(Invulblad!$S$52,INDIRECT(P$1&amp;"!$D$3:$D$10"),0)),0,10))</f>
        <v>150</v>
      </c>
      <c r="Q48" s="165">
        <f ca="1">IF(Q47="","",Q47+IF(ISNA(MATCH(Invulblad!$S$51,INDIRECT(Q$1&amp;"!$B$3:$B$10"),0)),0,10)+IF(ISNA(MATCH(Invulblad!$S$51,INDIRECT(Q$1&amp;"!$D$3:$D$10"),0)),0,10)+IF(ISNA(MATCH(Invulblad!$S$52,INDIRECT(Q$1&amp;"!$B$3:$B$10"),0)),0,10)+IF(ISNA(MATCH(Invulblad!$S$52,INDIRECT(Q$1&amp;"!$D$3:$D$10"),0)),0,10))</f>
        <v>190</v>
      </c>
      <c r="R48" s="165">
        <f ca="1">IF(R47="","",R47+IF(ISNA(MATCH(Invulblad!$S$51,INDIRECT(R$1&amp;"!$B$3:$B$10"),0)),0,10)+IF(ISNA(MATCH(Invulblad!$S$51,INDIRECT(R$1&amp;"!$D$3:$D$10"),0)),0,10)+IF(ISNA(MATCH(Invulblad!$S$52,INDIRECT(R$1&amp;"!$B$3:$B$10"),0)),0,10)+IF(ISNA(MATCH(Invulblad!$S$52,INDIRECT(R$1&amp;"!$D$3:$D$10"),0)),0,10))</f>
        <v>190</v>
      </c>
      <c r="S48" s="165">
        <f ca="1">IF(S47="","",S47+IF(ISNA(MATCH(Invulblad!$S$51,INDIRECT(S$1&amp;"!$B$3:$B$10"),0)),0,10)+IF(ISNA(MATCH(Invulblad!$S$51,INDIRECT(S$1&amp;"!$D$3:$D$10"),0)),0,10)+IF(ISNA(MATCH(Invulblad!$S$52,INDIRECT(S$1&amp;"!$B$3:$B$10"),0)),0,10)+IF(ISNA(MATCH(Invulblad!$S$52,INDIRECT(S$1&amp;"!$D$3:$D$10"),0)),0,10))</f>
        <v>150</v>
      </c>
      <c r="T48" s="165">
        <f ca="1">IF(T47="","",T47+IF(ISNA(MATCH(Invulblad!$S$51,INDIRECT(T$1&amp;"!$B$3:$B$10"),0)),0,10)+IF(ISNA(MATCH(Invulblad!$S$51,INDIRECT(T$1&amp;"!$D$3:$D$10"),0)),0,10)+IF(ISNA(MATCH(Invulblad!$S$52,INDIRECT(T$1&amp;"!$B$3:$B$10"),0)),0,10)+IF(ISNA(MATCH(Invulblad!$S$52,INDIRECT(T$1&amp;"!$D$3:$D$10"),0)),0,10))</f>
        <v>170</v>
      </c>
      <c r="U48" s="165">
        <f ca="1">IF(U47="","",U47+IF(ISNA(MATCH(Invulblad!$S$51,INDIRECT(U$1&amp;"!$B$3:$B$10"),0)),0,10)+IF(ISNA(MATCH(Invulblad!$S$51,INDIRECT(U$1&amp;"!$D$3:$D$10"),0)),0,10)+IF(ISNA(MATCH(Invulblad!$S$52,INDIRECT(U$1&amp;"!$B$3:$B$10"),0)),0,10)+IF(ISNA(MATCH(Invulblad!$S$52,INDIRECT(U$1&amp;"!$D$3:$D$10"),0)),0,10))</f>
        <v>150</v>
      </c>
      <c r="V48" s="165">
        <f ca="1">IF(V47="","",V47+IF(ISNA(MATCH(Invulblad!$S$51,INDIRECT(V$1&amp;"!$B$3:$B$10"),0)),0,10)+IF(ISNA(MATCH(Invulblad!$S$51,INDIRECT(V$1&amp;"!$D$3:$D$10"),0)),0,10)+IF(ISNA(MATCH(Invulblad!$S$52,INDIRECT(V$1&amp;"!$B$3:$B$10"),0)),0,10)+IF(ISNA(MATCH(Invulblad!$S$52,INDIRECT(V$1&amp;"!$D$3:$D$10"),0)),0,10))</f>
        <v>130</v>
      </c>
      <c r="W48" s="165">
        <f ca="1">IF(W47="","",W47+IF(ISNA(MATCH(Invulblad!$S$51,INDIRECT(W$1&amp;"!$B$3:$B$10"),0)),0,10)+IF(ISNA(MATCH(Invulblad!$S$51,INDIRECT(W$1&amp;"!$D$3:$D$10"),0)),0,10)+IF(ISNA(MATCH(Invulblad!$S$52,INDIRECT(W$1&amp;"!$B$3:$B$10"),0)),0,10)+IF(ISNA(MATCH(Invulblad!$S$52,INDIRECT(W$1&amp;"!$D$3:$D$10"),0)),0,10))</f>
        <v>185</v>
      </c>
      <c r="X48" s="165">
        <f ca="1">IF(X47="","",X47+IF(ISNA(MATCH(Invulblad!$S$51,INDIRECT(X$1&amp;"!$B$3:$B$10"),0)),0,10)+IF(ISNA(MATCH(Invulblad!$S$51,INDIRECT(X$1&amp;"!$D$3:$D$10"),0)),0,10)+IF(ISNA(MATCH(Invulblad!$S$52,INDIRECT(X$1&amp;"!$B$3:$B$10"),0)),0,10)+IF(ISNA(MATCH(Invulblad!$S$52,INDIRECT(X$1&amp;"!$D$3:$D$10"),0)),0,10))</f>
        <v>130</v>
      </c>
      <c r="Y48" s="165">
        <f ca="1">IF(Y47="","",Y47+IF(ISNA(MATCH(Invulblad!$S$51,INDIRECT(Y$1&amp;"!$B$3:$B$10"),0)),0,10)+IF(ISNA(MATCH(Invulblad!$S$51,INDIRECT(Y$1&amp;"!$D$3:$D$10"),0)),0,10)+IF(ISNA(MATCH(Invulblad!$S$52,INDIRECT(Y$1&amp;"!$B$3:$B$10"),0)),0,10)+IF(ISNA(MATCH(Invulblad!$S$52,INDIRECT(Y$1&amp;"!$D$3:$D$10"),0)),0,10))</f>
        <v>165</v>
      </c>
      <c r="Z48" s="165">
        <f ca="1">IF(Z47="","",Z47+IF(ISNA(MATCH(Invulblad!$S$51,INDIRECT(Z$1&amp;"!$B$3:$B$10"),0)),0,10)+IF(ISNA(MATCH(Invulblad!$S$51,INDIRECT(Z$1&amp;"!$D$3:$D$10"),0)),0,10)+IF(ISNA(MATCH(Invulblad!$S$52,INDIRECT(Z$1&amp;"!$B$3:$B$10"),0)),0,10)+IF(ISNA(MATCH(Invulblad!$S$52,INDIRECT(Z$1&amp;"!$D$3:$D$10"),0)),0,10))</f>
        <v>170</v>
      </c>
      <c r="AA48" s="165">
        <f t="shared" ca="1" si="39"/>
        <v>168.33333333333334</v>
      </c>
      <c r="AB48" s="178">
        <f t="shared" ca="1" si="41"/>
        <v>13.75</v>
      </c>
      <c r="AC48" s="331" t="str">
        <f t="shared" si="40"/>
        <v>Boni</v>
      </c>
      <c r="AD48" s="179">
        <f t="shared" ca="1" si="42"/>
        <v>1.6666666666666572</v>
      </c>
      <c r="AE48" s="179">
        <f t="shared" ca="1" si="43"/>
        <v>6.6666666666666572</v>
      </c>
      <c r="AF48" s="179">
        <f t="shared" ca="1" si="44"/>
        <v>-3.3333333333333428</v>
      </c>
      <c r="AG48" s="179">
        <f t="shared" ca="1" si="45"/>
        <v>31.666666666666657</v>
      </c>
      <c r="AH48" s="179">
        <f t="shared" ca="1" si="46"/>
        <v>31.666666666666657</v>
      </c>
      <c r="AI48" s="179">
        <f t="shared" ca="1" si="47"/>
        <v>-38.333333333333343</v>
      </c>
      <c r="AJ48" s="179">
        <f t="shared" ca="1" si="48"/>
        <v>-23.333333333333343</v>
      </c>
      <c r="AK48" s="179">
        <f t="shared" ca="1" si="49"/>
        <v>31.666666666666657</v>
      </c>
      <c r="AL48" s="179">
        <f t="shared" ca="1" si="50"/>
        <v>1.6666666666666572</v>
      </c>
      <c r="AM48" s="179">
        <f t="shared" ca="1" si="51"/>
        <v>6.6666666666666572</v>
      </c>
      <c r="AN48" s="179">
        <f t="shared" ca="1" si="52"/>
        <v>-8.3333333333333428</v>
      </c>
      <c r="AO48" s="179">
        <f t="shared" ca="1" si="27"/>
        <v>-8.3333333333333428</v>
      </c>
      <c r="AP48" s="179">
        <f t="shared" ca="1" si="28"/>
        <v>-8.3333333333333428</v>
      </c>
      <c r="AQ48" s="179">
        <f t="shared" ca="1" si="28"/>
        <v>-18.333333333333343</v>
      </c>
      <c r="AR48" s="179">
        <f t="shared" ca="1" si="29"/>
        <v>21.666666666666657</v>
      </c>
      <c r="AS48" s="179">
        <f t="shared" ca="1" si="30"/>
        <v>21.666666666666657</v>
      </c>
      <c r="AT48" s="179">
        <f t="shared" ca="1" si="31"/>
        <v>-18.333333333333343</v>
      </c>
      <c r="AU48" s="179">
        <f t="shared" ca="1" si="32"/>
        <v>1.6666666666666572</v>
      </c>
      <c r="AV48" s="179">
        <f t="shared" ca="1" si="33"/>
        <v>-18.333333333333343</v>
      </c>
      <c r="AW48" s="179">
        <f t="shared" ca="1" si="34"/>
        <v>-38.333333333333343</v>
      </c>
      <c r="AX48" s="179">
        <f t="shared" ca="1" si="35"/>
        <v>16.666666666666657</v>
      </c>
      <c r="AY48" s="179">
        <f t="shared" ca="1" si="36"/>
        <v>-38.333333333333343</v>
      </c>
      <c r="AZ48" s="179">
        <f t="shared" ca="1" si="37"/>
        <v>-3.3333333333333428</v>
      </c>
      <c r="BA48" s="179">
        <f t="shared" ca="1" si="38"/>
        <v>1.6666666666666572</v>
      </c>
    </row>
    <row r="49" spans="1:53">
      <c r="A49" s="173">
        <v>41</v>
      </c>
      <c r="B49" s="157" t="str">
        <f>VLOOKUP($A49,wedstrijden,6,0)&amp;"-"&amp;VLOOKUP($A49,wedstrijden,10,0)</f>
        <v>Honduras-Zwitserland</v>
      </c>
      <c r="C49" s="298">
        <f ca="1">IF(VLOOKUP($A49,INDIRECT(C$1&amp;loc_voorspell),15,0)&lt;&gt;"",VLOOKUP($A49,INDIRECT(C$1&amp;loc_voorspell),15,0)+C48,"")</f>
        <v>175</v>
      </c>
      <c r="D49" s="298">
        <f ca="1">IF(VLOOKUP($A49,INDIRECT(D$1&amp;loc_voorspell),15,0)&lt;&gt;"",VLOOKUP($A49,INDIRECT(D$1&amp;loc_voorspell),15,0)+D48,"")</f>
        <v>180</v>
      </c>
      <c r="E49" s="298">
        <f ca="1">IF(VLOOKUP($A49,INDIRECT(E$1&amp;loc_voorspell),15,0)&lt;&gt;"",VLOOKUP($A49,INDIRECT(E$1&amp;loc_voorspell),15,0)+E48,"")</f>
        <v>170</v>
      </c>
      <c r="F49" s="298">
        <f ca="1">IF(VLOOKUP($A49,INDIRECT(F$1&amp;loc_voorspell),15,0)&lt;&gt;"",VLOOKUP($A49,INDIRECT(F$1&amp;loc_voorspell),15,0)+F48,"")</f>
        <v>200</v>
      </c>
      <c r="G49" s="298">
        <f ca="1">IF(VLOOKUP($A49,INDIRECT(G$1&amp;loc_voorspell),15,0)&lt;&gt;"",VLOOKUP($A49,INDIRECT(G$1&amp;loc_voorspell),15,0)+G48,"")</f>
        <v>205</v>
      </c>
      <c r="H49" s="298">
        <f ca="1">IF(VLOOKUP($A49,INDIRECT(H$1&amp;loc_voorspell),15,0)&lt;&gt;"",VLOOKUP($A49,INDIRECT(H$1&amp;loc_voorspell),15,0)+H48,"")</f>
        <v>135</v>
      </c>
      <c r="I49" s="298">
        <f ca="1">IF(VLOOKUP($A49,INDIRECT(I$1&amp;loc_voorspell),15,0)&lt;&gt;"",VLOOKUP($A49,INDIRECT(I$1&amp;loc_voorspell),15,0)+I48,"")</f>
        <v>145</v>
      </c>
      <c r="J49" s="298">
        <f ca="1">IF(VLOOKUP($A49,INDIRECT(J$1&amp;loc_voorspell),15,0)&lt;&gt;"",VLOOKUP($A49,INDIRECT(J$1&amp;loc_voorspell),15,0)+J48,"")</f>
        <v>205</v>
      </c>
      <c r="K49" s="298">
        <f ca="1">IF(VLOOKUP($A49,INDIRECT(K$1&amp;loc_voorspell),15,0)&lt;&gt;"",VLOOKUP($A49,INDIRECT(K$1&amp;loc_voorspell),15,0)+K48,"")</f>
        <v>175</v>
      </c>
      <c r="L49" s="298">
        <f ca="1">IF(VLOOKUP($A49,INDIRECT(L$1&amp;loc_voorspell),15,0)&lt;&gt;"",VLOOKUP($A49,INDIRECT(L$1&amp;loc_voorspell),15,0)+L48,"")</f>
        <v>180</v>
      </c>
      <c r="M49" s="298">
        <f ca="1">IF(VLOOKUP($A49,INDIRECT(M$1&amp;loc_voorspell),15,0)&lt;&gt;"",VLOOKUP($A49,INDIRECT(M$1&amp;loc_voorspell),15,0)+M48,"")</f>
        <v>165</v>
      </c>
      <c r="N49" s="298">
        <f ca="1">IF(VLOOKUP($A49,INDIRECT(N$1&amp;loc_voorspell),15,0)&lt;&gt;"",VLOOKUP($A49,INDIRECT(N$1&amp;loc_voorspell),15,0)+N48,"")</f>
        <v>210</v>
      </c>
      <c r="O49" s="298">
        <f ca="1">IF(VLOOKUP($A49,INDIRECT(O$1&amp;loc_voorspell),15,0)&lt;&gt;"",VLOOKUP($A49,INDIRECT(O$1&amp;loc_voorspell),15,0)+O48,"")</f>
        <v>165</v>
      </c>
      <c r="P49" s="298">
        <f ca="1">IF(VLOOKUP($A49,INDIRECT(P$1&amp;loc_voorspell),15,0)&lt;&gt;"",VLOOKUP($A49,INDIRECT(P$1&amp;loc_voorspell),15,0)+P48,"")</f>
        <v>155</v>
      </c>
      <c r="Q49" s="298">
        <f ca="1">IF(VLOOKUP($A49,INDIRECT(Q$1&amp;loc_voorspell),15,0)&lt;&gt;"",VLOOKUP($A49,INDIRECT(Q$1&amp;loc_voorspell),15,0)+Q48,"")</f>
        <v>195</v>
      </c>
      <c r="R49" s="298">
        <f ca="1">IF(VLOOKUP($A49,INDIRECT(R$1&amp;loc_voorspell),15,0)&lt;&gt;"",VLOOKUP($A49,INDIRECT(R$1&amp;loc_voorspell),15,0)+R48,"")</f>
        <v>195</v>
      </c>
      <c r="S49" s="298">
        <f ca="1">IF(VLOOKUP($A49,INDIRECT(S$1&amp;loc_voorspell),15,0)&lt;&gt;"",VLOOKUP($A49,INDIRECT(S$1&amp;loc_voorspell),15,0)+S48,"")</f>
        <v>150</v>
      </c>
      <c r="T49" s="298">
        <f ca="1">IF(VLOOKUP($A49,INDIRECT(T$1&amp;loc_voorspell),15,0)&lt;&gt;"",VLOOKUP($A49,INDIRECT(T$1&amp;loc_voorspell),15,0)+T48,"")</f>
        <v>175</v>
      </c>
      <c r="U49" s="298">
        <f ca="1">IF(VLOOKUP($A49,INDIRECT(U$1&amp;loc_voorspell),15,0)&lt;&gt;"",VLOOKUP($A49,INDIRECT(U$1&amp;loc_voorspell),15,0)+U48,"")</f>
        <v>150</v>
      </c>
      <c r="V49" s="298">
        <f ca="1">IF(VLOOKUP($A49,INDIRECT(V$1&amp;loc_voorspell),15,0)&lt;&gt;"",VLOOKUP($A49,INDIRECT(V$1&amp;loc_voorspell),15,0)+V48,"")</f>
        <v>135</v>
      </c>
      <c r="W49" s="298">
        <f ca="1">IF(VLOOKUP($A49,INDIRECT(W$1&amp;loc_voorspell),15,0)&lt;&gt;"",VLOOKUP($A49,INDIRECT(W$1&amp;loc_voorspell),15,0)+W48,"")</f>
        <v>190</v>
      </c>
      <c r="X49" s="298">
        <f ca="1">IF(VLOOKUP($A49,INDIRECT(X$1&amp;loc_voorspell),15,0)&lt;&gt;"",VLOOKUP($A49,INDIRECT(X$1&amp;loc_voorspell),15,0)+X48,"")</f>
        <v>130</v>
      </c>
      <c r="Y49" s="298">
        <f ca="1">IF(VLOOKUP($A49,INDIRECT(Y$1&amp;loc_voorspell),15,0)&lt;&gt;"",VLOOKUP($A49,INDIRECT(Y$1&amp;loc_voorspell),15,0)+Y48,"")</f>
        <v>170</v>
      </c>
      <c r="Z49" s="298">
        <f ca="1">IF(VLOOKUP($A49,INDIRECT(Z$1&amp;loc_voorspell),15,0)&lt;&gt;"",VLOOKUP($A49,INDIRECT(Z$1&amp;loc_voorspell),15,0)+Z48,"")</f>
        <v>175</v>
      </c>
      <c r="AA49" s="165">
        <f t="shared" ca="1" si="39"/>
        <v>172.08333333333334</v>
      </c>
      <c r="AB49" s="178">
        <f t="shared" ca="1" si="41"/>
        <v>3.75</v>
      </c>
      <c r="AC49" s="331" t="str">
        <f t="shared" si="40"/>
        <v>Honduras-Zwitserland</v>
      </c>
      <c r="AD49" s="179">
        <f t="shared" ca="1" si="42"/>
        <v>2.9166666666666572</v>
      </c>
      <c r="AE49" s="179">
        <f t="shared" ca="1" si="43"/>
        <v>7.9166666666666572</v>
      </c>
      <c r="AF49" s="179">
        <f t="shared" ca="1" si="44"/>
        <v>-2.0833333333333428</v>
      </c>
      <c r="AG49" s="179">
        <f t="shared" ca="1" si="45"/>
        <v>27.916666666666657</v>
      </c>
      <c r="AH49" s="179">
        <f t="shared" ca="1" si="46"/>
        <v>32.916666666666657</v>
      </c>
      <c r="AI49" s="179">
        <f t="shared" ca="1" si="47"/>
        <v>-37.083333333333343</v>
      </c>
      <c r="AJ49" s="179">
        <f t="shared" ca="1" si="48"/>
        <v>-27.083333333333343</v>
      </c>
      <c r="AK49" s="179">
        <f t="shared" ca="1" si="49"/>
        <v>32.916666666666657</v>
      </c>
      <c r="AL49" s="179">
        <f t="shared" ca="1" si="50"/>
        <v>2.9166666666666572</v>
      </c>
      <c r="AM49" s="179">
        <f t="shared" ca="1" si="51"/>
        <v>7.9166666666666572</v>
      </c>
      <c r="AN49" s="179">
        <f t="shared" ca="1" si="52"/>
        <v>-7.0833333333333428</v>
      </c>
      <c r="AO49" s="179">
        <f t="shared" ca="1" si="27"/>
        <v>-7.0833333333333428</v>
      </c>
      <c r="AP49" s="179">
        <f t="shared" ca="1" si="28"/>
        <v>-7.0833333333333428</v>
      </c>
      <c r="AQ49" s="179">
        <f t="shared" ca="1" si="28"/>
        <v>-17.083333333333343</v>
      </c>
      <c r="AR49" s="179">
        <f t="shared" ca="1" si="29"/>
        <v>22.916666666666657</v>
      </c>
      <c r="AS49" s="179">
        <f t="shared" ca="1" si="30"/>
        <v>22.916666666666657</v>
      </c>
      <c r="AT49" s="179">
        <f t="shared" ca="1" si="31"/>
        <v>-22.083333333333343</v>
      </c>
      <c r="AU49" s="179">
        <f t="shared" ca="1" si="32"/>
        <v>2.9166666666666572</v>
      </c>
      <c r="AV49" s="179">
        <f t="shared" ca="1" si="33"/>
        <v>-22.083333333333343</v>
      </c>
      <c r="AW49" s="179">
        <f t="shared" ca="1" si="34"/>
        <v>-37.083333333333343</v>
      </c>
      <c r="AX49" s="179">
        <f t="shared" ca="1" si="35"/>
        <v>17.916666666666657</v>
      </c>
      <c r="AY49" s="179">
        <f t="shared" ca="1" si="36"/>
        <v>-42.083333333333343</v>
      </c>
      <c r="AZ49" s="179">
        <f t="shared" ca="1" si="37"/>
        <v>-2.0833333333333428</v>
      </c>
      <c r="BA49" s="179">
        <f t="shared" ca="1" si="38"/>
        <v>2.9166666666666572</v>
      </c>
    </row>
    <row r="50" spans="1:53">
      <c r="A50" s="173">
        <v>42</v>
      </c>
      <c r="B50" s="158" t="str">
        <f>VLOOKUP($A50,wedstrijden,6,0)&amp;"-"&amp;VLOOKUP($A50,wedstrijden,10,0)</f>
        <v>Ecuador-Frankrijk</v>
      </c>
      <c r="C50" s="299">
        <f ca="1">IF(VLOOKUP($A50,INDIRECT(C$1&amp;loc_voorspell),15,0)&lt;&gt;"",VLOOKUP($A50,INDIRECT(C$1&amp;loc_voorspell),15,0)+C49,"")</f>
        <v>175</v>
      </c>
      <c r="D50" s="299">
        <f ca="1">IF(VLOOKUP($A50,INDIRECT(D$1&amp;loc_voorspell),15,0)&lt;&gt;"",VLOOKUP($A50,INDIRECT(D$1&amp;loc_voorspell),15,0)+D49,"")</f>
        <v>180</v>
      </c>
      <c r="E50" s="299">
        <f ca="1">IF(VLOOKUP($A50,INDIRECT(E$1&amp;loc_voorspell),15,0)&lt;&gt;"",VLOOKUP($A50,INDIRECT(E$1&amp;loc_voorspell),15,0)+E49,"")</f>
        <v>175</v>
      </c>
      <c r="F50" s="299">
        <f ca="1">IF(VLOOKUP($A50,INDIRECT(F$1&amp;loc_voorspell),15,0)&lt;&gt;"",VLOOKUP($A50,INDIRECT(F$1&amp;loc_voorspell),15,0)+F49,"")</f>
        <v>205</v>
      </c>
      <c r="G50" s="299">
        <f ca="1">IF(VLOOKUP($A50,INDIRECT(G$1&amp;loc_voorspell),15,0)&lt;&gt;"",VLOOKUP($A50,INDIRECT(G$1&amp;loc_voorspell),15,0)+G49,"")</f>
        <v>205</v>
      </c>
      <c r="H50" s="299">
        <f ca="1">IF(VLOOKUP($A50,INDIRECT(H$1&amp;loc_voorspell),15,0)&lt;&gt;"",VLOOKUP($A50,INDIRECT(H$1&amp;loc_voorspell),15,0)+H49,"")</f>
        <v>140</v>
      </c>
      <c r="I50" s="299">
        <f ca="1">IF(VLOOKUP($A50,INDIRECT(I$1&amp;loc_voorspell),15,0)&lt;&gt;"",VLOOKUP($A50,INDIRECT(I$1&amp;loc_voorspell),15,0)+I49,"")</f>
        <v>150</v>
      </c>
      <c r="J50" s="299">
        <f ca="1">IF(VLOOKUP($A50,INDIRECT(J$1&amp;loc_voorspell),15,0)&lt;&gt;"",VLOOKUP($A50,INDIRECT(J$1&amp;loc_voorspell),15,0)+J49,"")</f>
        <v>205</v>
      </c>
      <c r="K50" s="299">
        <f ca="1">IF(VLOOKUP($A50,INDIRECT(K$1&amp;loc_voorspell),15,0)&lt;&gt;"",VLOOKUP($A50,INDIRECT(K$1&amp;loc_voorspell),15,0)+K49,"")</f>
        <v>175</v>
      </c>
      <c r="L50" s="299">
        <f ca="1">IF(VLOOKUP($A50,INDIRECT(L$1&amp;loc_voorspell),15,0)&lt;&gt;"",VLOOKUP($A50,INDIRECT(L$1&amp;loc_voorspell),15,0)+L49,"")</f>
        <v>180</v>
      </c>
      <c r="M50" s="299">
        <f ca="1">IF(VLOOKUP($A50,INDIRECT(M$1&amp;loc_voorspell),15,0)&lt;&gt;"",VLOOKUP($A50,INDIRECT(M$1&amp;loc_voorspell),15,0)+M49,"")</f>
        <v>165</v>
      </c>
      <c r="N50" s="299">
        <f ca="1">IF(VLOOKUP($A50,INDIRECT(N$1&amp;loc_voorspell),15,0)&lt;&gt;"",VLOOKUP($A50,INDIRECT(N$1&amp;loc_voorspell),15,0)+N49,"")</f>
        <v>210</v>
      </c>
      <c r="O50" s="299">
        <f ca="1">IF(VLOOKUP($A50,INDIRECT(O$1&amp;loc_voorspell),15,0)&lt;&gt;"",VLOOKUP($A50,INDIRECT(O$1&amp;loc_voorspell),15,0)+O49,"")</f>
        <v>165</v>
      </c>
      <c r="P50" s="299">
        <f ca="1">IF(VLOOKUP($A50,INDIRECT(P$1&amp;loc_voorspell),15,0)&lt;&gt;"",VLOOKUP($A50,INDIRECT(P$1&amp;loc_voorspell),15,0)+P49,"")</f>
        <v>155</v>
      </c>
      <c r="Q50" s="299">
        <f ca="1">IF(VLOOKUP($A50,INDIRECT(Q$1&amp;loc_voorspell),15,0)&lt;&gt;"",VLOOKUP($A50,INDIRECT(Q$1&amp;loc_voorspell),15,0)+Q49,"")</f>
        <v>195</v>
      </c>
      <c r="R50" s="299">
        <f ca="1">IF(VLOOKUP($A50,INDIRECT(R$1&amp;loc_voorspell),15,0)&lt;&gt;"",VLOOKUP($A50,INDIRECT(R$1&amp;loc_voorspell),15,0)+R49,"")</f>
        <v>195</v>
      </c>
      <c r="S50" s="299">
        <f ca="1">IF(VLOOKUP($A50,INDIRECT(S$1&amp;loc_voorspell),15,0)&lt;&gt;"",VLOOKUP($A50,INDIRECT(S$1&amp;loc_voorspell),15,0)+S49,"")</f>
        <v>150</v>
      </c>
      <c r="T50" s="299">
        <f ca="1">IF(VLOOKUP($A50,INDIRECT(T$1&amp;loc_voorspell),15,0)&lt;&gt;"",VLOOKUP($A50,INDIRECT(T$1&amp;loc_voorspell),15,0)+T49,"")</f>
        <v>175</v>
      </c>
      <c r="U50" s="299">
        <f ca="1">IF(VLOOKUP($A50,INDIRECT(U$1&amp;loc_voorspell),15,0)&lt;&gt;"",VLOOKUP($A50,INDIRECT(U$1&amp;loc_voorspell),15,0)+U49,"")</f>
        <v>150</v>
      </c>
      <c r="V50" s="299">
        <f ca="1">IF(VLOOKUP($A50,INDIRECT(V$1&amp;loc_voorspell),15,0)&lt;&gt;"",VLOOKUP($A50,INDIRECT(V$1&amp;loc_voorspell),15,0)+V49,"")</f>
        <v>135</v>
      </c>
      <c r="W50" s="299">
        <f ca="1">IF(VLOOKUP($A50,INDIRECT(W$1&amp;loc_voorspell),15,0)&lt;&gt;"",VLOOKUP($A50,INDIRECT(W$1&amp;loc_voorspell),15,0)+W49,"")</f>
        <v>200</v>
      </c>
      <c r="X50" s="299">
        <f ca="1">IF(VLOOKUP($A50,INDIRECT(X$1&amp;loc_voorspell),15,0)&lt;&gt;"",VLOOKUP($A50,INDIRECT(X$1&amp;loc_voorspell),15,0)+X49,"")</f>
        <v>130</v>
      </c>
      <c r="Y50" s="299">
        <f ca="1">IF(VLOOKUP($A50,INDIRECT(Y$1&amp;loc_voorspell),15,0)&lt;&gt;"",VLOOKUP($A50,INDIRECT(Y$1&amp;loc_voorspell),15,0)+Y49,"")</f>
        <v>175</v>
      </c>
      <c r="Z50" s="299">
        <f ca="1">IF(VLOOKUP($A50,INDIRECT(Z$1&amp;loc_voorspell),15,0)&lt;&gt;"",VLOOKUP($A50,INDIRECT(Z$1&amp;loc_voorspell),15,0)+Z49,"")</f>
        <v>175</v>
      </c>
      <c r="AA50" s="165">
        <f t="shared" ca="1" si="39"/>
        <v>173.54166666666666</v>
      </c>
      <c r="AB50" s="178">
        <f t="shared" ca="1" si="41"/>
        <v>1.4583333333333144</v>
      </c>
      <c r="AC50" s="331" t="str">
        <f t="shared" si="40"/>
        <v>Ecuador-Frankrijk</v>
      </c>
      <c r="AD50" s="179">
        <f t="shared" ca="1" si="42"/>
        <v>1.4583333333333428</v>
      </c>
      <c r="AE50" s="179">
        <f t="shared" ca="1" si="43"/>
        <v>6.4583333333333428</v>
      </c>
      <c r="AF50" s="179">
        <f t="shared" ca="1" si="44"/>
        <v>1.4583333333333428</v>
      </c>
      <c r="AG50" s="179">
        <f t="shared" ca="1" si="45"/>
        <v>31.458333333333343</v>
      </c>
      <c r="AH50" s="179">
        <f t="shared" ca="1" si="46"/>
        <v>31.458333333333343</v>
      </c>
      <c r="AI50" s="179">
        <f t="shared" ca="1" si="47"/>
        <v>-33.541666666666657</v>
      </c>
      <c r="AJ50" s="179">
        <f t="shared" ca="1" si="48"/>
        <v>-23.541666666666657</v>
      </c>
      <c r="AK50" s="179">
        <f t="shared" ca="1" si="49"/>
        <v>31.458333333333343</v>
      </c>
      <c r="AL50" s="179">
        <f t="shared" ca="1" si="50"/>
        <v>1.4583333333333428</v>
      </c>
      <c r="AM50" s="179">
        <f t="shared" ca="1" si="51"/>
        <v>6.4583333333333428</v>
      </c>
      <c r="AN50" s="179">
        <f t="shared" ca="1" si="52"/>
        <v>-8.5416666666666572</v>
      </c>
      <c r="AO50" s="179">
        <f t="shared" ca="1" si="27"/>
        <v>-8.5416666666666572</v>
      </c>
      <c r="AP50" s="179">
        <f t="shared" ca="1" si="28"/>
        <v>-8.5416666666666572</v>
      </c>
      <c r="AQ50" s="179">
        <f t="shared" ca="1" si="28"/>
        <v>-18.541666666666657</v>
      </c>
      <c r="AR50" s="179">
        <f t="shared" ca="1" si="29"/>
        <v>21.458333333333343</v>
      </c>
      <c r="AS50" s="179">
        <f t="shared" ca="1" si="30"/>
        <v>21.458333333333343</v>
      </c>
      <c r="AT50" s="179">
        <f t="shared" ca="1" si="31"/>
        <v>-23.541666666666657</v>
      </c>
      <c r="AU50" s="179">
        <f t="shared" ca="1" si="32"/>
        <v>1.4583333333333428</v>
      </c>
      <c r="AV50" s="179">
        <f t="shared" ca="1" si="33"/>
        <v>-23.541666666666657</v>
      </c>
      <c r="AW50" s="179">
        <f t="shared" ca="1" si="34"/>
        <v>-38.541666666666657</v>
      </c>
      <c r="AX50" s="179">
        <f t="shared" ca="1" si="35"/>
        <v>26.458333333333343</v>
      </c>
      <c r="AY50" s="179">
        <f t="shared" ca="1" si="36"/>
        <v>-43.541666666666657</v>
      </c>
      <c r="AZ50" s="179">
        <f t="shared" ca="1" si="37"/>
        <v>1.4583333333333428</v>
      </c>
      <c r="BA50" s="179">
        <f t="shared" ca="1" si="38"/>
        <v>1.4583333333333428</v>
      </c>
    </row>
    <row r="51" spans="1:53">
      <c r="A51" s="180" t="str">
        <f>B51</f>
        <v>Boni</v>
      </c>
      <c r="B51" s="324" t="s">
        <v>366</v>
      </c>
      <c r="C51" s="165">
        <f ca="1">IF(C50="","",C50+IF(ISNA(MATCH(Invulblad!$S$43,INDIRECT(C$1&amp;"!$B$3:$B$10"),0)),0,10)+IF(ISNA(MATCH(Invulblad!$S$43,INDIRECT(C$1&amp;"!$D$3:$D$10"),0)),0,10)+IF(ISNA(MATCH(Invulblad!$S$44,INDIRECT(C$1&amp;"!$B$3:$B$10"),0)),0,10)+IF(ISNA(MATCH(Invulblad!$S$44,INDIRECT(C$1&amp;"!$D$3:$D$10"),0)),0,10))</f>
        <v>185</v>
      </c>
      <c r="D51" s="165">
        <f ca="1">IF(D50="","",D50+IF(ISNA(MATCH(Invulblad!$S$43,INDIRECT(D$1&amp;"!$B$3:$B$10"),0)),0,10)+IF(ISNA(MATCH(Invulblad!$S$43,INDIRECT(D$1&amp;"!$D$3:$D$10"),0)),0,10)+IF(ISNA(MATCH(Invulblad!$S$44,INDIRECT(D$1&amp;"!$B$3:$B$10"),0)),0,10)+IF(ISNA(MATCH(Invulblad!$S$44,INDIRECT(D$1&amp;"!$D$3:$D$10"),0)),0,10))</f>
        <v>200</v>
      </c>
      <c r="E51" s="165">
        <f ca="1">IF(E50="","",E50+IF(ISNA(MATCH(Invulblad!$S$43,INDIRECT(E$1&amp;"!$B$3:$B$10"),0)),0,10)+IF(ISNA(MATCH(Invulblad!$S$43,INDIRECT(E$1&amp;"!$D$3:$D$10"),0)),0,10)+IF(ISNA(MATCH(Invulblad!$S$44,INDIRECT(E$1&amp;"!$B$3:$B$10"),0)),0,10)+IF(ISNA(MATCH(Invulblad!$S$44,INDIRECT(E$1&amp;"!$D$3:$D$10"),0)),0,10))</f>
        <v>195</v>
      </c>
      <c r="F51" s="165">
        <f ca="1">IF(F50="","",F50+IF(ISNA(MATCH(Invulblad!$S$43,INDIRECT(F$1&amp;"!$B$3:$B$10"),0)),0,10)+IF(ISNA(MATCH(Invulblad!$S$43,INDIRECT(F$1&amp;"!$D$3:$D$10"),0)),0,10)+IF(ISNA(MATCH(Invulblad!$S$44,INDIRECT(F$1&amp;"!$B$3:$B$10"),0)),0,10)+IF(ISNA(MATCH(Invulblad!$S$44,INDIRECT(F$1&amp;"!$D$3:$D$10"),0)),0,10))</f>
        <v>215</v>
      </c>
      <c r="G51" s="165">
        <f ca="1">IF(G50="","",G50+IF(ISNA(MATCH(Invulblad!$S$43,INDIRECT(G$1&amp;"!$B$3:$B$10"),0)),0,10)+IF(ISNA(MATCH(Invulblad!$S$43,INDIRECT(G$1&amp;"!$D$3:$D$10"),0)),0,10)+IF(ISNA(MATCH(Invulblad!$S$44,INDIRECT(G$1&amp;"!$B$3:$B$10"),0)),0,10)+IF(ISNA(MATCH(Invulblad!$S$44,INDIRECT(G$1&amp;"!$D$3:$D$10"),0)),0,10))</f>
        <v>215</v>
      </c>
      <c r="H51" s="165">
        <f ca="1">IF(H50="","",H50+IF(ISNA(MATCH(Invulblad!$S$43,INDIRECT(H$1&amp;"!$B$3:$B$10"),0)),0,10)+IF(ISNA(MATCH(Invulblad!$S$43,INDIRECT(H$1&amp;"!$D$3:$D$10"),0)),0,10)+IF(ISNA(MATCH(Invulblad!$S$44,INDIRECT(H$1&amp;"!$B$3:$B$10"),0)),0,10)+IF(ISNA(MATCH(Invulblad!$S$44,INDIRECT(H$1&amp;"!$D$3:$D$10"),0)),0,10))</f>
        <v>160</v>
      </c>
      <c r="I51" s="165">
        <f ca="1">IF(I50="","",I50+IF(ISNA(MATCH(Invulblad!$S$43,INDIRECT(I$1&amp;"!$B$3:$B$10"),0)),0,10)+IF(ISNA(MATCH(Invulblad!$S$43,INDIRECT(I$1&amp;"!$D$3:$D$10"),0)),0,10)+IF(ISNA(MATCH(Invulblad!$S$44,INDIRECT(I$1&amp;"!$B$3:$B$10"),0)),0,10)+IF(ISNA(MATCH(Invulblad!$S$44,INDIRECT(I$1&amp;"!$D$3:$D$10"),0)),0,10))</f>
        <v>160</v>
      </c>
      <c r="J51" s="165">
        <f ca="1">IF(J50="","",J50+IF(ISNA(MATCH(Invulblad!$S$43,INDIRECT(J$1&amp;"!$B$3:$B$10"),0)),0,10)+IF(ISNA(MATCH(Invulblad!$S$43,INDIRECT(J$1&amp;"!$D$3:$D$10"),0)),0,10)+IF(ISNA(MATCH(Invulblad!$S$44,INDIRECT(J$1&amp;"!$B$3:$B$10"),0)),0,10)+IF(ISNA(MATCH(Invulblad!$S$44,INDIRECT(J$1&amp;"!$D$3:$D$10"),0)),0,10))</f>
        <v>225</v>
      </c>
      <c r="K51" s="165">
        <f ca="1">IF(K50="","",K50+IF(ISNA(MATCH(Invulblad!$S$43,INDIRECT(K$1&amp;"!$B$3:$B$10"),0)),0,10)+IF(ISNA(MATCH(Invulblad!$S$43,INDIRECT(K$1&amp;"!$D$3:$D$10"),0)),0,10)+IF(ISNA(MATCH(Invulblad!$S$44,INDIRECT(K$1&amp;"!$B$3:$B$10"),0)),0,10)+IF(ISNA(MATCH(Invulblad!$S$44,INDIRECT(K$1&amp;"!$D$3:$D$10"),0)),0,10))</f>
        <v>195</v>
      </c>
      <c r="L51" s="165">
        <f ca="1">IF(L50="","",L50+IF(ISNA(MATCH(Invulblad!$S$43,INDIRECT(L$1&amp;"!$B$3:$B$10"),0)),0,10)+IF(ISNA(MATCH(Invulblad!$S$43,INDIRECT(L$1&amp;"!$D$3:$D$10"),0)),0,10)+IF(ISNA(MATCH(Invulblad!$S$44,INDIRECT(L$1&amp;"!$B$3:$B$10"),0)),0,10)+IF(ISNA(MATCH(Invulblad!$S$44,INDIRECT(L$1&amp;"!$D$3:$D$10"),0)),0,10))</f>
        <v>190</v>
      </c>
      <c r="M51" s="165">
        <f ca="1">IF(M50="","",M50+IF(ISNA(MATCH(Invulblad!$S$43,INDIRECT(M$1&amp;"!$B$3:$B$10"),0)),0,10)+IF(ISNA(MATCH(Invulblad!$S$43,INDIRECT(M$1&amp;"!$D$3:$D$10"),0)),0,10)+IF(ISNA(MATCH(Invulblad!$S$44,INDIRECT(M$1&amp;"!$B$3:$B$10"),0)),0,10)+IF(ISNA(MATCH(Invulblad!$S$44,INDIRECT(M$1&amp;"!$D$3:$D$10"),0)),0,10))</f>
        <v>185</v>
      </c>
      <c r="N51" s="165">
        <f ca="1">IF(N50="","",N50+IF(ISNA(MATCH(Invulblad!$S$43,INDIRECT(N$1&amp;"!$B$3:$B$10"),0)),0,10)+IF(ISNA(MATCH(Invulblad!$S$43,INDIRECT(N$1&amp;"!$D$3:$D$10"),0)),0,10)+IF(ISNA(MATCH(Invulblad!$S$44,INDIRECT(N$1&amp;"!$B$3:$B$10"),0)),0,10)+IF(ISNA(MATCH(Invulblad!$S$44,INDIRECT(N$1&amp;"!$D$3:$D$10"),0)),0,10))</f>
        <v>220</v>
      </c>
      <c r="O51" s="165">
        <f ca="1">IF(O50="","",O50+IF(ISNA(MATCH(Invulblad!$S$43,INDIRECT(O$1&amp;"!$B$3:$B$10"),0)),0,10)+IF(ISNA(MATCH(Invulblad!$S$43,INDIRECT(O$1&amp;"!$D$3:$D$10"),0)),0,10)+IF(ISNA(MATCH(Invulblad!$S$44,INDIRECT(O$1&amp;"!$B$3:$B$10"),0)),0,10)+IF(ISNA(MATCH(Invulblad!$S$44,INDIRECT(O$1&amp;"!$D$3:$D$10"),0)),0,10))</f>
        <v>175</v>
      </c>
      <c r="P51" s="165">
        <f ca="1">IF(P50="","",P50+IF(ISNA(MATCH(Invulblad!$S$43,INDIRECT(P$1&amp;"!$B$3:$B$10"),0)),0,10)+IF(ISNA(MATCH(Invulblad!$S$43,INDIRECT(P$1&amp;"!$D$3:$D$10"),0)),0,10)+IF(ISNA(MATCH(Invulblad!$S$44,INDIRECT(P$1&amp;"!$B$3:$B$10"),0)),0,10)+IF(ISNA(MATCH(Invulblad!$S$44,INDIRECT(P$1&amp;"!$D$3:$D$10"),0)),0,10))</f>
        <v>175</v>
      </c>
      <c r="Q51" s="165">
        <f ca="1">IF(Q50="","",Q50+IF(ISNA(MATCH(Invulblad!$S$43,INDIRECT(Q$1&amp;"!$B$3:$B$10"),0)),0,10)+IF(ISNA(MATCH(Invulblad!$S$43,INDIRECT(Q$1&amp;"!$D$3:$D$10"),0)),0,10)+IF(ISNA(MATCH(Invulblad!$S$44,INDIRECT(Q$1&amp;"!$B$3:$B$10"),0)),0,10)+IF(ISNA(MATCH(Invulblad!$S$44,INDIRECT(Q$1&amp;"!$D$3:$D$10"),0)),0,10))</f>
        <v>205</v>
      </c>
      <c r="R51" s="165">
        <f ca="1">IF(R50="","",R50+IF(ISNA(MATCH(Invulblad!$S$43,INDIRECT(R$1&amp;"!$B$3:$B$10"),0)),0,10)+IF(ISNA(MATCH(Invulblad!$S$43,INDIRECT(R$1&amp;"!$D$3:$D$10"),0)),0,10)+IF(ISNA(MATCH(Invulblad!$S$44,INDIRECT(R$1&amp;"!$B$3:$B$10"),0)),0,10)+IF(ISNA(MATCH(Invulblad!$S$44,INDIRECT(R$1&amp;"!$D$3:$D$10"),0)),0,10))</f>
        <v>215</v>
      </c>
      <c r="S51" s="165">
        <f ca="1">IF(S50="","",S50+IF(ISNA(MATCH(Invulblad!$S$43,INDIRECT(S$1&amp;"!$B$3:$B$10"),0)),0,10)+IF(ISNA(MATCH(Invulblad!$S$43,INDIRECT(S$1&amp;"!$D$3:$D$10"),0)),0,10)+IF(ISNA(MATCH(Invulblad!$S$44,INDIRECT(S$1&amp;"!$B$3:$B$10"),0)),0,10)+IF(ISNA(MATCH(Invulblad!$S$44,INDIRECT(S$1&amp;"!$D$3:$D$10"),0)),0,10))</f>
        <v>160</v>
      </c>
      <c r="T51" s="165">
        <f ca="1">IF(T50="","",T50+IF(ISNA(MATCH(Invulblad!$S$43,INDIRECT(T$1&amp;"!$B$3:$B$10"),0)),0,10)+IF(ISNA(MATCH(Invulblad!$S$43,INDIRECT(T$1&amp;"!$D$3:$D$10"),0)),0,10)+IF(ISNA(MATCH(Invulblad!$S$44,INDIRECT(T$1&amp;"!$B$3:$B$10"),0)),0,10)+IF(ISNA(MATCH(Invulblad!$S$44,INDIRECT(T$1&amp;"!$D$3:$D$10"),0)),0,10))</f>
        <v>195</v>
      </c>
      <c r="U51" s="165">
        <f ca="1">IF(U50="","",U50+IF(ISNA(MATCH(Invulblad!$S$43,INDIRECT(U$1&amp;"!$B$3:$B$10"),0)),0,10)+IF(ISNA(MATCH(Invulblad!$S$43,INDIRECT(U$1&amp;"!$D$3:$D$10"),0)),0,10)+IF(ISNA(MATCH(Invulblad!$S$44,INDIRECT(U$1&amp;"!$B$3:$B$10"),0)),0,10)+IF(ISNA(MATCH(Invulblad!$S$44,INDIRECT(U$1&amp;"!$D$3:$D$10"),0)),0,10))</f>
        <v>160</v>
      </c>
      <c r="V51" s="165">
        <f ca="1">IF(V50="","",V50+IF(ISNA(MATCH(Invulblad!$S$43,INDIRECT(V$1&amp;"!$B$3:$B$10"),0)),0,10)+IF(ISNA(MATCH(Invulblad!$S$43,INDIRECT(V$1&amp;"!$D$3:$D$10"),0)),0,10)+IF(ISNA(MATCH(Invulblad!$S$44,INDIRECT(V$1&amp;"!$B$3:$B$10"),0)),0,10)+IF(ISNA(MATCH(Invulblad!$S$44,INDIRECT(V$1&amp;"!$D$3:$D$10"),0)),0,10))</f>
        <v>155</v>
      </c>
      <c r="W51" s="165">
        <f ca="1">IF(W50="","",W50+IF(ISNA(MATCH(Invulblad!$S$43,INDIRECT(W$1&amp;"!$B$3:$B$10"),0)),0,10)+IF(ISNA(MATCH(Invulblad!$S$43,INDIRECT(W$1&amp;"!$D$3:$D$10"),0)),0,10)+IF(ISNA(MATCH(Invulblad!$S$44,INDIRECT(W$1&amp;"!$B$3:$B$10"),0)),0,10)+IF(ISNA(MATCH(Invulblad!$S$44,INDIRECT(W$1&amp;"!$D$3:$D$10"),0)),0,10))</f>
        <v>210</v>
      </c>
      <c r="X51" s="165">
        <f ca="1">IF(X50="","",X50+IF(ISNA(MATCH(Invulblad!$S$43,INDIRECT(X$1&amp;"!$B$3:$B$10"),0)),0,10)+IF(ISNA(MATCH(Invulblad!$S$43,INDIRECT(X$1&amp;"!$D$3:$D$10"),0)),0,10)+IF(ISNA(MATCH(Invulblad!$S$44,INDIRECT(X$1&amp;"!$B$3:$B$10"),0)),0,10)+IF(ISNA(MATCH(Invulblad!$S$44,INDIRECT(X$1&amp;"!$D$3:$D$10"),0)),0,10))</f>
        <v>150</v>
      </c>
      <c r="Y51" s="165">
        <f ca="1">IF(Y50="","",Y50+IF(ISNA(MATCH(Invulblad!$S$43,INDIRECT(Y$1&amp;"!$B$3:$B$10"),0)),0,10)+IF(ISNA(MATCH(Invulblad!$S$43,INDIRECT(Y$1&amp;"!$D$3:$D$10"),0)),0,10)+IF(ISNA(MATCH(Invulblad!$S$44,INDIRECT(Y$1&amp;"!$B$3:$B$10"),0)),0,10)+IF(ISNA(MATCH(Invulblad!$S$44,INDIRECT(Y$1&amp;"!$D$3:$D$10"),0)),0,10))</f>
        <v>185</v>
      </c>
      <c r="Z51" s="165">
        <f ca="1">IF(Z50="","",Z50+IF(ISNA(MATCH(Invulblad!$S$43,INDIRECT(Z$1&amp;"!$B$3:$B$10"),0)),0,10)+IF(ISNA(MATCH(Invulblad!$S$43,INDIRECT(Z$1&amp;"!$D$3:$D$10"),0)),0,10)+IF(ISNA(MATCH(Invulblad!$S$44,INDIRECT(Z$1&amp;"!$B$3:$B$10"),0)),0,10)+IF(ISNA(MATCH(Invulblad!$S$44,INDIRECT(Z$1&amp;"!$D$3:$D$10"),0)),0,10))</f>
        <v>195</v>
      </c>
      <c r="AA51" s="165">
        <f t="shared" ca="1" si="39"/>
        <v>188.54166666666666</v>
      </c>
      <c r="AB51" s="178">
        <f t="shared" ca="1" si="41"/>
        <v>15</v>
      </c>
      <c r="AC51" s="331" t="str">
        <f t="shared" si="40"/>
        <v>Boni</v>
      </c>
      <c r="AD51" s="179">
        <f t="shared" ca="1" si="42"/>
        <v>-3.5416666666666572</v>
      </c>
      <c r="AE51" s="179">
        <f t="shared" ca="1" si="43"/>
        <v>11.458333333333343</v>
      </c>
      <c r="AF51" s="179">
        <f t="shared" ca="1" si="44"/>
        <v>6.4583333333333428</v>
      </c>
      <c r="AG51" s="179">
        <f t="shared" ca="1" si="45"/>
        <v>26.458333333333343</v>
      </c>
      <c r="AH51" s="179">
        <f t="shared" ca="1" si="46"/>
        <v>26.458333333333343</v>
      </c>
      <c r="AI51" s="179">
        <f t="shared" ca="1" si="47"/>
        <v>-28.541666666666657</v>
      </c>
      <c r="AJ51" s="179">
        <f t="shared" ca="1" si="48"/>
        <v>-28.541666666666657</v>
      </c>
      <c r="AK51" s="179">
        <f t="shared" ca="1" si="49"/>
        <v>36.458333333333343</v>
      </c>
      <c r="AL51" s="179">
        <f t="shared" ca="1" si="50"/>
        <v>6.4583333333333428</v>
      </c>
      <c r="AM51" s="179">
        <f t="shared" ca="1" si="51"/>
        <v>1.4583333333333428</v>
      </c>
      <c r="AN51" s="179">
        <f t="shared" ca="1" si="52"/>
        <v>-3.5416666666666572</v>
      </c>
      <c r="AO51" s="179">
        <f t="shared" ca="1" si="27"/>
        <v>-13.541666666666657</v>
      </c>
      <c r="AP51" s="179">
        <f t="shared" ca="1" si="28"/>
        <v>-13.541666666666657</v>
      </c>
      <c r="AQ51" s="179">
        <f t="shared" ca="1" si="28"/>
        <v>-13.541666666666657</v>
      </c>
      <c r="AR51" s="179">
        <f t="shared" ca="1" si="29"/>
        <v>16.458333333333343</v>
      </c>
      <c r="AS51" s="179">
        <f t="shared" ca="1" si="30"/>
        <v>26.458333333333343</v>
      </c>
      <c r="AT51" s="179">
        <f t="shared" ca="1" si="31"/>
        <v>-28.541666666666657</v>
      </c>
      <c r="AU51" s="179">
        <f t="shared" ca="1" si="32"/>
        <v>6.4583333333333428</v>
      </c>
      <c r="AV51" s="179">
        <f t="shared" ca="1" si="33"/>
        <v>-28.541666666666657</v>
      </c>
      <c r="AW51" s="179">
        <f t="shared" ca="1" si="34"/>
        <v>-33.541666666666657</v>
      </c>
      <c r="AX51" s="179">
        <f t="shared" ca="1" si="35"/>
        <v>21.458333333333343</v>
      </c>
      <c r="AY51" s="179">
        <f t="shared" ca="1" si="36"/>
        <v>-38.541666666666657</v>
      </c>
      <c r="AZ51" s="179">
        <f t="shared" ca="1" si="37"/>
        <v>-3.5416666666666572</v>
      </c>
      <c r="BA51" s="179">
        <f t="shared" ca="1" si="38"/>
        <v>6.4583333333333428</v>
      </c>
    </row>
    <row r="52" spans="1:53">
      <c r="A52" s="173">
        <v>45</v>
      </c>
      <c r="B52" s="157" t="str">
        <f>VLOOKUP($A52,wedstrijden,6,0)&amp;"-"&amp;VLOOKUP($A52,wedstrijden,10,0)</f>
        <v>USA-Duitsland</v>
      </c>
      <c r="C52" s="298">
        <f ca="1">IF(VLOOKUP($A52,INDIRECT(C$1&amp;loc_voorspell),15,0)&lt;&gt;"",VLOOKUP($A52,INDIRECT(C$1&amp;loc_voorspell),15,0)+C51,"")</f>
        <v>190</v>
      </c>
      <c r="D52" s="298">
        <f ca="1">IF(VLOOKUP($A52,INDIRECT(D$1&amp;loc_voorspell),15,0)&lt;&gt;"",VLOOKUP($A52,INDIRECT(D$1&amp;loc_voorspell),15,0)+D51,"")</f>
        <v>210</v>
      </c>
      <c r="E52" s="298">
        <f ca="1">IF(VLOOKUP($A52,INDIRECT(E$1&amp;loc_voorspell),15,0)&lt;&gt;"",VLOOKUP($A52,INDIRECT(E$1&amp;loc_voorspell),15,0)+E51,"")</f>
        <v>195</v>
      </c>
      <c r="F52" s="298">
        <f ca="1">IF(VLOOKUP($A52,INDIRECT(F$1&amp;loc_voorspell),15,0)&lt;&gt;"",VLOOKUP($A52,INDIRECT(F$1&amp;loc_voorspell),15,0)+F51,"")</f>
        <v>220</v>
      </c>
      <c r="G52" s="298">
        <f ca="1">IF(VLOOKUP($A52,INDIRECT(G$1&amp;loc_voorspell),15,0)&lt;&gt;"",VLOOKUP($A52,INDIRECT(G$1&amp;loc_voorspell),15,0)+G51,"")</f>
        <v>220</v>
      </c>
      <c r="H52" s="298">
        <f ca="1">IF(VLOOKUP($A52,INDIRECT(H$1&amp;loc_voorspell),15,0)&lt;&gt;"",VLOOKUP($A52,INDIRECT(H$1&amp;loc_voorspell),15,0)+H51,"")</f>
        <v>165</v>
      </c>
      <c r="I52" s="298">
        <f ca="1">IF(VLOOKUP($A52,INDIRECT(I$1&amp;loc_voorspell),15,0)&lt;&gt;"",VLOOKUP($A52,INDIRECT(I$1&amp;loc_voorspell),15,0)+I51,"")</f>
        <v>165</v>
      </c>
      <c r="J52" s="298">
        <f ca="1">IF(VLOOKUP($A52,INDIRECT(J$1&amp;loc_voorspell),15,0)&lt;&gt;"",VLOOKUP($A52,INDIRECT(J$1&amp;loc_voorspell),15,0)+J51,"")</f>
        <v>230</v>
      </c>
      <c r="K52" s="298">
        <f ca="1">IF(VLOOKUP($A52,INDIRECT(K$1&amp;loc_voorspell),15,0)&lt;&gt;"",VLOOKUP($A52,INDIRECT(K$1&amp;loc_voorspell),15,0)+K51,"")</f>
        <v>200</v>
      </c>
      <c r="L52" s="298">
        <f ca="1">IF(VLOOKUP($A52,INDIRECT(L$1&amp;loc_voorspell),15,0)&lt;&gt;"",VLOOKUP($A52,INDIRECT(L$1&amp;loc_voorspell),15,0)+L51,"")</f>
        <v>195</v>
      </c>
      <c r="M52" s="298">
        <f ca="1">IF(VLOOKUP($A52,INDIRECT(M$1&amp;loc_voorspell),15,0)&lt;&gt;"",VLOOKUP($A52,INDIRECT(M$1&amp;loc_voorspell),15,0)+M51,"")</f>
        <v>190</v>
      </c>
      <c r="N52" s="298">
        <f ca="1">IF(VLOOKUP($A52,INDIRECT(N$1&amp;loc_voorspell),15,0)&lt;&gt;"",VLOOKUP($A52,INDIRECT(N$1&amp;loc_voorspell),15,0)+N51,"")</f>
        <v>225</v>
      </c>
      <c r="O52" s="298">
        <f ca="1">IF(VLOOKUP($A52,INDIRECT(O$1&amp;loc_voorspell),15,0)&lt;&gt;"",VLOOKUP($A52,INDIRECT(O$1&amp;loc_voorspell),15,0)+O51,"")</f>
        <v>185</v>
      </c>
      <c r="P52" s="298">
        <f ca="1">IF(VLOOKUP($A52,INDIRECT(P$1&amp;loc_voorspell),15,0)&lt;&gt;"",VLOOKUP($A52,INDIRECT(P$1&amp;loc_voorspell),15,0)+P51,"")</f>
        <v>180</v>
      </c>
      <c r="Q52" s="298">
        <f ca="1">IF(VLOOKUP($A52,INDIRECT(Q$1&amp;loc_voorspell),15,0)&lt;&gt;"",VLOOKUP($A52,INDIRECT(Q$1&amp;loc_voorspell),15,0)+Q51,"")</f>
        <v>210</v>
      </c>
      <c r="R52" s="298">
        <f ca="1">IF(VLOOKUP($A52,INDIRECT(R$1&amp;loc_voorspell),15,0)&lt;&gt;"",VLOOKUP($A52,INDIRECT(R$1&amp;loc_voorspell),15,0)+R51,"")</f>
        <v>220</v>
      </c>
      <c r="S52" s="298">
        <f ca="1">IF(VLOOKUP($A52,INDIRECT(S$1&amp;loc_voorspell),15,0)&lt;&gt;"",VLOOKUP($A52,INDIRECT(S$1&amp;loc_voorspell),15,0)+S51,"")</f>
        <v>165</v>
      </c>
      <c r="T52" s="298">
        <f ca="1">IF(VLOOKUP($A52,INDIRECT(T$1&amp;loc_voorspell),15,0)&lt;&gt;"",VLOOKUP($A52,INDIRECT(T$1&amp;loc_voorspell),15,0)+T51,"")</f>
        <v>200</v>
      </c>
      <c r="U52" s="298">
        <f ca="1">IF(VLOOKUP($A52,INDIRECT(U$1&amp;loc_voorspell),15,0)&lt;&gt;"",VLOOKUP($A52,INDIRECT(U$1&amp;loc_voorspell),15,0)+U51,"")</f>
        <v>165</v>
      </c>
      <c r="V52" s="298">
        <f ca="1">IF(VLOOKUP($A52,INDIRECT(V$1&amp;loc_voorspell),15,0)&lt;&gt;"",VLOOKUP($A52,INDIRECT(V$1&amp;loc_voorspell),15,0)+V51,"")</f>
        <v>160</v>
      </c>
      <c r="W52" s="298">
        <f ca="1">IF(VLOOKUP($A52,INDIRECT(W$1&amp;loc_voorspell),15,0)&lt;&gt;"",VLOOKUP($A52,INDIRECT(W$1&amp;loc_voorspell),15,0)+W51,"")</f>
        <v>220</v>
      </c>
      <c r="X52" s="298">
        <f ca="1">IF(VLOOKUP($A52,INDIRECT(X$1&amp;loc_voorspell),15,0)&lt;&gt;"",VLOOKUP($A52,INDIRECT(X$1&amp;loc_voorspell),15,0)+X51,"")</f>
        <v>155</v>
      </c>
      <c r="Y52" s="298">
        <f ca="1">IF(VLOOKUP($A52,INDIRECT(Y$1&amp;loc_voorspell),15,0)&lt;&gt;"",VLOOKUP($A52,INDIRECT(Y$1&amp;loc_voorspell),15,0)+Y51,"")</f>
        <v>190</v>
      </c>
      <c r="Z52" s="298">
        <f ca="1">IF(VLOOKUP($A52,INDIRECT(Z$1&amp;loc_voorspell),15,0)&lt;&gt;"",VLOOKUP($A52,INDIRECT(Z$1&amp;loc_voorspell),15,0)+Z51,"")</f>
        <v>195</v>
      </c>
      <c r="AA52" s="165">
        <f t="shared" ca="1" si="39"/>
        <v>193.75</v>
      </c>
      <c r="AB52" s="178">
        <f t="shared" ca="1" si="41"/>
        <v>5.2083333333333428</v>
      </c>
      <c r="AC52" s="331" t="str">
        <f t="shared" si="40"/>
        <v>USA-Duitsland</v>
      </c>
      <c r="AD52" s="179">
        <f t="shared" ca="1" si="42"/>
        <v>-3.75</v>
      </c>
      <c r="AE52" s="179">
        <f t="shared" ca="1" si="43"/>
        <v>16.25</v>
      </c>
      <c r="AF52" s="179">
        <f t="shared" ca="1" si="44"/>
        <v>1.25</v>
      </c>
      <c r="AG52" s="179">
        <f t="shared" ca="1" si="45"/>
        <v>26.25</v>
      </c>
      <c r="AH52" s="179">
        <f t="shared" ca="1" si="46"/>
        <v>26.25</v>
      </c>
      <c r="AI52" s="179">
        <f t="shared" ca="1" si="47"/>
        <v>-28.75</v>
      </c>
      <c r="AJ52" s="179">
        <f t="shared" ca="1" si="48"/>
        <v>-28.75</v>
      </c>
      <c r="AK52" s="179">
        <f t="shared" ca="1" si="49"/>
        <v>36.25</v>
      </c>
      <c r="AL52" s="179">
        <f t="shared" ca="1" si="50"/>
        <v>6.25</v>
      </c>
      <c r="AM52" s="179">
        <f t="shared" ca="1" si="51"/>
        <v>1.25</v>
      </c>
      <c r="AN52" s="179">
        <f t="shared" ca="1" si="52"/>
        <v>-3.75</v>
      </c>
      <c r="AO52" s="179">
        <f t="shared" ca="1" si="27"/>
        <v>-8.75</v>
      </c>
      <c r="AP52" s="179">
        <f t="shared" ca="1" si="28"/>
        <v>-8.75</v>
      </c>
      <c r="AQ52" s="179">
        <f t="shared" ca="1" si="28"/>
        <v>-13.75</v>
      </c>
      <c r="AR52" s="179">
        <f t="shared" ca="1" si="29"/>
        <v>16.25</v>
      </c>
      <c r="AS52" s="179">
        <f t="shared" ca="1" si="30"/>
        <v>26.25</v>
      </c>
      <c r="AT52" s="179">
        <f t="shared" ca="1" si="31"/>
        <v>-28.75</v>
      </c>
      <c r="AU52" s="179">
        <f t="shared" ca="1" si="32"/>
        <v>6.25</v>
      </c>
      <c r="AV52" s="179">
        <f t="shared" ca="1" si="33"/>
        <v>-28.75</v>
      </c>
      <c r="AW52" s="179">
        <f t="shared" ca="1" si="34"/>
        <v>-33.75</v>
      </c>
      <c r="AX52" s="179">
        <f t="shared" ca="1" si="35"/>
        <v>26.25</v>
      </c>
      <c r="AY52" s="179">
        <f t="shared" ca="1" si="36"/>
        <v>-38.75</v>
      </c>
      <c r="AZ52" s="179">
        <f t="shared" ca="1" si="37"/>
        <v>-3.75</v>
      </c>
      <c r="BA52" s="179">
        <f t="shared" ca="1" si="38"/>
        <v>1.25</v>
      </c>
    </row>
    <row r="53" spans="1:53">
      <c r="A53" s="173">
        <v>46</v>
      </c>
      <c r="B53" s="158" t="str">
        <f>VLOOKUP($A53,wedstrijden,6,0)&amp;"-"&amp;VLOOKUP($A53,wedstrijden,10,0)</f>
        <v>Portugal-Ghana</v>
      </c>
      <c r="C53" s="299">
        <f ca="1">IF(VLOOKUP($A53,INDIRECT(C$1&amp;loc_voorspell),15,0)&lt;&gt;"",VLOOKUP($A53,INDIRECT(C$1&amp;loc_voorspell),15,0)+C52,"")</f>
        <v>190</v>
      </c>
      <c r="D53" s="299">
        <f ca="1">IF(VLOOKUP($A53,INDIRECT(D$1&amp;loc_voorspell),15,0)&lt;&gt;"",VLOOKUP($A53,INDIRECT(D$1&amp;loc_voorspell),15,0)+D52,"")</f>
        <v>220</v>
      </c>
      <c r="E53" s="299">
        <f ca="1">IF(VLOOKUP($A53,INDIRECT(E$1&amp;loc_voorspell),15,0)&lt;&gt;"",VLOOKUP($A53,INDIRECT(E$1&amp;loc_voorspell),15,0)+E52,"")</f>
        <v>200</v>
      </c>
      <c r="F53" s="299">
        <f ca="1">IF(VLOOKUP($A53,INDIRECT(F$1&amp;loc_voorspell),15,0)&lt;&gt;"",VLOOKUP($A53,INDIRECT(F$1&amp;loc_voorspell),15,0)+F52,"")</f>
        <v>220</v>
      </c>
      <c r="G53" s="299">
        <f ca="1">IF(VLOOKUP($A53,INDIRECT(G$1&amp;loc_voorspell),15,0)&lt;&gt;"",VLOOKUP($A53,INDIRECT(G$1&amp;loc_voorspell),15,0)+G52,"")</f>
        <v>230</v>
      </c>
      <c r="H53" s="299">
        <f ca="1">IF(VLOOKUP($A53,INDIRECT(H$1&amp;loc_voorspell),15,0)&lt;&gt;"",VLOOKUP($A53,INDIRECT(H$1&amp;loc_voorspell),15,0)+H52,"")</f>
        <v>175</v>
      </c>
      <c r="I53" s="299">
        <f ca="1">IF(VLOOKUP($A53,INDIRECT(I$1&amp;loc_voorspell),15,0)&lt;&gt;"",VLOOKUP($A53,INDIRECT(I$1&amp;loc_voorspell),15,0)+I52,"")</f>
        <v>170</v>
      </c>
      <c r="J53" s="299">
        <f ca="1">IF(VLOOKUP($A53,INDIRECT(J$1&amp;loc_voorspell),15,0)&lt;&gt;"",VLOOKUP($A53,INDIRECT(J$1&amp;loc_voorspell),15,0)+J52,"")</f>
        <v>235</v>
      </c>
      <c r="K53" s="299">
        <f ca="1">IF(VLOOKUP($A53,INDIRECT(K$1&amp;loc_voorspell),15,0)&lt;&gt;"",VLOOKUP($A53,INDIRECT(K$1&amp;loc_voorspell),15,0)+K52,"")</f>
        <v>200</v>
      </c>
      <c r="L53" s="299">
        <f ca="1">IF(VLOOKUP($A53,INDIRECT(L$1&amp;loc_voorspell),15,0)&lt;&gt;"",VLOOKUP($A53,INDIRECT(L$1&amp;loc_voorspell),15,0)+L52,"")</f>
        <v>200</v>
      </c>
      <c r="M53" s="299">
        <f ca="1">IF(VLOOKUP($A53,INDIRECT(M$1&amp;loc_voorspell),15,0)&lt;&gt;"",VLOOKUP($A53,INDIRECT(M$1&amp;loc_voorspell),15,0)+M52,"")</f>
        <v>200</v>
      </c>
      <c r="N53" s="299">
        <f ca="1">IF(VLOOKUP($A53,INDIRECT(N$1&amp;loc_voorspell),15,0)&lt;&gt;"",VLOOKUP($A53,INDIRECT(N$1&amp;loc_voorspell),15,0)+N52,"")</f>
        <v>230</v>
      </c>
      <c r="O53" s="299">
        <f ca="1">IF(VLOOKUP($A53,INDIRECT(O$1&amp;loc_voorspell),15,0)&lt;&gt;"",VLOOKUP($A53,INDIRECT(O$1&amp;loc_voorspell),15,0)+O52,"")</f>
        <v>190</v>
      </c>
      <c r="P53" s="299">
        <f ca="1">IF(VLOOKUP($A53,INDIRECT(P$1&amp;loc_voorspell),15,0)&lt;&gt;"",VLOOKUP($A53,INDIRECT(P$1&amp;loc_voorspell),15,0)+P52,"")</f>
        <v>185</v>
      </c>
      <c r="Q53" s="299">
        <f ca="1">IF(VLOOKUP($A53,INDIRECT(Q$1&amp;loc_voorspell),15,0)&lt;&gt;"",VLOOKUP($A53,INDIRECT(Q$1&amp;loc_voorspell),15,0)+Q52,"")</f>
        <v>215</v>
      </c>
      <c r="R53" s="299">
        <f ca="1">IF(VLOOKUP($A53,INDIRECT(R$1&amp;loc_voorspell),15,0)&lt;&gt;"",VLOOKUP($A53,INDIRECT(R$1&amp;loc_voorspell),15,0)+R52,"")</f>
        <v>225</v>
      </c>
      <c r="S53" s="299">
        <f ca="1">IF(VLOOKUP($A53,INDIRECT(S$1&amp;loc_voorspell),15,0)&lt;&gt;"",VLOOKUP($A53,INDIRECT(S$1&amp;loc_voorspell),15,0)+S52,"")</f>
        <v>170</v>
      </c>
      <c r="T53" s="299">
        <f ca="1">IF(VLOOKUP($A53,INDIRECT(T$1&amp;loc_voorspell),15,0)&lt;&gt;"",VLOOKUP($A53,INDIRECT(T$1&amp;loc_voorspell),15,0)+T52,"")</f>
        <v>200</v>
      </c>
      <c r="U53" s="299">
        <f ca="1">IF(VLOOKUP($A53,INDIRECT(U$1&amp;loc_voorspell),15,0)&lt;&gt;"",VLOOKUP($A53,INDIRECT(U$1&amp;loc_voorspell),15,0)+U52,"")</f>
        <v>165</v>
      </c>
      <c r="V53" s="299">
        <f ca="1">IF(VLOOKUP($A53,INDIRECT(V$1&amp;loc_voorspell),15,0)&lt;&gt;"",VLOOKUP($A53,INDIRECT(V$1&amp;loc_voorspell),15,0)+V52,"")</f>
        <v>165</v>
      </c>
      <c r="W53" s="299">
        <f ca="1">IF(VLOOKUP($A53,INDIRECT(W$1&amp;loc_voorspell),15,0)&lt;&gt;"",VLOOKUP($A53,INDIRECT(W$1&amp;loc_voorspell),15,0)+W52,"")</f>
        <v>225</v>
      </c>
      <c r="X53" s="299">
        <f ca="1">IF(VLOOKUP($A53,INDIRECT(X$1&amp;loc_voorspell),15,0)&lt;&gt;"",VLOOKUP($A53,INDIRECT(X$1&amp;loc_voorspell),15,0)+X52,"")</f>
        <v>155</v>
      </c>
      <c r="Y53" s="299">
        <f ca="1">IF(VLOOKUP($A53,INDIRECT(Y$1&amp;loc_voorspell),15,0)&lt;&gt;"",VLOOKUP($A53,INDIRECT(Y$1&amp;loc_voorspell),15,0)+Y52,"")</f>
        <v>200</v>
      </c>
      <c r="Z53" s="299">
        <f ca="1">IF(VLOOKUP($A53,INDIRECT(Z$1&amp;loc_voorspell),15,0)&lt;&gt;"",VLOOKUP($A53,INDIRECT(Z$1&amp;loc_voorspell),15,0)+Z52,"")</f>
        <v>205</v>
      </c>
      <c r="AA53" s="165">
        <f t="shared" ca="1" si="39"/>
        <v>198.75</v>
      </c>
      <c r="AB53" s="178">
        <f t="shared" ca="1" si="41"/>
        <v>5</v>
      </c>
      <c r="AC53" s="331" t="str">
        <f t="shared" si="40"/>
        <v>Portugal-Ghana</v>
      </c>
      <c r="AD53" s="179">
        <f t="shared" ca="1" si="42"/>
        <v>-8.75</v>
      </c>
      <c r="AE53" s="179">
        <f t="shared" ca="1" si="43"/>
        <v>21.25</v>
      </c>
      <c r="AF53" s="179">
        <f t="shared" ca="1" si="44"/>
        <v>1.25</v>
      </c>
      <c r="AG53" s="179">
        <f t="shared" ca="1" si="45"/>
        <v>21.25</v>
      </c>
      <c r="AH53" s="179">
        <f t="shared" ca="1" si="46"/>
        <v>31.25</v>
      </c>
      <c r="AI53" s="179">
        <f t="shared" ca="1" si="47"/>
        <v>-23.75</v>
      </c>
      <c r="AJ53" s="179">
        <f t="shared" ca="1" si="48"/>
        <v>-28.75</v>
      </c>
      <c r="AK53" s="179">
        <f t="shared" ca="1" si="49"/>
        <v>36.25</v>
      </c>
      <c r="AL53" s="179">
        <f t="shared" ca="1" si="50"/>
        <v>1.25</v>
      </c>
      <c r="AM53" s="179">
        <f t="shared" ca="1" si="51"/>
        <v>1.25</v>
      </c>
      <c r="AN53" s="179">
        <f t="shared" ca="1" si="52"/>
        <v>1.25</v>
      </c>
      <c r="AO53" s="179">
        <f t="shared" ca="1" si="27"/>
        <v>-8.75</v>
      </c>
      <c r="AP53" s="179">
        <f t="shared" ca="1" si="28"/>
        <v>-8.75</v>
      </c>
      <c r="AQ53" s="179">
        <f t="shared" ca="1" si="28"/>
        <v>-13.75</v>
      </c>
      <c r="AR53" s="179">
        <f t="shared" ca="1" si="29"/>
        <v>16.25</v>
      </c>
      <c r="AS53" s="179">
        <f t="shared" ca="1" si="30"/>
        <v>26.25</v>
      </c>
      <c r="AT53" s="179">
        <f t="shared" ca="1" si="31"/>
        <v>-28.75</v>
      </c>
      <c r="AU53" s="179">
        <f t="shared" ca="1" si="32"/>
        <v>1.25</v>
      </c>
      <c r="AV53" s="179">
        <f t="shared" ca="1" si="33"/>
        <v>-33.75</v>
      </c>
      <c r="AW53" s="179">
        <f t="shared" ca="1" si="34"/>
        <v>-33.75</v>
      </c>
      <c r="AX53" s="179">
        <f t="shared" ca="1" si="35"/>
        <v>26.25</v>
      </c>
      <c r="AY53" s="179">
        <f t="shared" ca="1" si="36"/>
        <v>-43.75</v>
      </c>
      <c r="AZ53" s="179">
        <f t="shared" ca="1" si="37"/>
        <v>1.25</v>
      </c>
      <c r="BA53" s="179">
        <f t="shared" ca="1" si="38"/>
        <v>6.25</v>
      </c>
    </row>
    <row r="54" spans="1:53">
      <c r="A54" s="180" t="str">
        <f>B54</f>
        <v>Boni</v>
      </c>
      <c r="B54" s="324" t="s">
        <v>366</v>
      </c>
      <c r="C54" s="165">
        <f ca="1">IF(C53="","",C53+IF(ISNA(MATCH(Invulblad!$S$59,INDIRECT(C$1&amp;"!$B$3:$B$10"),0)),0,10)+IF(ISNA(MATCH(Invulblad!$S$59,INDIRECT(C$1&amp;"!$D$3:$D$10"),0)),0,10)+IF(ISNA(MATCH(Invulblad!$S$60,INDIRECT(C$1&amp;"!$B$3:$B$10"),0)),0,10)+IF(ISNA(MATCH(Invulblad!$S$60,INDIRECT(C$1&amp;"!$D$3:$D$10"),0)),0,10))</f>
        <v>200</v>
      </c>
      <c r="D54" s="165">
        <f ca="1">IF(D53="","",D53+IF(ISNA(MATCH(Invulblad!$S$59,INDIRECT(D$1&amp;"!$B$3:$B$10"),0)),0,10)+IF(ISNA(MATCH(Invulblad!$S$59,INDIRECT(D$1&amp;"!$D$3:$D$10"),0)),0,10)+IF(ISNA(MATCH(Invulblad!$S$60,INDIRECT(D$1&amp;"!$B$3:$B$10"),0)),0,10)+IF(ISNA(MATCH(Invulblad!$S$60,INDIRECT(D$1&amp;"!$D$3:$D$10"),0)),0,10))</f>
        <v>230</v>
      </c>
      <c r="E54" s="165">
        <f ca="1">IF(E53="","",E53+IF(ISNA(MATCH(Invulblad!$S$59,INDIRECT(E$1&amp;"!$B$3:$B$10"),0)),0,10)+IF(ISNA(MATCH(Invulblad!$S$59,INDIRECT(E$1&amp;"!$D$3:$D$10"),0)),0,10)+IF(ISNA(MATCH(Invulblad!$S$60,INDIRECT(E$1&amp;"!$B$3:$B$10"),0)),0,10)+IF(ISNA(MATCH(Invulblad!$S$60,INDIRECT(E$1&amp;"!$D$3:$D$10"),0)),0,10))</f>
        <v>220</v>
      </c>
      <c r="F54" s="165">
        <f ca="1">IF(F53="","",F53+IF(ISNA(MATCH(Invulblad!$S$59,INDIRECT(F$1&amp;"!$B$3:$B$10"),0)),0,10)+IF(ISNA(MATCH(Invulblad!$S$59,INDIRECT(F$1&amp;"!$D$3:$D$10"),0)),0,10)+IF(ISNA(MATCH(Invulblad!$S$60,INDIRECT(F$1&amp;"!$B$3:$B$10"),0)),0,10)+IF(ISNA(MATCH(Invulblad!$S$60,INDIRECT(F$1&amp;"!$D$3:$D$10"),0)),0,10))</f>
        <v>230</v>
      </c>
      <c r="G54" s="165">
        <f ca="1">IF(G53="","",G53+IF(ISNA(MATCH(Invulblad!$S$59,INDIRECT(G$1&amp;"!$B$3:$B$10"),0)),0,10)+IF(ISNA(MATCH(Invulblad!$S$59,INDIRECT(G$1&amp;"!$D$3:$D$10"),0)),0,10)+IF(ISNA(MATCH(Invulblad!$S$60,INDIRECT(G$1&amp;"!$B$3:$B$10"),0)),0,10)+IF(ISNA(MATCH(Invulblad!$S$60,INDIRECT(G$1&amp;"!$D$3:$D$10"),0)),0,10))</f>
        <v>240</v>
      </c>
      <c r="H54" s="165">
        <f ca="1">IF(H53="","",H53+IF(ISNA(MATCH(Invulblad!$S$59,INDIRECT(H$1&amp;"!$B$3:$B$10"),0)),0,10)+IF(ISNA(MATCH(Invulblad!$S$59,INDIRECT(H$1&amp;"!$D$3:$D$10"),0)),0,10)+IF(ISNA(MATCH(Invulblad!$S$60,INDIRECT(H$1&amp;"!$B$3:$B$10"),0)),0,10)+IF(ISNA(MATCH(Invulblad!$S$60,INDIRECT(H$1&amp;"!$D$3:$D$10"),0)),0,10))</f>
        <v>185</v>
      </c>
      <c r="I54" s="165">
        <f ca="1">IF(I53="","",I53+IF(ISNA(MATCH(Invulblad!$S$59,INDIRECT(I$1&amp;"!$B$3:$B$10"),0)),0,10)+IF(ISNA(MATCH(Invulblad!$S$59,INDIRECT(I$1&amp;"!$D$3:$D$10"),0)),0,10)+IF(ISNA(MATCH(Invulblad!$S$60,INDIRECT(I$1&amp;"!$B$3:$B$10"),0)),0,10)+IF(ISNA(MATCH(Invulblad!$S$60,INDIRECT(I$1&amp;"!$D$3:$D$10"),0)),0,10))</f>
        <v>180</v>
      </c>
      <c r="J54" s="165">
        <f ca="1">IF(J53="","",J53+IF(ISNA(MATCH(Invulblad!$S$59,INDIRECT(J$1&amp;"!$B$3:$B$10"),0)),0,10)+IF(ISNA(MATCH(Invulblad!$S$59,INDIRECT(J$1&amp;"!$D$3:$D$10"),0)),0,10)+IF(ISNA(MATCH(Invulblad!$S$60,INDIRECT(J$1&amp;"!$B$3:$B$10"),0)),0,10)+IF(ISNA(MATCH(Invulblad!$S$60,INDIRECT(J$1&amp;"!$D$3:$D$10"),0)),0,10))</f>
        <v>245</v>
      </c>
      <c r="K54" s="165">
        <f ca="1">IF(K53="","",K53+IF(ISNA(MATCH(Invulblad!$S$59,INDIRECT(K$1&amp;"!$B$3:$B$10"),0)),0,10)+IF(ISNA(MATCH(Invulblad!$S$59,INDIRECT(K$1&amp;"!$D$3:$D$10"),0)),0,10)+IF(ISNA(MATCH(Invulblad!$S$60,INDIRECT(K$1&amp;"!$B$3:$B$10"),0)),0,10)+IF(ISNA(MATCH(Invulblad!$S$60,INDIRECT(K$1&amp;"!$D$3:$D$10"),0)),0,10))</f>
        <v>210</v>
      </c>
      <c r="L54" s="165">
        <f ca="1">IF(L53="","",L53+IF(ISNA(MATCH(Invulblad!$S$59,INDIRECT(L$1&amp;"!$B$3:$B$10"),0)),0,10)+IF(ISNA(MATCH(Invulblad!$S$59,INDIRECT(L$1&amp;"!$D$3:$D$10"),0)),0,10)+IF(ISNA(MATCH(Invulblad!$S$60,INDIRECT(L$1&amp;"!$B$3:$B$10"),0)),0,10)+IF(ISNA(MATCH(Invulblad!$S$60,INDIRECT(L$1&amp;"!$D$3:$D$10"),0)),0,10))</f>
        <v>210</v>
      </c>
      <c r="M54" s="165">
        <f ca="1">IF(M53="","",M53+IF(ISNA(MATCH(Invulblad!$S$59,INDIRECT(M$1&amp;"!$B$3:$B$10"),0)),0,10)+IF(ISNA(MATCH(Invulblad!$S$59,INDIRECT(M$1&amp;"!$D$3:$D$10"),0)),0,10)+IF(ISNA(MATCH(Invulblad!$S$60,INDIRECT(M$1&amp;"!$B$3:$B$10"),0)),0,10)+IF(ISNA(MATCH(Invulblad!$S$60,INDIRECT(M$1&amp;"!$D$3:$D$10"),0)),0,10))</f>
        <v>210</v>
      </c>
      <c r="N54" s="165">
        <f ca="1">IF(N53="","",N53+IF(ISNA(MATCH(Invulblad!$S$59,INDIRECT(N$1&amp;"!$B$3:$B$10"),0)),0,10)+IF(ISNA(MATCH(Invulblad!$S$59,INDIRECT(N$1&amp;"!$D$3:$D$10"),0)),0,10)+IF(ISNA(MATCH(Invulblad!$S$60,INDIRECT(N$1&amp;"!$B$3:$B$10"),0)),0,10)+IF(ISNA(MATCH(Invulblad!$S$60,INDIRECT(N$1&amp;"!$D$3:$D$10"),0)),0,10))</f>
        <v>250</v>
      </c>
      <c r="O54" s="165">
        <f ca="1">IF(O53="","",O53+IF(ISNA(MATCH(Invulblad!$S$59,INDIRECT(O$1&amp;"!$B$3:$B$10"),0)),0,10)+IF(ISNA(MATCH(Invulblad!$S$59,INDIRECT(O$1&amp;"!$D$3:$D$10"),0)),0,10)+IF(ISNA(MATCH(Invulblad!$S$60,INDIRECT(O$1&amp;"!$B$3:$B$10"),0)),0,10)+IF(ISNA(MATCH(Invulblad!$S$60,INDIRECT(O$1&amp;"!$D$3:$D$10"),0)),0,10))</f>
        <v>200</v>
      </c>
      <c r="P54" s="165">
        <f ca="1">IF(P53="","",P53+IF(ISNA(MATCH(Invulblad!$S$59,INDIRECT(P$1&amp;"!$B$3:$B$10"),0)),0,10)+IF(ISNA(MATCH(Invulblad!$S$59,INDIRECT(P$1&amp;"!$D$3:$D$10"),0)),0,10)+IF(ISNA(MATCH(Invulblad!$S$60,INDIRECT(P$1&amp;"!$B$3:$B$10"),0)),0,10)+IF(ISNA(MATCH(Invulblad!$S$60,INDIRECT(P$1&amp;"!$D$3:$D$10"),0)),0,10))</f>
        <v>195</v>
      </c>
      <c r="Q54" s="165">
        <f ca="1">IF(Q53="","",Q53+IF(ISNA(MATCH(Invulblad!$S$59,INDIRECT(Q$1&amp;"!$B$3:$B$10"),0)),0,10)+IF(ISNA(MATCH(Invulblad!$S$59,INDIRECT(Q$1&amp;"!$D$3:$D$10"),0)),0,10)+IF(ISNA(MATCH(Invulblad!$S$60,INDIRECT(Q$1&amp;"!$B$3:$B$10"),0)),0,10)+IF(ISNA(MATCH(Invulblad!$S$60,INDIRECT(Q$1&amp;"!$D$3:$D$10"),0)),0,10))</f>
        <v>225</v>
      </c>
      <c r="R54" s="165">
        <f ca="1">IF(R53="","",R53+IF(ISNA(MATCH(Invulblad!$S$59,INDIRECT(R$1&amp;"!$B$3:$B$10"),0)),0,10)+IF(ISNA(MATCH(Invulblad!$S$59,INDIRECT(R$1&amp;"!$D$3:$D$10"),0)),0,10)+IF(ISNA(MATCH(Invulblad!$S$60,INDIRECT(R$1&amp;"!$B$3:$B$10"),0)),0,10)+IF(ISNA(MATCH(Invulblad!$S$60,INDIRECT(R$1&amp;"!$D$3:$D$10"),0)),0,10))</f>
        <v>235</v>
      </c>
      <c r="S54" s="165">
        <f ca="1">IF(S53="","",S53+IF(ISNA(MATCH(Invulblad!$S$59,INDIRECT(S$1&amp;"!$B$3:$B$10"),0)),0,10)+IF(ISNA(MATCH(Invulblad!$S$59,INDIRECT(S$1&amp;"!$D$3:$D$10"),0)),0,10)+IF(ISNA(MATCH(Invulblad!$S$60,INDIRECT(S$1&amp;"!$B$3:$B$10"),0)),0,10)+IF(ISNA(MATCH(Invulblad!$S$60,INDIRECT(S$1&amp;"!$D$3:$D$10"),0)),0,10))</f>
        <v>180</v>
      </c>
      <c r="T54" s="165">
        <f ca="1">IF(T53="","",T53+IF(ISNA(MATCH(Invulblad!$S$59,INDIRECT(T$1&amp;"!$B$3:$B$10"),0)),0,10)+IF(ISNA(MATCH(Invulblad!$S$59,INDIRECT(T$1&amp;"!$D$3:$D$10"),0)),0,10)+IF(ISNA(MATCH(Invulblad!$S$60,INDIRECT(T$1&amp;"!$B$3:$B$10"),0)),0,10)+IF(ISNA(MATCH(Invulblad!$S$60,INDIRECT(T$1&amp;"!$D$3:$D$10"),0)),0,10))</f>
        <v>210</v>
      </c>
      <c r="U54" s="165">
        <f ca="1">IF(U53="","",U53+IF(ISNA(MATCH(Invulblad!$S$59,INDIRECT(U$1&amp;"!$B$3:$B$10"),0)),0,10)+IF(ISNA(MATCH(Invulblad!$S$59,INDIRECT(U$1&amp;"!$D$3:$D$10"),0)),0,10)+IF(ISNA(MATCH(Invulblad!$S$60,INDIRECT(U$1&amp;"!$B$3:$B$10"),0)),0,10)+IF(ISNA(MATCH(Invulblad!$S$60,INDIRECT(U$1&amp;"!$D$3:$D$10"),0)),0,10))</f>
        <v>175</v>
      </c>
      <c r="V54" s="165">
        <f ca="1">IF(V53="","",V53+IF(ISNA(MATCH(Invulblad!$S$59,INDIRECT(V$1&amp;"!$B$3:$B$10"),0)),0,10)+IF(ISNA(MATCH(Invulblad!$S$59,INDIRECT(V$1&amp;"!$D$3:$D$10"),0)),0,10)+IF(ISNA(MATCH(Invulblad!$S$60,INDIRECT(V$1&amp;"!$B$3:$B$10"),0)),0,10)+IF(ISNA(MATCH(Invulblad!$S$60,INDIRECT(V$1&amp;"!$D$3:$D$10"),0)),0,10))</f>
        <v>175</v>
      </c>
      <c r="W54" s="165">
        <f ca="1">IF(W53="","",W53+IF(ISNA(MATCH(Invulblad!$S$59,INDIRECT(W$1&amp;"!$B$3:$B$10"),0)),0,10)+IF(ISNA(MATCH(Invulblad!$S$59,INDIRECT(W$1&amp;"!$D$3:$D$10"),0)),0,10)+IF(ISNA(MATCH(Invulblad!$S$60,INDIRECT(W$1&amp;"!$B$3:$B$10"),0)),0,10)+IF(ISNA(MATCH(Invulblad!$S$60,INDIRECT(W$1&amp;"!$D$3:$D$10"),0)),0,10))</f>
        <v>235</v>
      </c>
      <c r="X54" s="165">
        <f ca="1">IF(X53="","",X53+IF(ISNA(MATCH(Invulblad!$S$59,INDIRECT(X$1&amp;"!$B$3:$B$10"),0)),0,10)+IF(ISNA(MATCH(Invulblad!$S$59,INDIRECT(X$1&amp;"!$D$3:$D$10"),0)),0,10)+IF(ISNA(MATCH(Invulblad!$S$60,INDIRECT(X$1&amp;"!$B$3:$B$10"),0)),0,10)+IF(ISNA(MATCH(Invulblad!$S$60,INDIRECT(X$1&amp;"!$D$3:$D$10"),0)),0,10))</f>
        <v>165</v>
      </c>
      <c r="Y54" s="165">
        <f ca="1">IF(Y53="","",Y53+IF(ISNA(MATCH(Invulblad!$S$59,INDIRECT(Y$1&amp;"!$B$3:$B$10"),0)),0,10)+IF(ISNA(MATCH(Invulblad!$S$59,INDIRECT(Y$1&amp;"!$D$3:$D$10"),0)),0,10)+IF(ISNA(MATCH(Invulblad!$S$60,INDIRECT(Y$1&amp;"!$B$3:$B$10"),0)),0,10)+IF(ISNA(MATCH(Invulblad!$S$60,INDIRECT(Y$1&amp;"!$D$3:$D$10"),0)),0,10))</f>
        <v>210</v>
      </c>
      <c r="Z54" s="165">
        <f ca="1">IF(Z53="","",Z53+IF(ISNA(MATCH(Invulblad!$S$59,INDIRECT(Z$1&amp;"!$B$3:$B$10"),0)),0,10)+IF(ISNA(MATCH(Invulblad!$S$59,INDIRECT(Z$1&amp;"!$D$3:$D$10"),0)),0,10)+IF(ISNA(MATCH(Invulblad!$S$60,INDIRECT(Z$1&amp;"!$B$3:$B$10"),0)),0,10)+IF(ISNA(MATCH(Invulblad!$S$60,INDIRECT(Z$1&amp;"!$D$3:$D$10"),0)),0,10))</f>
        <v>215</v>
      </c>
      <c r="AA54" s="165">
        <f t="shared" ca="1" si="39"/>
        <v>209.58333333333334</v>
      </c>
      <c r="AB54" s="178">
        <f t="shared" ca="1" si="41"/>
        <v>10.833333333333343</v>
      </c>
      <c r="AC54" s="331" t="str">
        <f t="shared" si="40"/>
        <v>Boni</v>
      </c>
      <c r="AD54" s="179">
        <f t="shared" ca="1" si="42"/>
        <v>-9.5833333333333428</v>
      </c>
      <c r="AE54" s="179">
        <f t="shared" ca="1" si="43"/>
        <v>20.416666666666657</v>
      </c>
      <c r="AF54" s="179">
        <f t="shared" ca="1" si="44"/>
        <v>10.416666666666657</v>
      </c>
      <c r="AG54" s="179">
        <f t="shared" ca="1" si="45"/>
        <v>20.416666666666657</v>
      </c>
      <c r="AH54" s="179">
        <f t="shared" ca="1" si="46"/>
        <v>30.416666666666657</v>
      </c>
      <c r="AI54" s="179">
        <f t="shared" ca="1" si="47"/>
        <v>-24.583333333333343</v>
      </c>
      <c r="AJ54" s="179">
        <f t="shared" ca="1" si="48"/>
        <v>-29.583333333333343</v>
      </c>
      <c r="AK54" s="179">
        <f t="shared" ca="1" si="49"/>
        <v>35.416666666666657</v>
      </c>
      <c r="AL54" s="179">
        <f t="shared" ca="1" si="50"/>
        <v>0.41666666666665719</v>
      </c>
      <c r="AM54" s="179">
        <f t="shared" ca="1" si="51"/>
        <v>0.41666666666665719</v>
      </c>
      <c r="AN54" s="179">
        <f t="shared" ca="1" si="52"/>
        <v>0.41666666666665719</v>
      </c>
      <c r="AO54" s="179">
        <f t="shared" ca="1" si="27"/>
        <v>-9.5833333333333428</v>
      </c>
      <c r="AP54" s="179">
        <f t="shared" ca="1" si="28"/>
        <v>-9.5833333333333428</v>
      </c>
      <c r="AQ54" s="179">
        <f t="shared" ca="1" si="28"/>
        <v>-14.583333333333343</v>
      </c>
      <c r="AR54" s="179">
        <f t="shared" ca="1" si="29"/>
        <v>15.416666666666657</v>
      </c>
      <c r="AS54" s="179">
        <f t="shared" ca="1" si="30"/>
        <v>25.416666666666657</v>
      </c>
      <c r="AT54" s="179">
        <f t="shared" ca="1" si="31"/>
        <v>-29.583333333333343</v>
      </c>
      <c r="AU54" s="179">
        <f t="shared" ca="1" si="32"/>
        <v>0.41666666666665719</v>
      </c>
      <c r="AV54" s="179">
        <f t="shared" ca="1" si="33"/>
        <v>-34.583333333333343</v>
      </c>
      <c r="AW54" s="179">
        <f t="shared" ca="1" si="34"/>
        <v>-34.583333333333343</v>
      </c>
      <c r="AX54" s="179">
        <f t="shared" ca="1" si="35"/>
        <v>25.416666666666657</v>
      </c>
      <c r="AY54" s="179">
        <f t="shared" ca="1" si="36"/>
        <v>-44.583333333333343</v>
      </c>
      <c r="AZ54" s="179">
        <f t="shared" ca="1" si="37"/>
        <v>0.41666666666665719</v>
      </c>
      <c r="BA54" s="179">
        <f t="shared" ca="1" si="38"/>
        <v>5.4166666666666572</v>
      </c>
    </row>
    <row r="55" spans="1:53">
      <c r="A55" s="173">
        <v>47</v>
      </c>
      <c r="B55" s="157" t="str">
        <f>VLOOKUP($A55,wedstrijden,6,0)&amp;"-"&amp;VLOOKUP($A55,wedstrijden,10,0)</f>
        <v>Zuid-Korea-België</v>
      </c>
      <c r="C55" s="298">
        <f ca="1">IF(VLOOKUP($A55,INDIRECT(C$1&amp;loc_voorspell),15,0)&lt;&gt;"",VLOOKUP($A55,INDIRECT(C$1&amp;loc_voorspell),15,0)+C54,"")</f>
        <v>205</v>
      </c>
      <c r="D55" s="298">
        <f ca="1">IF(VLOOKUP($A55,INDIRECT(D$1&amp;loc_voorspell),15,0)&lt;&gt;"",VLOOKUP($A55,INDIRECT(D$1&amp;loc_voorspell),15,0)+D54,"")</f>
        <v>235</v>
      </c>
      <c r="E55" s="298">
        <f ca="1">IF(VLOOKUP($A55,INDIRECT(E$1&amp;loc_voorspell),15,0)&lt;&gt;"",VLOOKUP($A55,INDIRECT(E$1&amp;loc_voorspell),15,0)+E54,"")</f>
        <v>220</v>
      </c>
      <c r="F55" s="298">
        <f ca="1">IF(VLOOKUP($A55,INDIRECT(F$1&amp;loc_voorspell),15,0)&lt;&gt;"",VLOOKUP($A55,INDIRECT(F$1&amp;loc_voorspell),15,0)+F54,"")</f>
        <v>235</v>
      </c>
      <c r="G55" s="298">
        <f ca="1">IF(VLOOKUP($A55,INDIRECT(G$1&amp;loc_voorspell),15,0)&lt;&gt;"",VLOOKUP($A55,INDIRECT(G$1&amp;loc_voorspell),15,0)+G54,"")</f>
        <v>245</v>
      </c>
      <c r="H55" s="298">
        <f ca="1">IF(VLOOKUP($A55,INDIRECT(H$1&amp;loc_voorspell),15,0)&lt;&gt;"",VLOOKUP($A55,INDIRECT(H$1&amp;loc_voorspell),15,0)+H54,"")</f>
        <v>195</v>
      </c>
      <c r="I55" s="298">
        <f ca="1">IF(VLOOKUP($A55,INDIRECT(I$1&amp;loc_voorspell),15,0)&lt;&gt;"",VLOOKUP($A55,INDIRECT(I$1&amp;loc_voorspell),15,0)+I54,"")</f>
        <v>190</v>
      </c>
      <c r="J55" s="298">
        <f ca="1">IF(VLOOKUP($A55,INDIRECT(J$1&amp;loc_voorspell),15,0)&lt;&gt;"",VLOOKUP($A55,INDIRECT(J$1&amp;loc_voorspell),15,0)+J54,"")</f>
        <v>250</v>
      </c>
      <c r="K55" s="298">
        <f ca="1">IF(VLOOKUP($A55,INDIRECT(K$1&amp;loc_voorspell),15,0)&lt;&gt;"",VLOOKUP($A55,INDIRECT(K$1&amp;loc_voorspell),15,0)+K54,"")</f>
        <v>215</v>
      </c>
      <c r="L55" s="298">
        <f ca="1">IF(VLOOKUP($A55,INDIRECT(L$1&amp;loc_voorspell),15,0)&lt;&gt;"",VLOOKUP($A55,INDIRECT(L$1&amp;loc_voorspell),15,0)+L54,"")</f>
        <v>215</v>
      </c>
      <c r="M55" s="298">
        <f ca="1">IF(VLOOKUP($A55,INDIRECT(M$1&amp;loc_voorspell),15,0)&lt;&gt;"",VLOOKUP($A55,INDIRECT(M$1&amp;loc_voorspell),15,0)+M54,"")</f>
        <v>220</v>
      </c>
      <c r="N55" s="298">
        <f ca="1">IF(VLOOKUP($A55,INDIRECT(N$1&amp;loc_voorspell),15,0)&lt;&gt;"",VLOOKUP($A55,INDIRECT(N$1&amp;loc_voorspell),15,0)+N54,"")</f>
        <v>250</v>
      </c>
      <c r="O55" s="298">
        <f ca="1">IF(VLOOKUP($A55,INDIRECT(O$1&amp;loc_voorspell),15,0)&lt;&gt;"",VLOOKUP($A55,INDIRECT(O$1&amp;loc_voorspell),15,0)+O54,"")</f>
        <v>210</v>
      </c>
      <c r="P55" s="298">
        <f ca="1">IF(VLOOKUP($A55,INDIRECT(P$1&amp;loc_voorspell),15,0)&lt;&gt;"",VLOOKUP($A55,INDIRECT(P$1&amp;loc_voorspell),15,0)+P54,"")</f>
        <v>200</v>
      </c>
      <c r="Q55" s="298">
        <f ca="1">IF(VLOOKUP($A55,INDIRECT(Q$1&amp;loc_voorspell),15,0)&lt;&gt;"",VLOOKUP($A55,INDIRECT(Q$1&amp;loc_voorspell),15,0)+Q54,"")</f>
        <v>230</v>
      </c>
      <c r="R55" s="298">
        <f ca="1">IF(VLOOKUP($A55,INDIRECT(R$1&amp;loc_voorspell),15,0)&lt;&gt;"",VLOOKUP($A55,INDIRECT(R$1&amp;loc_voorspell),15,0)+R54,"")</f>
        <v>240</v>
      </c>
      <c r="S55" s="298">
        <f ca="1">IF(VLOOKUP($A55,INDIRECT(S$1&amp;loc_voorspell),15,0)&lt;&gt;"",VLOOKUP($A55,INDIRECT(S$1&amp;loc_voorspell),15,0)+S54,"")</f>
        <v>185</v>
      </c>
      <c r="T55" s="298">
        <f ca="1">IF(VLOOKUP($A55,INDIRECT(T$1&amp;loc_voorspell),15,0)&lt;&gt;"",VLOOKUP($A55,INDIRECT(T$1&amp;loc_voorspell),15,0)+T54,"")</f>
        <v>215</v>
      </c>
      <c r="U55" s="298">
        <f ca="1">IF(VLOOKUP($A55,INDIRECT(U$1&amp;loc_voorspell),15,0)&lt;&gt;"",VLOOKUP($A55,INDIRECT(U$1&amp;loc_voorspell),15,0)+U54,"")</f>
        <v>175</v>
      </c>
      <c r="V55" s="298">
        <f ca="1">IF(VLOOKUP($A55,INDIRECT(V$1&amp;loc_voorspell),15,0)&lt;&gt;"",VLOOKUP($A55,INDIRECT(V$1&amp;loc_voorspell),15,0)+V54,"")</f>
        <v>180</v>
      </c>
      <c r="W55" s="298">
        <f ca="1">IF(VLOOKUP($A55,INDIRECT(W$1&amp;loc_voorspell),15,0)&lt;&gt;"",VLOOKUP($A55,INDIRECT(W$1&amp;loc_voorspell),15,0)+W54,"")</f>
        <v>245</v>
      </c>
      <c r="X55" s="298">
        <f ca="1">IF(VLOOKUP($A55,INDIRECT(X$1&amp;loc_voorspell),15,0)&lt;&gt;"",VLOOKUP($A55,INDIRECT(X$1&amp;loc_voorspell),15,0)+X54,"")</f>
        <v>165</v>
      </c>
      <c r="Y55" s="298">
        <f ca="1">IF(VLOOKUP($A55,INDIRECT(Y$1&amp;loc_voorspell),15,0)&lt;&gt;"",VLOOKUP($A55,INDIRECT(Y$1&amp;loc_voorspell),15,0)+Y54,"")</f>
        <v>215</v>
      </c>
      <c r="Z55" s="298">
        <f ca="1">IF(VLOOKUP($A55,INDIRECT(Z$1&amp;loc_voorspell),15,0)&lt;&gt;"",VLOOKUP($A55,INDIRECT(Z$1&amp;loc_voorspell),15,0)+Z54,"")</f>
        <v>220</v>
      </c>
      <c r="AA55" s="165">
        <f t="shared" ca="1" si="39"/>
        <v>214.79166666666666</v>
      </c>
      <c r="AB55" s="178">
        <f t="shared" ca="1" si="41"/>
        <v>5.2083333333333144</v>
      </c>
      <c r="AC55" s="331" t="str">
        <f t="shared" si="40"/>
        <v>Zuid-Korea-België</v>
      </c>
      <c r="AD55" s="179">
        <f t="shared" ca="1" si="42"/>
        <v>-9.7916666666666572</v>
      </c>
      <c r="AE55" s="179">
        <f t="shared" ca="1" si="43"/>
        <v>20.208333333333343</v>
      </c>
      <c r="AF55" s="179">
        <f t="shared" ca="1" si="44"/>
        <v>5.2083333333333428</v>
      </c>
      <c r="AG55" s="179">
        <f t="shared" ca="1" si="45"/>
        <v>20.208333333333343</v>
      </c>
      <c r="AH55" s="179">
        <f t="shared" ca="1" si="46"/>
        <v>30.208333333333343</v>
      </c>
      <c r="AI55" s="179">
        <f t="shared" ca="1" si="47"/>
        <v>-19.791666666666657</v>
      </c>
      <c r="AJ55" s="179">
        <f t="shared" ca="1" si="48"/>
        <v>-24.791666666666657</v>
      </c>
      <c r="AK55" s="179">
        <f t="shared" ca="1" si="49"/>
        <v>35.208333333333343</v>
      </c>
      <c r="AL55" s="179">
        <f t="shared" ca="1" si="50"/>
        <v>0.20833333333334281</v>
      </c>
      <c r="AM55" s="179">
        <f t="shared" ca="1" si="51"/>
        <v>0.20833333333334281</v>
      </c>
      <c r="AN55" s="179">
        <f t="shared" ca="1" si="52"/>
        <v>5.2083333333333428</v>
      </c>
      <c r="AO55" s="179">
        <f t="shared" ca="1" si="27"/>
        <v>-4.7916666666666572</v>
      </c>
      <c r="AP55" s="179">
        <f t="shared" ca="1" si="28"/>
        <v>-4.7916666666666572</v>
      </c>
      <c r="AQ55" s="179">
        <f t="shared" ca="1" si="28"/>
        <v>-14.791666666666657</v>
      </c>
      <c r="AR55" s="179">
        <f t="shared" ca="1" si="29"/>
        <v>15.208333333333343</v>
      </c>
      <c r="AS55" s="179">
        <f t="shared" ca="1" si="30"/>
        <v>25.208333333333343</v>
      </c>
      <c r="AT55" s="179">
        <f t="shared" ca="1" si="31"/>
        <v>-29.791666666666657</v>
      </c>
      <c r="AU55" s="179">
        <f t="shared" ca="1" si="32"/>
        <v>0.20833333333334281</v>
      </c>
      <c r="AV55" s="179">
        <f t="shared" ca="1" si="33"/>
        <v>-39.791666666666657</v>
      </c>
      <c r="AW55" s="179">
        <f t="shared" ca="1" si="34"/>
        <v>-34.791666666666657</v>
      </c>
      <c r="AX55" s="179">
        <f t="shared" ca="1" si="35"/>
        <v>30.208333333333343</v>
      </c>
      <c r="AY55" s="179">
        <f t="shared" ca="1" si="36"/>
        <v>-49.791666666666657</v>
      </c>
      <c r="AZ55" s="179">
        <f t="shared" ca="1" si="37"/>
        <v>0.20833333333334281</v>
      </c>
      <c r="BA55" s="179">
        <f t="shared" ca="1" si="38"/>
        <v>5.2083333333333428</v>
      </c>
    </row>
    <row r="56" spans="1:53">
      <c r="A56" s="173">
        <v>48</v>
      </c>
      <c r="B56" s="158" t="str">
        <f>VLOOKUP($A56,wedstrijden,6,0)&amp;"-"&amp;VLOOKUP($A56,wedstrijden,10,0)</f>
        <v>Algerije-Rusland</v>
      </c>
      <c r="C56" s="299">
        <f ca="1">IF(VLOOKUP($A56,INDIRECT(C$1&amp;loc_voorspell),15,0)&lt;&gt;"",VLOOKUP($A56,INDIRECT(C$1&amp;loc_voorspell),15,0)+C55,"")</f>
        <v>205</v>
      </c>
      <c r="D56" s="299">
        <f ca="1">IF(VLOOKUP($A56,INDIRECT(D$1&amp;loc_voorspell),15,0)&lt;&gt;"",VLOOKUP($A56,INDIRECT(D$1&amp;loc_voorspell),15,0)+D55,"")</f>
        <v>235</v>
      </c>
      <c r="E56" s="299">
        <f ca="1">IF(VLOOKUP($A56,INDIRECT(E$1&amp;loc_voorspell),15,0)&lt;&gt;"",VLOOKUP($A56,INDIRECT(E$1&amp;loc_voorspell),15,0)+E55,"")</f>
        <v>220</v>
      </c>
      <c r="F56" s="299">
        <f ca="1">IF(VLOOKUP($A56,INDIRECT(F$1&amp;loc_voorspell),15,0)&lt;&gt;"",VLOOKUP($A56,INDIRECT(F$1&amp;loc_voorspell),15,0)+F55,"")</f>
        <v>235</v>
      </c>
      <c r="G56" s="299">
        <f ca="1">IF(VLOOKUP($A56,INDIRECT(G$1&amp;loc_voorspell),15,0)&lt;&gt;"",VLOOKUP($A56,INDIRECT(G$1&amp;loc_voorspell),15,0)+G55,"")</f>
        <v>245</v>
      </c>
      <c r="H56" s="299">
        <f ca="1">IF(VLOOKUP($A56,INDIRECT(H$1&amp;loc_voorspell),15,0)&lt;&gt;"",VLOOKUP($A56,INDIRECT(H$1&amp;loc_voorspell),15,0)+H55,"")</f>
        <v>195</v>
      </c>
      <c r="I56" s="299">
        <f ca="1">IF(VLOOKUP($A56,INDIRECT(I$1&amp;loc_voorspell),15,0)&lt;&gt;"",VLOOKUP($A56,INDIRECT(I$1&amp;loc_voorspell),15,0)+I55,"")</f>
        <v>190</v>
      </c>
      <c r="J56" s="299">
        <f ca="1">IF(VLOOKUP($A56,INDIRECT(J$1&amp;loc_voorspell),15,0)&lt;&gt;"",VLOOKUP($A56,INDIRECT(J$1&amp;loc_voorspell),15,0)+J55,"")</f>
        <v>250</v>
      </c>
      <c r="K56" s="299">
        <f ca="1">IF(VLOOKUP($A56,INDIRECT(K$1&amp;loc_voorspell),15,0)&lt;&gt;"",VLOOKUP($A56,INDIRECT(K$1&amp;loc_voorspell),15,0)+K55,"")</f>
        <v>225</v>
      </c>
      <c r="L56" s="299">
        <f ca="1">IF(VLOOKUP($A56,INDIRECT(L$1&amp;loc_voorspell),15,0)&lt;&gt;"",VLOOKUP($A56,INDIRECT(L$1&amp;loc_voorspell),15,0)+L55,"")</f>
        <v>215</v>
      </c>
      <c r="M56" s="299">
        <f ca="1">IF(VLOOKUP($A56,INDIRECT(M$1&amp;loc_voorspell),15,0)&lt;&gt;"",VLOOKUP($A56,INDIRECT(M$1&amp;loc_voorspell),15,0)+M55,"")</f>
        <v>220</v>
      </c>
      <c r="N56" s="299">
        <f ca="1">IF(VLOOKUP($A56,INDIRECT(N$1&amp;loc_voorspell),15,0)&lt;&gt;"",VLOOKUP($A56,INDIRECT(N$1&amp;loc_voorspell),15,0)+N55,"")</f>
        <v>250</v>
      </c>
      <c r="O56" s="299">
        <f ca="1">IF(VLOOKUP($A56,INDIRECT(O$1&amp;loc_voorspell),15,0)&lt;&gt;"",VLOOKUP($A56,INDIRECT(O$1&amp;loc_voorspell),15,0)+O55,"")</f>
        <v>215</v>
      </c>
      <c r="P56" s="299">
        <f ca="1">IF(VLOOKUP($A56,INDIRECT(P$1&amp;loc_voorspell),15,0)&lt;&gt;"",VLOOKUP($A56,INDIRECT(P$1&amp;loc_voorspell),15,0)+P55,"")</f>
        <v>210</v>
      </c>
      <c r="Q56" s="299">
        <f ca="1">IF(VLOOKUP($A56,INDIRECT(Q$1&amp;loc_voorspell),15,0)&lt;&gt;"",VLOOKUP($A56,INDIRECT(Q$1&amp;loc_voorspell),15,0)+Q55,"")</f>
        <v>230</v>
      </c>
      <c r="R56" s="299">
        <f ca="1">IF(VLOOKUP($A56,INDIRECT(R$1&amp;loc_voorspell),15,0)&lt;&gt;"",VLOOKUP($A56,INDIRECT(R$1&amp;loc_voorspell),15,0)+R55,"")</f>
        <v>240</v>
      </c>
      <c r="S56" s="299">
        <f ca="1">IF(VLOOKUP($A56,INDIRECT(S$1&amp;loc_voorspell),15,0)&lt;&gt;"",VLOOKUP($A56,INDIRECT(S$1&amp;loc_voorspell),15,0)+S55,"")</f>
        <v>185</v>
      </c>
      <c r="T56" s="299">
        <f ca="1">IF(VLOOKUP($A56,INDIRECT(T$1&amp;loc_voorspell),15,0)&lt;&gt;"",VLOOKUP($A56,INDIRECT(T$1&amp;loc_voorspell),15,0)+T55,"")</f>
        <v>215</v>
      </c>
      <c r="U56" s="299">
        <f ca="1">IF(VLOOKUP($A56,INDIRECT(U$1&amp;loc_voorspell),15,0)&lt;&gt;"",VLOOKUP($A56,INDIRECT(U$1&amp;loc_voorspell),15,0)+U55,"")</f>
        <v>175</v>
      </c>
      <c r="V56" s="299">
        <f ca="1">IF(VLOOKUP($A56,INDIRECT(V$1&amp;loc_voorspell),15,0)&lt;&gt;"",VLOOKUP($A56,INDIRECT(V$1&amp;loc_voorspell),15,0)+V55,"")</f>
        <v>180</v>
      </c>
      <c r="W56" s="299">
        <f ca="1">IF(VLOOKUP($A56,INDIRECT(W$1&amp;loc_voorspell),15,0)&lt;&gt;"",VLOOKUP($A56,INDIRECT(W$1&amp;loc_voorspell),15,0)+W55,"")</f>
        <v>245</v>
      </c>
      <c r="X56" s="299">
        <f ca="1">IF(VLOOKUP($A56,INDIRECT(X$1&amp;loc_voorspell),15,0)&lt;&gt;"",VLOOKUP($A56,INDIRECT(X$1&amp;loc_voorspell),15,0)+X55,"")</f>
        <v>175</v>
      </c>
      <c r="Y56" s="299">
        <f ca="1">IF(VLOOKUP($A56,INDIRECT(Y$1&amp;loc_voorspell),15,0)&lt;&gt;"",VLOOKUP($A56,INDIRECT(Y$1&amp;loc_voorspell),15,0)+Y55,"")</f>
        <v>215</v>
      </c>
      <c r="Z56" s="299">
        <f ca="1">IF(VLOOKUP($A56,INDIRECT(Z$1&amp;loc_voorspell),15,0)&lt;&gt;"",VLOOKUP($A56,INDIRECT(Z$1&amp;loc_voorspell),15,0)+Z55,"")</f>
        <v>220</v>
      </c>
      <c r="AA56" s="165">
        <f t="shared" ca="1" si="39"/>
        <v>216.25</v>
      </c>
      <c r="AB56" s="178">
        <f t="shared" ca="1" si="41"/>
        <v>1.4583333333333428</v>
      </c>
      <c r="AC56" s="331" t="str">
        <f t="shared" si="40"/>
        <v>Algerije-Rusland</v>
      </c>
      <c r="AD56" s="179">
        <f t="shared" ca="1" si="42"/>
        <v>-11.25</v>
      </c>
      <c r="AE56" s="179">
        <f t="shared" ca="1" si="43"/>
        <v>18.75</v>
      </c>
      <c r="AF56" s="179">
        <f t="shared" ca="1" si="44"/>
        <v>3.75</v>
      </c>
      <c r="AG56" s="179">
        <f t="shared" ca="1" si="45"/>
        <v>18.75</v>
      </c>
      <c r="AH56" s="179">
        <f t="shared" ca="1" si="46"/>
        <v>28.75</v>
      </c>
      <c r="AI56" s="179">
        <f t="shared" ca="1" si="47"/>
        <v>-21.25</v>
      </c>
      <c r="AJ56" s="179">
        <f t="shared" ca="1" si="48"/>
        <v>-26.25</v>
      </c>
      <c r="AK56" s="179">
        <f t="shared" ca="1" si="49"/>
        <v>33.75</v>
      </c>
      <c r="AL56" s="179">
        <f t="shared" ca="1" si="50"/>
        <v>8.75</v>
      </c>
      <c r="AM56" s="179">
        <f t="shared" ca="1" si="51"/>
        <v>-1.25</v>
      </c>
      <c r="AN56" s="179">
        <f t="shared" ca="1" si="52"/>
        <v>3.75</v>
      </c>
      <c r="AO56" s="179">
        <f t="shared" ca="1" si="27"/>
        <v>-1.25</v>
      </c>
      <c r="AP56" s="179">
        <f t="shared" ca="1" si="28"/>
        <v>-1.25</v>
      </c>
      <c r="AQ56" s="179">
        <f t="shared" ca="1" si="28"/>
        <v>-6.25</v>
      </c>
      <c r="AR56" s="179">
        <f t="shared" ca="1" si="29"/>
        <v>13.75</v>
      </c>
      <c r="AS56" s="179">
        <f t="shared" ca="1" si="30"/>
        <v>23.75</v>
      </c>
      <c r="AT56" s="179">
        <f t="shared" ca="1" si="31"/>
        <v>-31.25</v>
      </c>
      <c r="AU56" s="179">
        <f t="shared" ca="1" si="32"/>
        <v>-1.25</v>
      </c>
      <c r="AV56" s="179">
        <f t="shared" ca="1" si="33"/>
        <v>-41.25</v>
      </c>
      <c r="AW56" s="179">
        <f t="shared" ca="1" si="34"/>
        <v>-36.25</v>
      </c>
      <c r="AX56" s="179">
        <f t="shared" ca="1" si="35"/>
        <v>28.75</v>
      </c>
      <c r="AY56" s="179">
        <f t="shared" ca="1" si="36"/>
        <v>-41.25</v>
      </c>
      <c r="AZ56" s="179">
        <f t="shared" ca="1" si="37"/>
        <v>-1.25</v>
      </c>
      <c r="BA56" s="179">
        <f t="shared" ca="1" si="38"/>
        <v>3.75</v>
      </c>
    </row>
    <row r="57" spans="1:53" s="164" customFormat="1">
      <c r="A57" s="180" t="str">
        <f>B57</f>
        <v>Boni</v>
      </c>
      <c r="B57" s="324" t="s">
        <v>366</v>
      </c>
      <c r="C57" s="165">
        <f ca="1">IF(C56="","",C56+IF(ISNA(MATCH(Invulblad!$S$67,INDIRECT(C$1&amp;"!$B$3:$B$10"),0)),0,10)+IF(ISNA(MATCH(Invulblad!$S$67,INDIRECT(C$1&amp;"!$D$3:$D$10"),0)),0,10)+IF(ISNA(MATCH(Invulblad!$S$68,INDIRECT(C$1&amp;"!$B$3:$B$10"),0)),0,10)+IF(ISNA(MATCH(Invulblad!$S$68,INDIRECT(C$1&amp;"!$D$3:$D$10"),0)),0,10))</f>
        <v>215</v>
      </c>
      <c r="D57" s="165">
        <f ca="1">IF(D56="","",D56+IF(ISNA(MATCH(Invulblad!$S$67,INDIRECT(D$1&amp;"!$B$3:$B$10"),0)),0,10)+IF(ISNA(MATCH(Invulblad!$S$67,INDIRECT(D$1&amp;"!$D$3:$D$10"),0)),0,10)+IF(ISNA(MATCH(Invulblad!$S$68,INDIRECT(D$1&amp;"!$B$3:$B$10"),0)),0,10)+IF(ISNA(MATCH(Invulblad!$S$68,INDIRECT(D$1&amp;"!$D$3:$D$10"),0)),0,10))</f>
        <v>245</v>
      </c>
      <c r="E57" s="165">
        <f ca="1">IF(E56="","",E56+IF(ISNA(MATCH(Invulblad!$S$67,INDIRECT(E$1&amp;"!$B$3:$B$10"),0)),0,10)+IF(ISNA(MATCH(Invulblad!$S$67,INDIRECT(E$1&amp;"!$D$3:$D$10"),0)),0,10)+IF(ISNA(MATCH(Invulblad!$S$68,INDIRECT(E$1&amp;"!$B$3:$B$10"),0)),0,10)+IF(ISNA(MATCH(Invulblad!$S$68,INDIRECT(E$1&amp;"!$D$3:$D$10"),0)),0,10))</f>
        <v>230</v>
      </c>
      <c r="F57" s="165">
        <f ca="1">IF(F56="","",F56+IF(ISNA(MATCH(Invulblad!$S$67,INDIRECT(F$1&amp;"!$B$3:$B$10"),0)),0,10)+IF(ISNA(MATCH(Invulblad!$S$67,INDIRECT(F$1&amp;"!$D$3:$D$10"),0)),0,10)+IF(ISNA(MATCH(Invulblad!$S$68,INDIRECT(F$1&amp;"!$B$3:$B$10"),0)),0,10)+IF(ISNA(MATCH(Invulblad!$S$68,INDIRECT(F$1&amp;"!$D$3:$D$10"),0)),0,10))</f>
        <v>245</v>
      </c>
      <c r="G57" s="165">
        <f ca="1">IF(G56="","",G56+IF(ISNA(MATCH(Invulblad!$S$67,INDIRECT(G$1&amp;"!$B$3:$B$10"),0)),0,10)+IF(ISNA(MATCH(Invulblad!$S$67,INDIRECT(G$1&amp;"!$D$3:$D$10"),0)),0,10)+IF(ISNA(MATCH(Invulblad!$S$68,INDIRECT(G$1&amp;"!$B$3:$B$10"),0)),0,10)+IF(ISNA(MATCH(Invulblad!$S$68,INDIRECT(G$1&amp;"!$D$3:$D$10"),0)),0,10))</f>
        <v>255</v>
      </c>
      <c r="H57" s="165">
        <f ca="1">IF(H56="","",H56+IF(ISNA(MATCH(Invulblad!$S$67,INDIRECT(H$1&amp;"!$B$3:$B$10"),0)),0,10)+IF(ISNA(MATCH(Invulblad!$S$67,INDIRECT(H$1&amp;"!$D$3:$D$10"),0)),0,10)+IF(ISNA(MATCH(Invulblad!$S$68,INDIRECT(H$1&amp;"!$B$3:$B$10"),0)),0,10)+IF(ISNA(MATCH(Invulblad!$S$68,INDIRECT(H$1&amp;"!$D$3:$D$10"),0)),0,10))</f>
        <v>205</v>
      </c>
      <c r="I57" s="165">
        <f ca="1">IF(I56="","",I56+IF(ISNA(MATCH(Invulblad!$S$67,INDIRECT(I$1&amp;"!$B$3:$B$10"),0)),0,10)+IF(ISNA(MATCH(Invulblad!$S$67,INDIRECT(I$1&amp;"!$D$3:$D$10"),0)),0,10)+IF(ISNA(MATCH(Invulblad!$S$68,INDIRECT(I$1&amp;"!$B$3:$B$10"),0)),0,10)+IF(ISNA(MATCH(Invulblad!$S$68,INDIRECT(I$1&amp;"!$D$3:$D$10"),0)),0,10))</f>
        <v>200</v>
      </c>
      <c r="J57" s="165">
        <f ca="1">IF(J56="","",J56+IF(ISNA(MATCH(Invulblad!$S$67,INDIRECT(J$1&amp;"!$B$3:$B$10"),0)),0,10)+IF(ISNA(MATCH(Invulblad!$S$67,INDIRECT(J$1&amp;"!$D$3:$D$10"),0)),0,10)+IF(ISNA(MATCH(Invulblad!$S$68,INDIRECT(J$1&amp;"!$B$3:$B$10"),0)),0,10)+IF(ISNA(MATCH(Invulblad!$S$68,INDIRECT(J$1&amp;"!$D$3:$D$10"),0)),0,10))</f>
        <v>260</v>
      </c>
      <c r="K57" s="165">
        <f ca="1">IF(K56="","",K56+IF(ISNA(MATCH(Invulblad!$S$67,INDIRECT(K$1&amp;"!$B$3:$B$10"),0)),0,10)+IF(ISNA(MATCH(Invulblad!$S$67,INDIRECT(K$1&amp;"!$D$3:$D$10"),0)),0,10)+IF(ISNA(MATCH(Invulblad!$S$68,INDIRECT(K$1&amp;"!$B$3:$B$10"),0)),0,10)+IF(ISNA(MATCH(Invulblad!$S$68,INDIRECT(K$1&amp;"!$D$3:$D$10"),0)),0,10))</f>
        <v>235</v>
      </c>
      <c r="L57" s="165">
        <f ca="1">IF(L56="","",L56+IF(ISNA(MATCH(Invulblad!$S$67,INDIRECT(L$1&amp;"!$B$3:$B$10"),0)),0,10)+IF(ISNA(MATCH(Invulblad!$S$67,INDIRECT(L$1&amp;"!$D$3:$D$10"),0)),0,10)+IF(ISNA(MATCH(Invulblad!$S$68,INDIRECT(L$1&amp;"!$B$3:$B$10"),0)),0,10)+IF(ISNA(MATCH(Invulblad!$S$68,INDIRECT(L$1&amp;"!$D$3:$D$10"),0)),0,10))</f>
        <v>225</v>
      </c>
      <c r="M57" s="165">
        <f ca="1">IF(M56="","",M56+IF(ISNA(MATCH(Invulblad!$S$67,INDIRECT(M$1&amp;"!$B$3:$B$10"),0)),0,10)+IF(ISNA(MATCH(Invulblad!$S$67,INDIRECT(M$1&amp;"!$D$3:$D$10"),0)),0,10)+IF(ISNA(MATCH(Invulblad!$S$68,INDIRECT(M$1&amp;"!$B$3:$B$10"),0)),0,10)+IF(ISNA(MATCH(Invulblad!$S$68,INDIRECT(M$1&amp;"!$D$3:$D$10"),0)),0,10))</f>
        <v>230</v>
      </c>
      <c r="N57" s="165">
        <f ca="1">IF(N56="","",N56+IF(ISNA(MATCH(Invulblad!$S$67,INDIRECT(N$1&amp;"!$B$3:$B$10"),0)),0,10)+IF(ISNA(MATCH(Invulblad!$S$67,INDIRECT(N$1&amp;"!$D$3:$D$10"),0)),0,10)+IF(ISNA(MATCH(Invulblad!$S$68,INDIRECT(N$1&amp;"!$B$3:$B$10"),0)),0,10)+IF(ISNA(MATCH(Invulblad!$S$68,INDIRECT(N$1&amp;"!$D$3:$D$10"),0)),0,10))</f>
        <v>250</v>
      </c>
      <c r="O57" s="165">
        <f ca="1">IF(O56="","",O56+IF(ISNA(MATCH(Invulblad!$S$67,INDIRECT(O$1&amp;"!$B$3:$B$10"),0)),0,10)+IF(ISNA(MATCH(Invulblad!$S$67,INDIRECT(O$1&amp;"!$D$3:$D$10"),0)),0,10)+IF(ISNA(MATCH(Invulblad!$S$68,INDIRECT(O$1&amp;"!$B$3:$B$10"),0)),0,10)+IF(ISNA(MATCH(Invulblad!$S$68,INDIRECT(O$1&amp;"!$D$3:$D$10"),0)),0,10))</f>
        <v>235</v>
      </c>
      <c r="P57" s="165">
        <f ca="1">IF(P56="","",P56+IF(ISNA(MATCH(Invulblad!$S$67,INDIRECT(P$1&amp;"!$B$3:$B$10"),0)),0,10)+IF(ISNA(MATCH(Invulblad!$S$67,INDIRECT(P$1&amp;"!$D$3:$D$10"),0)),0,10)+IF(ISNA(MATCH(Invulblad!$S$68,INDIRECT(P$1&amp;"!$B$3:$B$10"),0)),0,10)+IF(ISNA(MATCH(Invulblad!$S$68,INDIRECT(P$1&amp;"!$D$3:$D$10"),0)),0,10))</f>
        <v>220</v>
      </c>
      <c r="Q57" s="165">
        <f ca="1">IF(Q56="","",Q56+IF(ISNA(MATCH(Invulblad!$S$67,INDIRECT(Q$1&amp;"!$B$3:$B$10"),0)),0,10)+IF(ISNA(MATCH(Invulblad!$S$67,INDIRECT(Q$1&amp;"!$D$3:$D$10"),0)),0,10)+IF(ISNA(MATCH(Invulblad!$S$68,INDIRECT(Q$1&amp;"!$B$3:$B$10"),0)),0,10)+IF(ISNA(MATCH(Invulblad!$S$68,INDIRECT(Q$1&amp;"!$D$3:$D$10"),0)),0,10))</f>
        <v>240</v>
      </c>
      <c r="R57" s="165">
        <f ca="1">IF(R56="","",R56+IF(ISNA(MATCH(Invulblad!$S$67,INDIRECT(R$1&amp;"!$B$3:$B$10"),0)),0,10)+IF(ISNA(MATCH(Invulblad!$S$67,INDIRECT(R$1&amp;"!$D$3:$D$10"),0)),0,10)+IF(ISNA(MATCH(Invulblad!$S$68,INDIRECT(R$1&amp;"!$B$3:$B$10"),0)),0,10)+IF(ISNA(MATCH(Invulblad!$S$68,INDIRECT(R$1&amp;"!$D$3:$D$10"),0)),0,10))</f>
        <v>250</v>
      </c>
      <c r="S57" s="165">
        <f ca="1">IF(S56="","",S56+IF(ISNA(MATCH(Invulblad!$S$67,INDIRECT(S$1&amp;"!$B$3:$B$10"),0)),0,10)+IF(ISNA(MATCH(Invulblad!$S$67,INDIRECT(S$1&amp;"!$D$3:$D$10"),0)),0,10)+IF(ISNA(MATCH(Invulblad!$S$68,INDIRECT(S$1&amp;"!$B$3:$B$10"),0)),0,10)+IF(ISNA(MATCH(Invulblad!$S$68,INDIRECT(S$1&amp;"!$D$3:$D$10"),0)),0,10))</f>
        <v>195</v>
      </c>
      <c r="T57" s="165">
        <f ca="1">IF(T56="","",T56+IF(ISNA(MATCH(Invulblad!$S$67,INDIRECT(T$1&amp;"!$B$3:$B$10"),0)),0,10)+IF(ISNA(MATCH(Invulblad!$S$67,INDIRECT(T$1&amp;"!$D$3:$D$10"),0)),0,10)+IF(ISNA(MATCH(Invulblad!$S$68,INDIRECT(T$1&amp;"!$B$3:$B$10"),0)),0,10)+IF(ISNA(MATCH(Invulblad!$S$68,INDIRECT(T$1&amp;"!$D$3:$D$10"),0)),0,10))</f>
        <v>225</v>
      </c>
      <c r="U57" s="165">
        <f ca="1">IF(U56="","",U56+IF(ISNA(MATCH(Invulblad!$S$67,INDIRECT(U$1&amp;"!$B$3:$B$10"),0)),0,10)+IF(ISNA(MATCH(Invulblad!$S$67,INDIRECT(U$1&amp;"!$D$3:$D$10"),0)),0,10)+IF(ISNA(MATCH(Invulblad!$S$68,INDIRECT(U$1&amp;"!$B$3:$B$10"),0)),0,10)+IF(ISNA(MATCH(Invulblad!$S$68,INDIRECT(U$1&amp;"!$D$3:$D$10"),0)),0,10))</f>
        <v>175</v>
      </c>
      <c r="V57" s="165">
        <f ca="1">IF(V56="","",V56+IF(ISNA(MATCH(Invulblad!$S$67,INDIRECT(V$1&amp;"!$B$3:$B$10"),0)),0,10)+IF(ISNA(MATCH(Invulblad!$S$67,INDIRECT(V$1&amp;"!$D$3:$D$10"),0)),0,10)+IF(ISNA(MATCH(Invulblad!$S$68,INDIRECT(V$1&amp;"!$B$3:$B$10"),0)),0,10)+IF(ISNA(MATCH(Invulblad!$S$68,INDIRECT(V$1&amp;"!$D$3:$D$10"),0)),0,10))</f>
        <v>190</v>
      </c>
      <c r="W57" s="165">
        <f ca="1">IF(W56="","",W56+IF(ISNA(MATCH(Invulblad!$S$67,INDIRECT(W$1&amp;"!$B$3:$B$10"),0)),0,10)+IF(ISNA(MATCH(Invulblad!$S$67,INDIRECT(W$1&amp;"!$D$3:$D$10"),0)),0,10)+IF(ISNA(MATCH(Invulblad!$S$68,INDIRECT(W$1&amp;"!$B$3:$B$10"),0)),0,10)+IF(ISNA(MATCH(Invulblad!$S$68,INDIRECT(W$1&amp;"!$D$3:$D$10"),0)),0,10))</f>
        <v>255</v>
      </c>
      <c r="X57" s="165">
        <f ca="1">IF(X56="","",X56+IF(ISNA(MATCH(Invulblad!$S$67,INDIRECT(X$1&amp;"!$B$3:$B$10"),0)),0,10)+IF(ISNA(MATCH(Invulblad!$S$67,INDIRECT(X$1&amp;"!$D$3:$D$10"),0)),0,10)+IF(ISNA(MATCH(Invulblad!$S$68,INDIRECT(X$1&amp;"!$B$3:$B$10"),0)),0,10)+IF(ISNA(MATCH(Invulblad!$S$68,INDIRECT(X$1&amp;"!$D$3:$D$10"),0)),0,10))</f>
        <v>185</v>
      </c>
      <c r="Y57" s="165">
        <f ca="1">IF(Y56="","",Y56+IF(ISNA(MATCH(Invulblad!$S$67,INDIRECT(Y$1&amp;"!$B$3:$B$10"),0)),0,10)+IF(ISNA(MATCH(Invulblad!$S$67,INDIRECT(Y$1&amp;"!$D$3:$D$10"),0)),0,10)+IF(ISNA(MATCH(Invulblad!$S$68,INDIRECT(Y$1&amp;"!$B$3:$B$10"),0)),0,10)+IF(ISNA(MATCH(Invulblad!$S$68,INDIRECT(Y$1&amp;"!$D$3:$D$10"),0)),0,10))</f>
        <v>225</v>
      </c>
      <c r="Z57" s="165">
        <f ca="1">IF(Z56="","",Z56+IF(ISNA(MATCH(Invulblad!$S$67,INDIRECT(Z$1&amp;"!$B$3:$B$10"),0)),0,10)+IF(ISNA(MATCH(Invulblad!$S$67,INDIRECT(Z$1&amp;"!$D$3:$D$10"),0)),0,10)+IF(ISNA(MATCH(Invulblad!$S$68,INDIRECT(Z$1&amp;"!$B$3:$B$10"),0)),0,10)+IF(ISNA(MATCH(Invulblad!$S$68,INDIRECT(Z$1&amp;"!$D$3:$D$10"),0)),0,10))</f>
        <v>230</v>
      </c>
      <c r="AA57" s="165">
        <f t="shared" ca="1" si="39"/>
        <v>225.83333333333334</v>
      </c>
      <c r="AB57" s="178">
        <f t="shared" ca="1" si="41"/>
        <v>9.5833333333333428</v>
      </c>
      <c r="AC57" s="331" t="str">
        <f t="shared" si="40"/>
        <v>Boni</v>
      </c>
      <c r="AD57" s="182">
        <f t="shared" ca="1" si="42"/>
        <v>-10.833333333333343</v>
      </c>
      <c r="AE57" s="182">
        <f t="shared" ca="1" si="43"/>
        <v>19.166666666666657</v>
      </c>
      <c r="AF57" s="182">
        <f t="shared" ca="1" si="44"/>
        <v>4.1666666666666572</v>
      </c>
      <c r="AG57" s="182">
        <f t="shared" ca="1" si="45"/>
        <v>19.166666666666657</v>
      </c>
      <c r="AH57" s="182">
        <f t="shared" ca="1" si="46"/>
        <v>29.166666666666657</v>
      </c>
      <c r="AI57" s="182">
        <f t="shared" ca="1" si="47"/>
        <v>-20.833333333333343</v>
      </c>
      <c r="AJ57" s="182">
        <f t="shared" ca="1" si="48"/>
        <v>-25.833333333333343</v>
      </c>
      <c r="AK57" s="182">
        <f t="shared" ca="1" si="49"/>
        <v>34.166666666666657</v>
      </c>
      <c r="AL57" s="182">
        <f t="shared" ca="1" si="50"/>
        <v>9.1666666666666572</v>
      </c>
      <c r="AM57" s="182">
        <f t="shared" ca="1" si="51"/>
        <v>-0.83333333333334281</v>
      </c>
      <c r="AN57" s="182">
        <f t="shared" ca="1" si="52"/>
        <v>4.1666666666666572</v>
      </c>
      <c r="AO57" s="182">
        <f t="shared" ca="1" si="27"/>
        <v>9.1666666666666572</v>
      </c>
      <c r="AP57" s="182">
        <f t="shared" ca="1" si="28"/>
        <v>9.1666666666666572</v>
      </c>
      <c r="AQ57" s="182">
        <f t="shared" ca="1" si="28"/>
        <v>-5.8333333333333428</v>
      </c>
      <c r="AR57" s="182">
        <f t="shared" ca="1" si="29"/>
        <v>14.166666666666657</v>
      </c>
      <c r="AS57" s="182">
        <f t="shared" ca="1" si="30"/>
        <v>24.166666666666657</v>
      </c>
      <c r="AT57" s="182">
        <f t="shared" ca="1" si="31"/>
        <v>-30.833333333333343</v>
      </c>
      <c r="AU57" s="182">
        <f t="shared" ca="1" si="32"/>
        <v>-0.83333333333334281</v>
      </c>
      <c r="AV57" s="182">
        <f t="shared" ca="1" si="33"/>
        <v>-50.833333333333343</v>
      </c>
      <c r="AW57" s="182">
        <f t="shared" ca="1" si="34"/>
        <v>-35.833333333333343</v>
      </c>
      <c r="AX57" s="182">
        <f t="shared" ca="1" si="35"/>
        <v>29.166666666666657</v>
      </c>
      <c r="AY57" s="182">
        <f t="shared" ca="1" si="36"/>
        <v>-40.833333333333343</v>
      </c>
      <c r="AZ57" s="182">
        <f t="shared" ca="1" si="37"/>
        <v>-0.83333333333334281</v>
      </c>
      <c r="BA57" s="182">
        <f t="shared" ca="1" si="38"/>
        <v>4.1666666666666572</v>
      </c>
    </row>
    <row r="58" spans="1:53">
      <c r="A58" s="173">
        <v>49</v>
      </c>
      <c r="B58" s="183" t="str">
        <f t="shared" ref="B58:B65" si="53">VLOOKUP($A58,wedstrijden,6,0)&amp;"-"&amp;VLOOKUP($A58,wedstrijden,10,0)</f>
        <v>Brazilië-Chili</v>
      </c>
      <c r="C58" s="300">
        <f ca="1">IF(VLOOKUP($A58,INDIRECT(C$1&amp;loc_voorspell),15,0)&lt;&gt;"",VLOOKUP($A58,INDIRECT(C$1&amp;loc_voorspell),15,0)+C57,"")</f>
        <v>215</v>
      </c>
      <c r="D58" s="300">
        <f ca="1">IF(VLOOKUP($A58,INDIRECT(D$1&amp;loc_voorspell),15,0)&lt;&gt;"",VLOOKUP($A58,INDIRECT(D$1&amp;loc_voorspell),15,0)+D57,"")</f>
        <v>245</v>
      </c>
      <c r="E58" s="300">
        <f ca="1">IF(VLOOKUP($A58,INDIRECT(E$1&amp;loc_voorspell),15,0)&lt;&gt;"",VLOOKUP($A58,INDIRECT(E$1&amp;loc_voorspell),15,0)+E57,"")</f>
        <v>230</v>
      </c>
      <c r="F58" s="300">
        <f ca="1">IF(VLOOKUP($A58,INDIRECT(F$1&amp;loc_voorspell),15,0)&lt;&gt;"",VLOOKUP($A58,INDIRECT(F$1&amp;loc_voorspell),15,0)+F57,"")</f>
        <v>245</v>
      </c>
      <c r="G58" s="300">
        <f ca="1">IF(VLOOKUP($A58,INDIRECT(G$1&amp;loc_voorspell),15,0)&lt;&gt;"",VLOOKUP($A58,INDIRECT(G$1&amp;loc_voorspell),15,0)+G57,"")</f>
        <v>255</v>
      </c>
      <c r="H58" s="300">
        <f ca="1">IF(VLOOKUP($A58,INDIRECT(H$1&amp;loc_voorspell),15,0)&lt;&gt;"",VLOOKUP($A58,INDIRECT(H$1&amp;loc_voorspell),15,0)+H57,"")</f>
        <v>205</v>
      </c>
      <c r="I58" s="300">
        <f ca="1">IF(VLOOKUP($A58,INDIRECT(I$1&amp;loc_voorspell),15,0)&lt;&gt;"",VLOOKUP($A58,INDIRECT(I$1&amp;loc_voorspell),15,0)+I57,"")</f>
        <v>200</v>
      </c>
      <c r="J58" s="300">
        <f ca="1">IF(VLOOKUP($A58,INDIRECT(J$1&amp;loc_voorspell),15,0)&lt;&gt;"",VLOOKUP($A58,INDIRECT(J$1&amp;loc_voorspell),15,0)+J57,"")</f>
        <v>260</v>
      </c>
      <c r="K58" s="300">
        <f ca="1">IF(VLOOKUP($A58,INDIRECT(K$1&amp;loc_voorspell),15,0)&lt;&gt;"",VLOOKUP($A58,INDIRECT(K$1&amp;loc_voorspell),15,0)+K57,"")</f>
        <v>235</v>
      </c>
      <c r="L58" s="300">
        <f ca="1">IF(VLOOKUP($A58,INDIRECT(L$1&amp;loc_voorspell),15,0)&lt;&gt;"",VLOOKUP($A58,INDIRECT(L$1&amp;loc_voorspell),15,0)+L57,"")</f>
        <v>225</v>
      </c>
      <c r="M58" s="300">
        <f ca="1">IF(VLOOKUP($A58,INDIRECT(M$1&amp;loc_voorspell),15,0)&lt;&gt;"",VLOOKUP($A58,INDIRECT(M$1&amp;loc_voorspell),15,0)+M57,"")</f>
        <v>230</v>
      </c>
      <c r="N58" s="300">
        <f ca="1">IF(VLOOKUP($A58,INDIRECT(N$1&amp;loc_voorspell),15,0)&lt;&gt;"",VLOOKUP($A58,INDIRECT(N$1&amp;loc_voorspell),15,0)+N57,"")</f>
        <v>250</v>
      </c>
      <c r="O58" s="300">
        <f ca="1">IF(VLOOKUP($A58,INDIRECT(O$1&amp;loc_voorspell),15,0)&lt;&gt;"",VLOOKUP($A58,INDIRECT(O$1&amp;loc_voorspell),15,0)+O57,"")</f>
        <v>235</v>
      </c>
      <c r="P58" s="300">
        <f ca="1">IF(VLOOKUP($A58,INDIRECT(P$1&amp;loc_voorspell),15,0)&lt;&gt;"",VLOOKUP($A58,INDIRECT(P$1&amp;loc_voorspell),15,0)+P57,"")</f>
        <v>220</v>
      </c>
      <c r="Q58" s="300">
        <f ca="1">IF(VLOOKUP($A58,INDIRECT(Q$1&amp;loc_voorspell),15,0)&lt;&gt;"",VLOOKUP($A58,INDIRECT(Q$1&amp;loc_voorspell),15,0)+Q57,"")</f>
        <v>245</v>
      </c>
      <c r="R58" s="300">
        <f ca="1">IF(VLOOKUP($A58,INDIRECT(R$1&amp;loc_voorspell),15,0)&lt;&gt;"",VLOOKUP($A58,INDIRECT(R$1&amp;loc_voorspell),15,0)+R57,"")</f>
        <v>250</v>
      </c>
      <c r="S58" s="300">
        <f ca="1">IF(VLOOKUP($A58,INDIRECT(S$1&amp;loc_voorspell),15,0)&lt;&gt;"",VLOOKUP($A58,INDIRECT(S$1&amp;loc_voorspell),15,0)+S57,"")</f>
        <v>195</v>
      </c>
      <c r="T58" s="300">
        <f ca="1">IF(VLOOKUP($A58,INDIRECT(T$1&amp;loc_voorspell),15,0)&lt;&gt;"",VLOOKUP($A58,INDIRECT(T$1&amp;loc_voorspell),15,0)+T57,"")</f>
        <v>225</v>
      </c>
      <c r="U58" s="300">
        <f ca="1">IF(VLOOKUP($A58,INDIRECT(U$1&amp;loc_voorspell),15,0)&lt;&gt;"",VLOOKUP($A58,INDIRECT(U$1&amp;loc_voorspell),15,0)+U57,"")</f>
        <v>175</v>
      </c>
      <c r="V58" s="300">
        <f ca="1">IF(VLOOKUP($A58,INDIRECT(V$1&amp;loc_voorspell),15,0)&lt;&gt;"",VLOOKUP($A58,INDIRECT(V$1&amp;loc_voorspell),15,0)+V57,"")</f>
        <v>190</v>
      </c>
      <c r="W58" s="300">
        <f ca="1">IF(VLOOKUP($A58,INDIRECT(W$1&amp;loc_voorspell),15,0)&lt;&gt;"",VLOOKUP($A58,INDIRECT(W$1&amp;loc_voorspell),15,0)+W57,"")</f>
        <v>260</v>
      </c>
      <c r="X58" s="300">
        <f ca="1">IF(VLOOKUP($A58,INDIRECT(X$1&amp;loc_voorspell),15,0)&lt;&gt;"",VLOOKUP($A58,INDIRECT(X$1&amp;loc_voorspell),15,0)+X57,"")</f>
        <v>185</v>
      </c>
      <c r="Y58" s="300">
        <f ca="1">IF(VLOOKUP($A58,INDIRECT(Y$1&amp;loc_voorspell),15,0)&lt;&gt;"",VLOOKUP($A58,INDIRECT(Y$1&amp;loc_voorspell),15,0)+Y57,"")</f>
        <v>225</v>
      </c>
      <c r="Z58" s="300">
        <f ca="1">IF(VLOOKUP($A58,INDIRECT(Z$1&amp;loc_voorspell),15,0)&lt;&gt;"",VLOOKUP($A58,INDIRECT(Z$1&amp;loc_voorspell),15,0)+Z57,"")</f>
        <v>230</v>
      </c>
      <c r="AA58" s="165">
        <f t="shared" ca="1" si="39"/>
        <v>226.25</v>
      </c>
      <c r="AB58" s="178">
        <f t="shared" ca="1" si="41"/>
        <v>0.41666666666665719</v>
      </c>
      <c r="AC58" s="331" t="str">
        <f t="shared" si="40"/>
        <v>Brazilië-Chili</v>
      </c>
      <c r="AD58" s="179">
        <f t="shared" ca="1" si="42"/>
        <v>-11.25</v>
      </c>
      <c r="AE58" s="179">
        <f t="shared" ca="1" si="43"/>
        <v>18.75</v>
      </c>
      <c r="AF58" s="179">
        <f t="shared" ca="1" si="44"/>
        <v>3.75</v>
      </c>
      <c r="AG58" s="179">
        <f t="shared" ca="1" si="45"/>
        <v>18.75</v>
      </c>
      <c r="AH58" s="179">
        <f t="shared" ca="1" si="46"/>
        <v>28.75</v>
      </c>
      <c r="AI58" s="179">
        <f t="shared" ca="1" si="47"/>
        <v>-21.25</v>
      </c>
      <c r="AJ58" s="179">
        <f t="shared" ca="1" si="48"/>
        <v>-26.25</v>
      </c>
      <c r="AK58" s="179">
        <f t="shared" ca="1" si="49"/>
        <v>33.75</v>
      </c>
      <c r="AL58" s="179">
        <f t="shared" ca="1" si="50"/>
        <v>8.75</v>
      </c>
      <c r="AM58" s="179">
        <f t="shared" ca="1" si="51"/>
        <v>-1.25</v>
      </c>
      <c r="AN58" s="179">
        <f t="shared" ca="1" si="52"/>
        <v>3.75</v>
      </c>
      <c r="AO58" s="179">
        <f t="shared" ca="1" si="27"/>
        <v>8.75</v>
      </c>
      <c r="AP58" s="179">
        <f t="shared" ca="1" si="28"/>
        <v>8.75</v>
      </c>
      <c r="AQ58" s="179">
        <f t="shared" ca="1" si="28"/>
        <v>-6.25</v>
      </c>
      <c r="AR58" s="179">
        <f t="shared" ca="1" si="29"/>
        <v>18.75</v>
      </c>
      <c r="AS58" s="179">
        <f t="shared" ca="1" si="30"/>
        <v>23.75</v>
      </c>
      <c r="AT58" s="179">
        <f t="shared" ca="1" si="31"/>
        <v>-31.25</v>
      </c>
      <c r="AU58" s="179">
        <f t="shared" ca="1" si="32"/>
        <v>-1.25</v>
      </c>
      <c r="AV58" s="179">
        <f t="shared" ca="1" si="33"/>
        <v>-51.25</v>
      </c>
      <c r="AW58" s="179">
        <f t="shared" ca="1" si="34"/>
        <v>-36.25</v>
      </c>
      <c r="AX58" s="179">
        <f t="shared" ca="1" si="35"/>
        <v>33.75</v>
      </c>
      <c r="AY58" s="179">
        <f t="shared" ca="1" si="36"/>
        <v>-41.25</v>
      </c>
      <c r="AZ58" s="179">
        <f t="shared" ca="1" si="37"/>
        <v>-1.25</v>
      </c>
      <c r="BA58" s="179">
        <f t="shared" ca="1" si="38"/>
        <v>3.75</v>
      </c>
    </row>
    <row r="59" spans="1:53">
      <c r="A59" s="173">
        <v>50</v>
      </c>
      <c r="B59" s="184" t="str">
        <f t="shared" si="53"/>
        <v>Colombia-Uruguay</v>
      </c>
      <c r="C59" s="301">
        <f ca="1">IF(VLOOKUP($A59,INDIRECT(C$1&amp;loc_voorspell),15,0)&lt;&gt;"",VLOOKUP($A59,INDIRECT(C$1&amp;loc_voorspell),15,0)+C58,"")</f>
        <v>220</v>
      </c>
      <c r="D59" s="301">
        <f ca="1">IF(VLOOKUP($A59,INDIRECT(D$1&amp;loc_voorspell),15,0)&lt;&gt;"",VLOOKUP($A59,INDIRECT(D$1&amp;loc_voorspell),15,0)+D58,"")</f>
        <v>245</v>
      </c>
      <c r="E59" s="301">
        <f ca="1">IF(VLOOKUP($A59,INDIRECT(E$1&amp;loc_voorspell),15,0)&lt;&gt;"",VLOOKUP($A59,INDIRECT(E$1&amp;loc_voorspell),15,0)+E58,"")</f>
        <v>230</v>
      </c>
      <c r="F59" s="301">
        <f ca="1">IF(VLOOKUP($A59,INDIRECT(F$1&amp;loc_voorspell),15,0)&lt;&gt;"",VLOOKUP($A59,INDIRECT(F$1&amp;loc_voorspell),15,0)+F58,"")</f>
        <v>245</v>
      </c>
      <c r="G59" s="301">
        <f ca="1">IF(VLOOKUP($A59,INDIRECT(G$1&amp;loc_voorspell),15,0)&lt;&gt;"",VLOOKUP($A59,INDIRECT(G$1&amp;loc_voorspell),15,0)+G58,"")</f>
        <v>255</v>
      </c>
      <c r="H59" s="301">
        <f ca="1">IF(VLOOKUP($A59,INDIRECT(H$1&amp;loc_voorspell),15,0)&lt;&gt;"",VLOOKUP($A59,INDIRECT(H$1&amp;loc_voorspell),15,0)+H58,"")</f>
        <v>205</v>
      </c>
      <c r="I59" s="301">
        <f ca="1">IF(VLOOKUP($A59,INDIRECT(I$1&amp;loc_voorspell),15,0)&lt;&gt;"",VLOOKUP($A59,INDIRECT(I$1&amp;loc_voorspell),15,0)+I58,"")</f>
        <v>200</v>
      </c>
      <c r="J59" s="301">
        <f ca="1">IF(VLOOKUP($A59,INDIRECT(J$1&amp;loc_voorspell),15,0)&lt;&gt;"",VLOOKUP($A59,INDIRECT(J$1&amp;loc_voorspell),15,0)+J58,"")</f>
        <v>260</v>
      </c>
      <c r="K59" s="301">
        <f ca="1">IF(VLOOKUP($A59,INDIRECT(K$1&amp;loc_voorspell),15,0)&lt;&gt;"",VLOOKUP($A59,INDIRECT(K$1&amp;loc_voorspell),15,0)+K58,"")</f>
        <v>235</v>
      </c>
      <c r="L59" s="301">
        <f ca="1">IF(VLOOKUP($A59,INDIRECT(L$1&amp;loc_voorspell),15,0)&lt;&gt;"",VLOOKUP($A59,INDIRECT(L$1&amp;loc_voorspell),15,0)+L58,"")</f>
        <v>225</v>
      </c>
      <c r="M59" s="301">
        <f ca="1">IF(VLOOKUP($A59,INDIRECT(M$1&amp;loc_voorspell),15,0)&lt;&gt;"",VLOOKUP($A59,INDIRECT(M$1&amp;loc_voorspell),15,0)+M58,"")</f>
        <v>235</v>
      </c>
      <c r="N59" s="301">
        <f ca="1">IF(VLOOKUP($A59,INDIRECT(N$1&amp;loc_voorspell),15,0)&lt;&gt;"",VLOOKUP($A59,INDIRECT(N$1&amp;loc_voorspell),15,0)+N58,"")</f>
        <v>250</v>
      </c>
      <c r="O59" s="301">
        <f ca="1">IF(VLOOKUP($A59,INDIRECT(O$1&amp;loc_voorspell),15,0)&lt;&gt;"",VLOOKUP($A59,INDIRECT(O$1&amp;loc_voorspell),15,0)+O58,"")</f>
        <v>240</v>
      </c>
      <c r="P59" s="301">
        <f ca="1">IF(VLOOKUP($A59,INDIRECT(P$1&amp;loc_voorspell),15,0)&lt;&gt;"",VLOOKUP($A59,INDIRECT(P$1&amp;loc_voorspell),15,0)+P58,"")</f>
        <v>220</v>
      </c>
      <c r="Q59" s="301">
        <f ca="1">IF(VLOOKUP($A59,INDIRECT(Q$1&amp;loc_voorspell),15,0)&lt;&gt;"",VLOOKUP($A59,INDIRECT(Q$1&amp;loc_voorspell),15,0)+Q58,"")</f>
        <v>245</v>
      </c>
      <c r="R59" s="301">
        <f ca="1">IF(VLOOKUP($A59,INDIRECT(R$1&amp;loc_voorspell),15,0)&lt;&gt;"",VLOOKUP($A59,INDIRECT(R$1&amp;loc_voorspell),15,0)+R58,"")</f>
        <v>255</v>
      </c>
      <c r="S59" s="301">
        <f ca="1">IF(VLOOKUP($A59,INDIRECT(S$1&amp;loc_voorspell),15,0)&lt;&gt;"",VLOOKUP($A59,INDIRECT(S$1&amp;loc_voorspell),15,0)+S58,"")</f>
        <v>195</v>
      </c>
      <c r="T59" s="301">
        <f ca="1">IF(VLOOKUP($A59,INDIRECT(T$1&amp;loc_voorspell),15,0)&lt;&gt;"",VLOOKUP($A59,INDIRECT(T$1&amp;loc_voorspell),15,0)+T58,"")</f>
        <v>225</v>
      </c>
      <c r="U59" s="301">
        <f ca="1">IF(VLOOKUP($A59,INDIRECT(U$1&amp;loc_voorspell),15,0)&lt;&gt;"",VLOOKUP($A59,INDIRECT(U$1&amp;loc_voorspell),15,0)+U58,"")</f>
        <v>180</v>
      </c>
      <c r="V59" s="301">
        <f ca="1">IF(VLOOKUP($A59,INDIRECT(V$1&amp;loc_voorspell),15,0)&lt;&gt;"",VLOOKUP($A59,INDIRECT(V$1&amp;loc_voorspell),15,0)+V58,"")</f>
        <v>190</v>
      </c>
      <c r="W59" s="301">
        <f ca="1">IF(VLOOKUP($A59,INDIRECT(W$1&amp;loc_voorspell),15,0)&lt;&gt;"",VLOOKUP($A59,INDIRECT(W$1&amp;loc_voorspell),15,0)+W58,"")</f>
        <v>260</v>
      </c>
      <c r="X59" s="301">
        <f ca="1">IF(VLOOKUP($A59,INDIRECT(X$1&amp;loc_voorspell),15,0)&lt;&gt;"",VLOOKUP($A59,INDIRECT(X$1&amp;loc_voorspell),15,0)+X58,"")</f>
        <v>185</v>
      </c>
      <c r="Y59" s="301">
        <f ca="1">IF(VLOOKUP($A59,INDIRECT(Y$1&amp;loc_voorspell),15,0)&lt;&gt;"",VLOOKUP($A59,INDIRECT(Y$1&amp;loc_voorspell),15,0)+Y58,"")</f>
        <v>225</v>
      </c>
      <c r="Z59" s="301">
        <f ca="1">IF(VLOOKUP($A59,INDIRECT(Z$1&amp;loc_voorspell),15,0)&lt;&gt;"",VLOOKUP($A59,INDIRECT(Z$1&amp;loc_voorspell),15,0)+Z58,"")</f>
        <v>235</v>
      </c>
      <c r="AA59" s="165">
        <f t="shared" ca="1" si="39"/>
        <v>227.5</v>
      </c>
      <c r="AB59" s="178">
        <f t="shared" ca="1" si="41"/>
        <v>1.25</v>
      </c>
      <c r="AC59" s="331" t="str">
        <f t="shared" si="40"/>
        <v>Colombia-Uruguay</v>
      </c>
      <c r="AD59" s="179">
        <f t="shared" ca="1" si="42"/>
        <v>-7.5</v>
      </c>
      <c r="AE59" s="179">
        <f t="shared" ca="1" si="43"/>
        <v>17.5</v>
      </c>
      <c r="AF59" s="179">
        <f t="shared" ca="1" si="44"/>
        <v>2.5</v>
      </c>
      <c r="AG59" s="179">
        <f t="shared" ca="1" si="45"/>
        <v>17.5</v>
      </c>
      <c r="AH59" s="179">
        <f t="shared" ca="1" si="46"/>
        <v>27.5</v>
      </c>
      <c r="AI59" s="179">
        <f t="shared" ca="1" si="47"/>
        <v>-22.5</v>
      </c>
      <c r="AJ59" s="179">
        <f t="shared" ca="1" si="48"/>
        <v>-27.5</v>
      </c>
      <c r="AK59" s="179">
        <f t="shared" ca="1" si="49"/>
        <v>32.5</v>
      </c>
      <c r="AL59" s="179">
        <f t="shared" ca="1" si="50"/>
        <v>7.5</v>
      </c>
      <c r="AM59" s="179">
        <f t="shared" ca="1" si="51"/>
        <v>-2.5</v>
      </c>
      <c r="AN59" s="179">
        <f t="shared" ca="1" si="52"/>
        <v>7.5</v>
      </c>
      <c r="AO59" s="179">
        <f t="shared" ca="1" si="27"/>
        <v>12.5</v>
      </c>
      <c r="AP59" s="179">
        <f t="shared" ca="1" si="28"/>
        <v>12.5</v>
      </c>
      <c r="AQ59" s="179">
        <f t="shared" ca="1" si="28"/>
        <v>-7.5</v>
      </c>
      <c r="AR59" s="179">
        <f t="shared" ca="1" si="29"/>
        <v>17.5</v>
      </c>
      <c r="AS59" s="179">
        <f t="shared" ca="1" si="30"/>
        <v>27.5</v>
      </c>
      <c r="AT59" s="179">
        <f t="shared" ca="1" si="31"/>
        <v>-32.5</v>
      </c>
      <c r="AU59" s="179">
        <f t="shared" ca="1" si="32"/>
        <v>-2.5</v>
      </c>
      <c r="AV59" s="179">
        <f t="shared" ca="1" si="33"/>
        <v>-47.5</v>
      </c>
      <c r="AW59" s="179">
        <f t="shared" ca="1" si="34"/>
        <v>-37.5</v>
      </c>
      <c r="AX59" s="179">
        <f t="shared" ca="1" si="35"/>
        <v>32.5</v>
      </c>
      <c r="AY59" s="179">
        <f t="shared" ca="1" si="36"/>
        <v>-42.5</v>
      </c>
      <c r="AZ59" s="179">
        <f t="shared" ca="1" si="37"/>
        <v>-2.5</v>
      </c>
      <c r="BA59" s="179">
        <f t="shared" ca="1" si="38"/>
        <v>7.5</v>
      </c>
    </row>
    <row r="60" spans="1:53" ht="12" customHeight="1">
      <c r="A60" s="173">
        <v>51</v>
      </c>
      <c r="B60" s="183" t="str">
        <f t="shared" si="53"/>
        <v>Nederland-Mexico</v>
      </c>
      <c r="C60" s="300">
        <f ca="1">IF(VLOOKUP($A60,INDIRECT(C$1&amp;loc_voorspell),15,0)&lt;&gt;"",VLOOKUP($A60,INDIRECT(C$1&amp;loc_voorspell),15,0)+C59,"")</f>
        <v>230</v>
      </c>
      <c r="D60" s="300">
        <f ca="1">IF(VLOOKUP($A60,INDIRECT(D$1&amp;loc_voorspell),15,0)&lt;&gt;"",VLOOKUP($A60,INDIRECT(D$1&amp;loc_voorspell),15,0)+D59,"")</f>
        <v>250</v>
      </c>
      <c r="E60" s="300">
        <f ca="1">IF(VLOOKUP($A60,INDIRECT(E$1&amp;loc_voorspell),15,0)&lt;&gt;"",VLOOKUP($A60,INDIRECT(E$1&amp;loc_voorspell),15,0)+E59,"")</f>
        <v>235</v>
      </c>
      <c r="F60" s="300">
        <f ca="1">IF(VLOOKUP($A60,INDIRECT(F$1&amp;loc_voorspell),15,0)&lt;&gt;"",VLOOKUP($A60,INDIRECT(F$1&amp;loc_voorspell),15,0)+F59,"")</f>
        <v>250</v>
      </c>
      <c r="G60" s="300">
        <f ca="1">IF(VLOOKUP($A60,INDIRECT(G$1&amp;loc_voorspell),15,0)&lt;&gt;"",VLOOKUP($A60,INDIRECT(G$1&amp;loc_voorspell),15,0)+G59,"")</f>
        <v>260</v>
      </c>
      <c r="H60" s="300">
        <f ca="1">IF(VLOOKUP($A60,INDIRECT(H$1&amp;loc_voorspell),15,0)&lt;&gt;"",VLOOKUP($A60,INDIRECT(H$1&amp;loc_voorspell),15,0)+H59,"")</f>
        <v>205</v>
      </c>
      <c r="I60" s="300">
        <f ca="1">IF(VLOOKUP($A60,INDIRECT(I$1&amp;loc_voorspell),15,0)&lt;&gt;"",VLOOKUP($A60,INDIRECT(I$1&amp;loc_voorspell),15,0)+I59,"")</f>
        <v>205</v>
      </c>
      <c r="J60" s="300">
        <f ca="1">IF(VLOOKUP($A60,INDIRECT(J$1&amp;loc_voorspell),15,0)&lt;&gt;"",VLOOKUP($A60,INDIRECT(J$1&amp;loc_voorspell),15,0)+J59,"")</f>
        <v>265</v>
      </c>
      <c r="K60" s="300">
        <f ca="1">IF(VLOOKUP($A60,INDIRECT(K$1&amp;loc_voorspell),15,0)&lt;&gt;"",VLOOKUP($A60,INDIRECT(K$1&amp;loc_voorspell),15,0)+K59,"")</f>
        <v>240</v>
      </c>
      <c r="L60" s="300">
        <f ca="1">IF(VLOOKUP($A60,INDIRECT(L$1&amp;loc_voorspell),15,0)&lt;&gt;"",VLOOKUP($A60,INDIRECT(L$1&amp;loc_voorspell),15,0)+L59,"")</f>
        <v>225</v>
      </c>
      <c r="M60" s="300">
        <f ca="1">IF(VLOOKUP($A60,INDIRECT(M$1&amp;loc_voorspell),15,0)&lt;&gt;"",VLOOKUP($A60,INDIRECT(M$1&amp;loc_voorspell),15,0)+M59,"")</f>
        <v>240</v>
      </c>
      <c r="N60" s="300">
        <f ca="1">IF(VLOOKUP($A60,INDIRECT(N$1&amp;loc_voorspell),15,0)&lt;&gt;"",VLOOKUP($A60,INDIRECT(N$1&amp;loc_voorspell),15,0)+N59,"")</f>
        <v>255</v>
      </c>
      <c r="O60" s="300">
        <f ca="1">IF(VLOOKUP($A60,INDIRECT(O$1&amp;loc_voorspell),15,0)&lt;&gt;"",VLOOKUP($A60,INDIRECT(O$1&amp;loc_voorspell),15,0)+O59,"")</f>
        <v>245</v>
      </c>
      <c r="P60" s="300">
        <f ca="1">IF(VLOOKUP($A60,INDIRECT(P$1&amp;loc_voorspell),15,0)&lt;&gt;"",VLOOKUP($A60,INDIRECT(P$1&amp;loc_voorspell),15,0)+P59,"")</f>
        <v>225</v>
      </c>
      <c r="Q60" s="300">
        <f ca="1">IF(VLOOKUP($A60,INDIRECT(Q$1&amp;loc_voorspell),15,0)&lt;&gt;"",VLOOKUP($A60,INDIRECT(Q$1&amp;loc_voorspell),15,0)+Q59,"")</f>
        <v>250</v>
      </c>
      <c r="R60" s="300">
        <f ca="1">IF(VLOOKUP($A60,INDIRECT(R$1&amp;loc_voorspell),15,0)&lt;&gt;"",VLOOKUP($A60,INDIRECT(R$1&amp;loc_voorspell),15,0)+R59,"")</f>
        <v>260</v>
      </c>
      <c r="S60" s="300">
        <f ca="1">IF(VLOOKUP($A60,INDIRECT(S$1&amp;loc_voorspell),15,0)&lt;&gt;"",VLOOKUP($A60,INDIRECT(S$1&amp;loc_voorspell),15,0)+S59,"")</f>
        <v>205</v>
      </c>
      <c r="T60" s="300">
        <f ca="1">IF(VLOOKUP($A60,INDIRECT(T$1&amp;loc_voorspell),15,0)&lt;&gt;"",VLOOKUP($A60,INDIRECT(T$1&amp;loc_voorspell),15,0)+T59,"")</f>
        <v>230</v>
      </c>
      <c r="U60" s="300">
        <f ca="1">IF(VLOOKUP($A60,INDIRECT(U$1&amp;loc_voorspell),15,0)&lt;&gt;"",VLOOKUP($A60,INDIRECT(U$1&amp;loc_voorspell),15,0)+U59,"")</f>
        <v>180</v>
      </c>
      <c r="V60" s="300">
        <f ca="1">IF(VLOOKUP($A60,INDIRECT(V$1&amp;loc_voorspell),15,0)&lt;&gt;"",VLOOKUP($A60,INDIRECT(V$1&amp;loc_voorspell),15,0)+V59,"")</f>
        <v>195</v>
      </c>
      <c r="W60" s="300">
        <f ca="1">IF(VLOOKUP($A60,INDIRECT(W$1&amp;loc_voorspell),15,0)&lt;&gt;"",VLOOKUP($A60,INDIRECT(W$1&amp;loc_voorspell),15,0)+W59,"")</f>
        <v>265</v>
      </c>
      <c r="X60" s="300">
        <f ca="1">IF(VLOOKUP($A60,INDIRECT(X$1&amp;loc_voorspell),15,0)&lt;&gt;"",VLOOKUP($A60,INDIRECT(X$1&amp;loc_voorspell),15,0)+X59,"")</f>
        <v>185</v>
      </c>
      <c r="Y60" s="300">
        <f ca="1">IF(VLOOKUP($A60,INDIRECT(Y$1&amp;loc_voorspell),15,0)&lt;&gt;"",VLOOKUP($A60,INDIRECT(Y$1&amp;loc_voorspell),15,0)+Y59,"")</f>
        <v>230</v>
      </c>
      <c r="Z60" s="300">
        <f ca="1">IF(VLOOKUP($A60,INDIRECT(Z$1&amp;loc_voorspell),15,0)&lt;&gt;"",VLOOKUP($A60,INDIRECT(Z$1&amp;loc_voorspell),15,0)+Z59,"")</f>
        <v>245</v>
      </c>
      <c r="AA60" s="165">
        <f t="shared" ca="1" si="39"/>
        <v>232.29166666666666</v>
      </c>
      <c r="AB60" s="178">
        <f t="shared" ca="1" si="41"/>
        <v>4.7916666666666572</v>
      </c>
      <c r="AC60" s="331" t="str">
        <f t="shared" si="40"/>
        <v>Nederland-Mexico</v>
      </c>
      <c r="AD60" s="179">
        <f t="shared" ca="1" si="42"/>
        <v>-2.2916666666666572</v>
      </c>
      <c r="AE60" s="179">
        <f t="shared" ca="1" si="43"/>
        <v>17.708333333333343</v>
      </c>
      <c r="AF60" s="179">
        <f t="shared" ca="1" si="44"/>
        <v>2.7083333333333428</v>
      </c>
      <c r="AG60" s="179">
        <f t="shared" ca="1" si="45"/>
        <v>17.708333333333343</v>
      </c>
      <c r="AH60" s="179">
        <f t="shared" ca="1" si="46"/>
        <v>27.708333333333343</v>
      </c>
      <c r="AI60" s="179">
        <f t="shared" ca="1" si="47"/>
        <v>-27.291666666666657</v>
      </c>
      <c r="AJ60" s="179">
        <f t="shared" ca="1" si="48"/>
        <v>-27.291666666666657</v>
      </c>
      <c r="AK60" s="179">
        <f t="shared" ca="1" si="49"/>
        <v>32.708333333333343</v>
      </c>
      <c r="AL60" s="179">
        <f t="shared" ca="1" si="50"/>
        <v>7.7083333333333428</v>
      </c>
      <c r="AM60" s="179">
        <f t="shared" ca="1" si="51"/>
        <v>-7.2916666666666572</v>
      </c>
      <c r="AN60" s="179">
        <f t="shared" ca="1" si="52"/>
        <v>7.7083333333333428</v>
      </c>
      <c r="AO60" s="179">
        <f t="shared" ca="1" si="27"/>
        <v>12.708333333333343</v>
      </c>
      <c r="AP60" s="179">
        <f t="shared" ca="1" si="28"/>
        <v>12.708333333333343</v>
      </c>
      <c r="AQ60" s="179">
        <f t="shared" ca="1" si="28"/>
        <v>-7.2916666666666572</v>
      </c>
      <c r="AR60" s="179">
        <f t="shared" ca="1" si="29"/>
        <v>17.708333333333343</v>
      </c>
      <c r="AS60" s="179">
        <f t="shared" ca="1" si="30"/>
        <v>27.708333333333343</v>
      </c>
      <c r="AT60" s="179">
        <f t="shared" ca="1" si="31"/>
        <v>-27.291666666666657</v>
      </c>
      <c r="AU60" s="179">
        <f t="shared" ca="1" si="32"/>
        <v>-2.2916666666666572</v>
      </c>
      <c r="AV60" s="179">
        <f t="shared" ca="1" si="33"/>
        <v>-52.291666666666657</v>
      </c>
      <c r="AW60" s="179">
        <f t="shared" ca="1" si="34"/>
        <v>-37.291666666666657</v>
      </c>
      <c r="AX60" s="179">
        <f t="shared" ca="1" si="35"/>
        <v>32.708333333333343</v>
      </c>
      <c r="AY60" s="179">
        <f t="shared" ca="1" si="36"/>
        <v>-47.291666666666657</v>
      </c>
      <c r="AZ60" s="179">
        <f t="shared" ca="1" si="37"/>
        <v>-2.2916666666666572</v>
      </c>
      <c r="BA60" s="179">
        <f t="shared" ca="1" si="38"/>
        <v>12.708333333333343</v>
      </c>
    </row>
    <row r="61" spans="1:53">
      <c r="A61" s="173">
        <v>52</v>
      </c>
      <c r="B61" s="184" t="str">
        <f t="shared" si="53"/>
        <v>Costa Rica-Griekenland</v>
      </c>
      <c r="C61" s="301">
        <f ca="1">IF(VLOOKUP($A61,INDIRECT(C$1&amp;loc_voorspell),15,0)&lt;&gt;"",VLOOKUP($A61,INDIRECT(C$1&amp;loc_voorspell),15,0)+C60,"")</f>
        <v>230</v>
      </c>
      <c r="D61" s="301">
        <f ca="1">IF(VLOOKUP($A61,INDIRECT(D$1&amp;loc_voorspell),15,0)&lt;&gt;"",VLOOKUP($A61,INDIRECT(D$1&amp;loc_voorspell),15,0)+D60,"")</f>
        <v>260</v>
      </c>
      <c r="E61" s="301">
        <f ca="1">IF(VLOOKUP($A61,INDIRECT(E$1&amp;loc_voorspell),15,0)&lt;&gt;"",VLOOKUP($A61,INDIRECT(E$1&amp;loc_voorspell),15,0)+E60,"")</f>
        <v>245</v>
      </c>
      <c r="F61" s="301">
        <f ca="1">IF(VLOOKUP($A61,INDIRECT(F$1&amp;loc_voorspell),15,0)&lt;&gt;"",VLOOKUP($A61,INDIRECT(F$1&amp;loc_voorspell),15,0)+F60,"")</f>
        <v>250</v>
      </c>
      <c r="G61" s="301">
        <f ca="1">IF(VLOOKUP($A61,INDIRECT(G$1&amp;loc_voorspell),15,0)&lt;&gt;"",VLOOKUP($A61,INDIRECT(G$1&amp;loc_voorspell),15,0)+G60,"")</f>
        <v>270</v>
      </c>
      <c r="H61" s="301">
        <f ca="1">IF(VLOOKUP($A61,INDIRECT(H$1&amp;loc_voorspell),15,0)&lt;&gt;"",VLOOKUP($A61,INDIRECT(H$1&amp;loc_voorspell),15,0)+H60,"")</f>
        <v>205</v>
      </c>
      <c r="I61" s="301">
        <f ca="1">IF(VLOOKUP($A61,INDIRECT(I$1&amp;loc_voorspell),15,0)&lt;&gt;"",VLOOKUP($A61,INDIRECT(I$1&amp;loc_voorspell),15,0)+I60,"")</f>
        <v>210</v>
      </c>
      <c r="J61" s="301">
        <f ca="1">IF(VLOOKUP($A61,INDIRECT(J$1&amp;loc_voorspell),15,0)&lt;&gt;"",VLOOKUP($A61,INDIRECT(J$1&amp;loc_voorspell),15,0)+J60,"")</f>
        <v>275</v>
      </c>
      <c r="K61" s="301">
        <f ca="1">IF(VLOOKUP($A61,INDIRECT(K$1&amp;loc_voorspell),15,0)&lt;&gt;"",VLOOKUP($A61,INDIRECT(K$1&amp;loc_voorspell),15,0)+K60,"")</f>
        <v>240</v>
      </c>
      <c r="L61" s="301">
        <f ca="1">IF(VLOOKUP($A61,INDIRECT(L$1&amp;loc_voorspell),15,0)&lt;&gt;"",VLOOKUP($A61,INDIRECT(L$1&amp;loc_voorspell),15,0)+L60,"")</f>
        <v>225</v>
      </c>
      <c r="M61" s="301">
        <f ca="1">IF(VLOOKUP($A61,INDIRECT(M$1&amp;loc_voorspell),15,0)&lt;&gt;"",VLOOKUP($A61,INDIRECT(M$1&amp;loc_voorspell),15,0)+M60,"")</f>
        <v>240</v>
      </c>
      <c r="N61" s="301">
        <f ca="1">IF(VLOOKUP($A61,INDIRECT(N$1&amp;loc_voorspell),15,0)&lt;&gt;"",VLOOKUP($A61,INDIRECT(N$1&amp;loc_voorspell),15,0)+N60,"")</f>
        <v>255</v>
      </c>
      <c r="O61" s="301">
        <f ca="1">IF(VLOOKUP($A61,INDIRECT(O$1&amp;loc_voorspell),15,0)&lt;&gt;"",VLOOKUP($A61,INDIRECT(O$1&amp;loc_voorspell),15,0)+O60,"")</f>
        <v>245</v>
      </c>
      <c r="P61" s="301">
        <f ca="1">IF(VLOOKUP($A61,INDIRECT(P$1&amp;loc_voorspell),15,0)&lt;&gt;"",VLOOKUP($A61,INDIRECT(P$1&amp;loc_voorspell),15,0)+P60,"")</f>
        <v>225</v>
      </c>
      <c r="Q61" s="301">
        <f ca="1">IF(VLOOKUP($A61,INDIRECT(Q$1&amp;loc_voorspell),15,0)&lt;&gt;"",VLOOKUP($A61,INDIRECT(Q$1&amp;loc_voorspell),15,0)+Q60,"")</f>
        <v>250</v>
      </c>
      <c r="R61" s="301">
        <f ca="1">IF(VLOOKUP($A61,INDIRECT(R$1&amp;loc_voorspell),15,0)&lt;&gt;"",VLOOKUP($A61,INDIRECT(R$1&amp;loc_voorspell),15,0)+R60,"")</f>
        <v>260</v>
      </c>
      <c r="S61" s="301">
        <f ca="1">IF(VLOOKUP($A61,INDIRECT(S$1&amp;loc_voorspell),15,0)&lt;&gt;"",VLOOKUP($A61,INDIRECT(S$1&amp;loc_voorspell),15,0)+S60,"")</f>
        <v>205</v>
      </c>
      <c r="T61" s="301">
        <f ca="1">IF(VLOOKUP($A61,INDIRECT(T$1&amp;loc_voorspell),15,0)&lt;&gt;"",VLOOKUP($A61,INDIRECT(T$1&amp;loc_voorspell),15,0)+T60,"")</f>
        <v>230</v>
      </c>
      <c r="U61" s="301">
        <f ca="1">IF(VLOOKUP($A61,INDIRECT(U$1&amp;loc_voorspell),15,0)&lt;&gt;"",VLOOKUP($A61,INDIRECT(U$1&amp;loc_voorspell),15,0)+U60,"")</f>
        <v>180</v>
      </c>
      <c r="V61" s="301">
        <f ca="1">IF(VLOOKUP($A61,INDIRECT(V$1&amp;loc_voorspell),15,0)&lt;&gt;"",VLOOKUP($A61,INDIRECT(V$1&amp;loc_voorspell),15,0)+V60,"")</f>
        <v>195</v>
      </c>
      <c r="W61" s="301">
        <f ca="1">IF(VLOOKUP($A61,INDIRECT(W$1&amp;loc_voorspell),15,0)&lt;&gt;"",VLOOKUP($A61,INDIRECT(W$1&amp;loc_voorspell),15,0)+W60,"")</f>
        <v>265</v>
      </c>
      <c r="X61" s="301">
        <f ca="1">IF(VLOOKUP($A61,INDIRECT(X$1&amp;loc_voorspell),15,0)&lt;&gt;"",VLOOKUP($A61,INDIRECT(X$1&amp;loc_voorspell),15,0)+X60,"")</f>
        <v>185</v>
      </c>
      <c r="Y61" s="301">
        <f ca="1">IF(VLOOKUP($A61,INDIRECT(Y$1&amp;loc_voorspell),15,0)&lt;&gt;"",VLOOKUP($A61,INDIRECT(Y$1&amp;loc_voorspell),15,0)+Y60,"")</f>
        <v>230</v>
      </c>
      <c r="Z61" s="301">
        <f ca="1">IF(VLOOKUP($A61,INDIRECT(Z$1&amp;loc_voorspell),15,0)&lt;&gt;"",VLOOKUP($A61,INDIRECT(Z$1&amp;loc_voorspell),15,0)+Z60,"")</f>
        <v>245</v>
      </c>
      <c r="AA61" s="165">
        <f t="shared" ca="1" si="39"/>
        <v>234.16666666666666</v>
      </c>
      <c r="AB61" s="178">
        <f t="shared" ca="1" si="41"/>
        <v>1.875</v>
      </c>
      <c r="AC61" s="331" t="str">
        <f t="shared" si="40"/>
        <v>Costa Rica-Griekenland</v>
      </c>
      <c r="AD61" s="179">
        <f t="shared" ca="1" si="42"/>
        <v>-4.1666666666666572</v>
      </c>
      <c r="AE61" s="179">
        <f t="shared" ca="1" si="43"/>
        <v>25.833333333333343</v>
      </c>
      <c r="AF61" s="179">
        <f t="shared" ca="1" si="44"/>
        <v>10.833333333333343</v>
      </c>
      <c r="AG61" s="179">
        <f t="shared" ca="1" si="45"/>
        <v>15.833333333333343</v>
      </c>
      <c r="AH61" s="179">
        <f t="shared" ca="1" si="46"/>
        <v>35.833333333333343</v>
      </c>
      <c r="AI61" s="179">
        <f t="shared" ca="1" si="47"/>
        <v>-29.166666666666657</v>
      </c>
      <c r="AJ61" s="179">
        <f t="shared" ca="1" si="48"/>
        <v>-24.166666666666657</v>
      </c>
      <c r="AK61" s="179">
        <f t="shared" ca="1" si="49"/>
        <v>40.833333333333343</v>
      </c>
      <c r="AL61" s="179">
        <f t="shared" ca="1" si="50"/>
        <v>5.8333333333333428</v>
      </c>
      <c r="AM61" s="179">
        <f t="shared" ca="1" si="51"/>
        <v>-9.1666666666666572</v>
      </c>
      <c r="AN61" s="179">
        <f t="shared" ca="1" si="52"/>
        <v>5.8333333333333428</v>
      </c>
      <c r="AO61" s="179">
        <f t="shared" ca="1" si="27"/>
        <v>10.833333333333343</v>
      </c>
      <c r="AP61" s="179">
        <f t="shared" ca="1" si="28"/>
        <v>10.833333333333343</v>
      </c>
      <c r="AQ61" s="179">
        <f t="shared" ca="1" si="28"/>
        <v>-9.1666666666666572</v>
      </c>
      <c r="AR61" s="179">
        <f t="shared" ca="1" si="29"/>
        <v>15.833333333333343</v>
      </c>
      <c r="AS61" s="179">
        <f t="shared" ca="1" si="30"/>
        <v>25.833333333333343</v>
      </c>
      <c r="AT61" s="179">
        <f t="shared" ca="1" si="31"/>
        <v>-29.166666666666657</v>
      </c>
      <c r="AU61" s="179">
        <f t="shared" ca="1" si="32"/>
        <v>-4.1666666666666572</v>
      </c>
      <c r="AV61" s="179">
        <f t="shared" ca="1" si="33"/>
        <v>-54.166666666666657</v>
      </c>
      <c r="AW61" s="179">
        <f t="shared" ca="1" si="34"/>
        <v>-39.166666666666657</v>
      </c>
      <c r="AX61" s="179">
        <f t="shared" ca="1" si="35"/>
        <v>30.833333333333343</v>
      </c>
      <c r="AY61" s="179">
        <f t="shared" ca="1" si="36"/>
        <v>-49.166666666666657</v>
      </c>
      <c r="AZ61" s="179">
        <f t="shared" ca="1" si="37"/>
        <v>-4.1666666666666572</v>
      </c>
      <c r="BA61" s="179">
        <f t="shared" ca="1" si="38"/>
        <v>10.833333333333343</v>
      </c>
    </row>
    <row r="62" spans="1:53">
      <c r="A62" s="173">
        <v>53</v>
      </c>
      <c r="B62" s="183" t="str">
        <f t="shared" si="53"/>
        <v>Frankrijk-Nigeria</v>
      </c>
      <c r="C62" s="300">
        <f ca="1">IF(VLOOKUP($A62,INDIRECT(C$1&amp;loc_voorspell),15,0)&lt;&gt;"",VLOOKUP($A62,INDIRECT(C$1&amp;loc_voorspell),15,0)+C61,"")</f>
        <v>235</v>
      </c>
      <c r="D62" s="300">
        <f ca="1">IF(VLOOKUP($A62,INDIRECT(D$1&amp;loc_voorspell),15,0)&lt;&gt;"",VLOOKUP($A62,INDIRECT(D$1&amp;loc_voorspell),15,0)+D61,"")</f>
        <v>265</v>
      </c>
      <c r="E62" s="300">
        <f ca="1">IF(VLOOKUP($A62,INDIRECT(E$1&amp;loc_voorspell),15,0)&lt;&gt;"",VLOOKUP($A62,INDIRECT(E$1&amp;loc_voorspell),15,0)+E61,"")</f>
        <v>255</v>
      </c>
      <c r="F62" s="300">
        <f ca="1">IF(VLOOKUP($A62,INDIRECT(F$1&amp;loc_voorspell),15,0)&lt;&gt;"",VLOOKUP($A62,INDIRECT(F$1&amp;loc_voorspell),15,0)+F61,"")</f>
        <v>255</v>
      </c>
      <c r="G62" s="300">
        <f ca="1">IF(VLOOKUP($A62,INDIRECT(G$1&amp;loc_voorspell),15,0)&lt;&gt;"",VLOOKUP($A62,INDIRECT(G$1&amp;loc_voorspell),15,0)+G61,"")</f>
        <v>275</v>
      </c>
      <c r="H62" s="300">
        <f ca="1">IF(VLOOKUP($A62,INDIRECT(H$1&amp;loc_voorspell),15,0)&lt;&gt;"",VLOOKUP($A62,INDIRECT(H$1&amp;loc_voorspell),15,0)+H61,"")</f>
        <v>215</v>
      </c>
      <c r="I62" s="300">
        <f ca="1">IF(VLOOKUP($A62,INDIRECT(I$1&amp;loc_voorspell),15,0)&lt;&gt;"",VLOOKUP($A62,INDIRECT(I$1&amp;loc_voorspell),15,0)+I61,"")</f>
        <v>220</v>
      </c>
      <c r="J62" s="300">
        <f ca="1">IF(VLOOKUP($A62,INDIRECT(J$1&amp;loc_voorspell),15,0)&lt;&gt;"",VLOOKUP($A62,INDIRECT(J$1&amp;loc_voorspell),15,0)+J61,"")</f>
        <v>285</v>
      </c>
      <c r="K62" s="300">
        <f ca="1">IF(VLOOKUP($A62,INDIRECT(K$1&amp;loc_voorspell),15,0)&lt;&gt;"",VLOOKUP($A62,INDIRECT(K$1&amp;loc_voorspell),15,0)+K61,"")</f>
        <v>240</v>
      </c>
      <c r="L62" s="300">
        <f ca="1">IF(VLOOKUP($A62,INDIRECT(L$1&amp;loc_voorspell),15,0)&lt;&gt;"",VLOOKUP($A62,INDIRECT(L$1&amp;loc_voorspell),15,0)+L61,"")</f>
        <v>230</v>
      </c>
      <c r="M62" s="300">
        <f ca="1">IF(VLOOKUP($A62,INDIRECT(M$1&amp;loc_voorspell),15,0)&lt;&gt;"",VLOOKUP($A62,INDIRECT(M$1&amp;loc_voorspell),15,0)+M61,"")</f>
        <v>245</v>
      </c>
      <c r="N62" s="300">
        <f ca="1">IF(VLOOKUP($A62,INDIRECT(N$1&amp;loc_voorspell),15,0)&lt;&gt;"",VLOOKUP($A62,INDIRECT(N$1&amp;loc_voorspell),15,0)+N61,"")</f>
        <v>260</v>
      </c>
      <c r="O62" s="300">
        <f ca="1">IF(VLOOKUP($A62,INDIRECT(O$1&amp;loc_voorspell),15,0)&lt;&gt;"",VLOOKUP($A62,INDIRECT(O$1&amp;loc_voorspell),15,0)+O61,"")</f>
        <v>255</v>
      </c>
      <c r="P62" s="300">
        <f ca="1">IF(VLOOKUP($A62,INDIRECT(P$1&amp;loc_voorspell),15,0)&lt;&gt;"",VLOOKUP($A62,INDIRECT(P$1&amp;loc_voorspell),15,0)+P61,"")</f>
        <v>230</v>
      </c>
      <c r="Q62" s="300">
        <f ca="1">IF(VLOOKUP($A62,INDIRECT(Q$1&amp;loc_voorspell),15,0)&lt;&gt;"",VLOOKUP($A62,INDIRECT(Q$1&amp;loc_voorspell),15,0)+Q61,"")</f>
        <v>260</v>
      </c>
      <c r="R62" s="300">
        <f ca="1">IF(VLOOKUP($A62,INDIRECT(R$1&amp;loc_voorspell),15,0)&lt;&gt;"",VLOOKUP($A62,INDIRECT(R$1&amp;loc_voorspell),15,0)+R61,"")</f>
        <v>265</v>
      </c>
      <c r="S62" s="300">
        <f ca="1">IF(VLOOKUP($A62,INDIRECT(S$1&amp;loc_voorspell),15,0)&lt;&gt;"",VLOOKUP($A62,INDIRECT(S$1&amp;loc_voorspell),15,0)+S61,"")</f>
        <v>210</v>
      </c>
      <c r="T62" s="300">
        <f ca="1">IF(VLOOKUP($A62,INDIRECT(T$1&amp;loc_voorspell),15,0)&lt;&gt;"",VLOOKUP($A62,INDIRECT(T$1&amp;loc_voorspell),15,0)+T61,"")</f>
        <v>235</v>
      </c>
      <c r="U62" s="300">
        <f ca="1">IF(VLOOKUP($A62,INDIRECT(U$1&amp;loc_voorspell),15,0)&lt;&gt;"",VLOOKUP($A62,INDIRECT(U$1&amp;loc_voorspell),15,0)+U61,"")</f>
        <v>180</v>
      </c>
      <c r="V62" s="300">
        <f ca="1">IF(VLOOKUP($A62,INDIRECT(V$1&amp;loc_voorspell),15,0)&lt;&gt;"",VLOOKUP($A62,INDIRECT(V$1&amp;loc_voorspell),15,0)+V61,"")</f>
        <v>195</v>
      </c>
      <c r="W62" s="300">
        <f ca="1">IF(VLOOKUP($A62,INDIRECT(W$1&amp;loc_voorspell),15,0)&lt;&gt;"",VLOOKUP($A62,INDIRECT(W$1&amp;loc_voorspell),15,0)+W61,"")</f>
        <v>270</v>
      </c>
      <c r="X62" s="300">
        <f ca="1">IF(VLOOKUP($A62,INDIRECT(X$1&amp;loc_voorspell),15,0)&lt;&gt;"",VLOOKUP($A62,INDIRECT(X$1&amp;loc_voorspell),15,0)+X61,"")</f>
        <v>185</v>
      </c>
      <c r="Y62" s="300">
        <f ca="1">IF(VLOOKUP($A62,INDIRECT(Y$1&amp;loc_voorspell),15,0)&lt;&gt;"",VLOOKUP($A62,INDIRECT(Y$1&amp;loc_voorspell),15,0)+Y61,"")</f>
        <v>230</v>
      </c>
      <c r="Z62" s="300">
        <f ca="1">IF(VLOOKUP($A62,INDIRECT(Z$1&amp;loc_voorspell),15,0)&lt;&gt;"",VLOOKUP($A62,INDIRECT(Z$1&amp;loc_voorspell),15,0)+Z61,"")</f>
        <v>245</v>
      </c>
      <c r="AA62" s="165">
        <f t="shared" ca="1" si="39"/>
        <v>239.16666666666666</v>
      </c>
      <c r="AB62" s="178">
        <f t="shared" ca="1" si="41"/>
        <v>5</v>
      </c>
      <c r="AC62" s="331" t="str">
        <f t="shared" si="40"/>
        <v>Frankrijk-Nigeria</v>
      </c>
      <c r="AD62" s="179">
        <f t="shared" ca="1" si="42"/>
        <v>-4.1666666666666572</v>
      </c>
      <c r="AE62" s="179">
        <f t="shared" ca="1" si="43"/>
        <v>25.833333333333343</v>
      </c>
      <c r="AF62" s="179">
        <f t="shared" ca="1" si="44"/>
        <v>15.833333333333343</v>
      </c>
      <c r="AG62" s="179">
        <f t="shared" ca="1" si="45"/>
        <v>15.833333333333343</v>
      </c>
      <c r="AH62" s="179">
        <f t="shared" ca="1" si="46"/>
        <v>35.833333333333343</v>
      </c>
      <c r="AI62" s="179">
        <f t="shared" ca="1" si="47"/>
        <v>-24.166666666666657</v>
      </c>
      <c r="AJ62" s="179">
        <f t="shared" ca="1" si="48"/>
        <v>-19.166666666666657</v>
      </c>
      <c r="AK62" s="179">
        <f t="shared" ca="1" si="49"/>
        <v>45.833333333333343</v>
      </c>
      <c r="AL62" s="179">
        <f t="shared" ca="1" si="50"/>
        <v>0.83333333333334281</v>
      </c>
      <c r="AM62" s="179">
        <f t="shared" ca="1" si="51"/>
        <v>-9.1666666666666572</v>
      </c>
      <c r="AN62" s="179">
        <f t="shared" ca="1" si="52"/>
        <v>5.8333333333333428</v>
      </c>
      <c r="AO62" s="179">
        <f t="shared" ca="1" si="27"/>
        <v>15.833333333333343</v>
      </c>
      <c r="AP62" s="179">
        <f t="shared" ca="1" si="28"/>
        <v>15.833333333333343</v>
      </c>
      <c r="AQ62" s="179">
        <f t="shared" ca="1" si="28"/>
        <v>-9.1666666666666572</v>
      </c>
      <c r="AR62" s="179">
        <f t="shared" ca="1" si="29"/>
        <v>20.833333333333343</v>
      </c>
      <c r="AS62" s="179">
        <f t="shared" ca="1" si="30"/>
        <v>25.833333333333343</v>
      </c>
      <c r="AT62" s="179">
        <f t="shared" ca="1" si="31"/>
        <v>-29.166666666666657</v>
      </c>
      <c r="AU62" s="179">
        <f t="shared" ca="1" si="32"/>
        <v>-4.1666666666666572</v>
      </c>
      <c r="AV62" s="179">
        <f t="shared" ca="1" si="33"/>
        <v>-59.166666666666657</v>
      </c>
      <c r="AW62" s="179">
        <f t="shared" ca="1" si="34"/>
        <v>-44.166666666666657</v>
      </c>
      <c r="AX62" s="179">
        <f t="shared" ca="1" si="35"/>
        <v>30.833333333333343</v>
      </c>
      <c r="AY62" s="179">
        <f t="shared" ca="1" si="36"/>
        <v>-54.166666666666657</v>
      </c>
      <c r="AZ62" s="179">
        <f t="shared" ca="1" si="37"/>
        <v>-9.1666666666666572</v>
      </c>
      <c r="BA62" s="179">
        <f t="shared" ca="1" si="38"/>
        <v>5.8333333333333428</v>
      </c>
    </row>
    <row r="63" spans="1:53">
      <c r="A63" s="173">
        <v>54</v>
      </c>
      <c r="B63" s="184" t="str">
        <f t="shared" si="53"/>
        <v>Duitsland-Algerije</v>
      </c>
      <c r="C63" s="301">
        <f ca="1">IF(VLOOKUP($A63,INDIRECT(C$1&amp;loc_voorspell),15,0)&lt;&gt;"",VLOOKUP($A63,INDIRECT(C$1&amp;loc_voorspell),15,0)+C62,"")</f>
        <v>245</v>
      </c>
      <c r="D63" s="301">
        <f ca="1">IF(VLOOKUP($A63,INDIRECT(D$1&amp;loc_voorspell),15,0)&lt;&gt;"",VLOOKUP($A63,INDIRECT(D$1&amp;loc_voorspell),15,0)+D62,"")</f>
        <v>270</v>
      </c>
      <c r="E63" s="301">
        <f ca="1">IF(VLOOKUP($A63,INDIRECT(E$1&amp;loc_voorspell),15,0)&lt;&gt;"",VLOOKUP($A63,INDIRECT(E$1&amp;loc_voorspell),15,0)+E62,"")</f>
        <v>260</v>
      </c>
      <c r="F63" s="301">
        <f ca="1">IF(VLOOKUP($A63,INDIRECT(F$1&amp;loc_voorspell),15,0)&lt;&gt;"",VLOOKUP($A63,INDIRECT(F$1&amp;loc_voorspell),15,0)+F62,"")</f>
        <v>260</v>
      </c>
      <c r="G63" s="301">
        <f ca="1">IF(VLOOKUP($A63,INDIRECT(G$1&amp;loc_voorspell),15,0)&lt;&gt;"",VLOOKUP($A63,INDIRECT(G$1&amp;loc_voorspell),15,0)+G62,"")</f>
        <v>285</v>
      </c>
      <c r="H63" s="301">
        <f ca="1">IF(VLOOKUP($A63,INDIRECT(H$1&amp;loc_voorspell),15,0)&lt;&gt;"",VLOOKUP($A63,INDIRECT(H$1&amp;loc_voorspell),15,0)+H62,"")</f>
        <v>220</v>
      </c>
      <c r="I63" s="301">
        <f ca="1">IF(VLOOKUP($A63,INDIRECT(I$1&amp;loc_voorspell),15,0)&lt;&gt;"",VLOOKUP($A63,INDIRECT(I$1&amp;loc_voorspell),15,0)+I62,"")</f>
        <v>225</v>
      </c>
      <c r="J63" s="301">
        <f ca="1">IF(VLOOKUP($A63,INDIRECT(J$1&amp;loc_voorspell),15,0)&lt;&gt;"",VLOOKUP($A63,INDIRECT(J$1&amp;loc_voorspell),15,0)+J62,"")</f>
        <v>290</v>
      </c>
      <c r="K63" s="301">
        <f ca="1">IF(VLOOKUP($A63,INDIRECT(K$1&amp;loc_voorspell),15,0)&lt;&gt;"",VLOOKUP($A63,INDIRECT(K$1&amp;loc_voorspell),15,0)+K62,"")</f>
        <v>245</v>
      </c>
      <c r="L63" s="301">
        <f ca="1">IF(VLOOKUP($A63,INDIRECT(L$1&amp;loc_voorspell),15,0)&lt;&gt;"",VLOOKUP($A63,INDIRECT(L$1&amp;loc_voorspell),15,0)+L62,"")</f>
        <v>230</v>
      </c>
      <c r="M63" s="301">
        <f ca="1">IF(VLOOKUP($A63,INDIRECT(M$1&amp;loc_voorspell),15,0)&lt;&gt;"",VLOOKUP($A63,INDIRECT(M$1&amp;loc_voorspell),15,0)+M62,"")</f>
        <v>255</v>
      </c>
      <c r="N63" s="301">
        <f ca="1">IF(VLOOKUP($A63,INDIRECT(N$1&amp;loc_voorspell),15,0)&lt;&gt;"",VLOOKUP($A63,INDIRECT(N$1&amp;loc_voorspell),15,0)+N62,"")</f>
        <v>265</v>
      </c>
      <c r="O63" s="301">
        <f ca="1">IF(VLOOKUP($A63,INDIRECT(O$1&amp;loc_voorspell),15,0)&lt;&gt;"",VLOOKUP($A63,INDIRECT(O$1&amp;loc_voorspell),15,0)+O62,"")</f>
        <v>260</v>
      </c>
      <c r="P63" s="301">
        <f ca="1">IF(VLOOKUP($A63,INDIRECT(P$1&amp;loc_voorspell),15,0)&lt;&gt;"",VLOOKUP($A63,INDIRECT(P$1&amp;loc_voorspell),15,0)+P62,"")</f>
        <v>235</v>
      </c>
      <c r="Q63" s="301">
        <f ca="1">IF(VLOOKUP($A63,INDIRECT(Q$1&amp;loc_voorspell),15,0)&lt;&gt;"",VLOOKUP($A63,INDIRECT(Q$1&amp;loc_voorspell),15,0)+Q62,"")</f>
        <v>265</v>
      </c>
      <c r="R63" s="301">
        <f ca="1">IF(VLOOKUP($A63,INDIRECT(R$1&amp;loc_voorspell),15,0)&lt;&gt;"",VLOOKUP($A63,INDIRECT(R$1&amp;loc_voorspell),15,0)+R62,"")</f>
        <v>270</v>
      </c>
      <c r="S63" s="301">
        <f ca="1">IF(VLOOKUP($A63,INDIRECT(S$1&amp;loc_voorspell),15,0)&lt;&gt;"",VLOOKUP($A63,INDIRECT(S$1&amp;loc_voorspell),15,0)+S62,"")</f>
        <v>210</v>
      </c>
      <c r="T63" s="301">
        <f ca="1">IF(VLOOKUP($A63,INDIRECT(T$1&amp;loc_voorspell),15,0)&lt;&gt;"",VLOOKUP($A63,INDIRECT(T$1&amp;loc_voorspell),15,0)+T62,"")</f>
        <v>240</v>
      </c>
      <c r="U63" s="301">
        <f ca="1">IF(VLOOKUP($A63,INDIRECT(U$1&amp;loc_voorspell),15,0)&lt;&gt;"",VLOOKUP($A63,INDIRECT(U$1&amp;loc_voorspell),15,0)+U62,"")</f>
        <v>185</v>
      </c>
      <c r="V63" s="301">
        <f ca="1">IF(VLOOKUP($A63,INDIRECT(V$1&amp;loc_voorspell),15,0)&lt;&gt;"",VLOOKUP($A63,INDIRECT(V$1&amp;loc_voorspell),15,0)+V62,"")</f>
        <v>200</v>
      </c>
      <c r="W63" s="301">
        <f ca="1">IF(VLOOKUP($A63,INDIRECT(W$1&amp;loc_voorspell),15,0)&lt;&gt;"",VLOOKUP($A63,INDIRECT(W$1&amp;loc_voorspell),15,0)+W62,"")</f>
        <v>275</v>
      </c>
      <c r="X63" s="301">
        <f ca="1">IF(VLOOKUP($A63,INDIRECT(X$1&amp;loc_voorspell),15,0)&lt;&gt;"",VLOOKUP($A63,INDIRECT(X$1&amp;loc_voorspell),15,0)+X62,"")</f>
        <v>185</v>
      </c>
      <c r="Y63" s="301">
        <f ca="1">IF(VLOOKUP($A63,INDIRECT(Y$1&amp;loc_voorspell),15,0)&lt;&gt;"",VLOOKUP($A63,INDIRECT(Y$1&amp;loc_voorspell),15,0)+Y62,"")</f>
        <v>240</v>
      </c>
      <c r="Z63" s="301">
        <f ca="1">IF(VLOOKUP($A63,INDIRECT(Z$1&amp;loc_voorspell),15,0)&lt;&gt;"",VLOOKUP($A63,INDIRECT(Z$1&amp;loc_voorspell),15,0)+Z62,"")</f>
        <v>245</v>
      </c>
      <c r="AA63" s="165">
        <f t="shared" ca="1" si="39"/>
        <v>244.16666666666666</v>
      </c>
      <c r="AB63" s="178">
        <f t="shared" ca="1" si="41"/>
        <v>5</v>
      </c>
      <c r="AC63" s="331" t="str">
        <f t="shared" si="40"/>
        <v>Duitsland-Algerije</v>
      </c>
      <c r="AD63" s="179">
        <f t="shared" ca="1" si="42"/>
        <v>0.83333333333334281</v>
      </c>
      <c r="AE63" s="179">
        <f t="shared" ca="1" si="43"/>
        <v>25.833333333333343</v>
      </c>
      <c r="AF63" s="179">
        <f t="shared" ca="1" si="44"/>
        <v>15.833333333333343</v>
      </c>
      <c r="AG63" s="179">
        <f t="shared" ca="1" si="45"/>
        <v>15.833333333333343</v>
      </c>
      <c r="AH63" s="179">
        <f t="shared" ca="1" si="46"/>
        <v>40.833333333333343</v>
      </c>
      <c r="AI63" s="179">
        <f t="shared" ca="1" si="47"/>
        <v>-24.166666666666657</v>
      </c>
      <c r="AJ63" s="179">
        <f t="shared" ca="1" si="48"/>
        <v>-19.166666666666657</v>
      </c>
      <c r="AK63" s="179">
        <f t="shared" ca="1" si="49"/>
        <v>45.833333333333343</v>
      </c>
      <c r="AL63" s="179">
        <f t="shared" ca="1" si="50"/>
        <v>0.83333333333334281</v>
      </c>
      <c r="AM63" s="179">
        <f t="shared" ca="1" si="51"/>
        <v>-14.166666666666657</v>
      </c>
      <c r="AN63" s="179">
        <f t="shared" ca="1" si="52"/>
        <v>10.833333333333343</v>
      </c>
      <c r="AO63" s="179">
        <f t="shared" ca="1" si="27"/>
        <v>15.833333333333343</v>
      </c>
      <c r="AP63" s="179">
        <f t="shared" ca="1" si="28"/>
        <v>15.833333333333343</v>
      </c>
      <c r="AQ63" s="179">
        <f t="shared" ca="1" si="28"/>
        <v>-9.1666666666666572</v>
      </c>
      <c r="AR63" s="179">
        <f t="shared" ca="1" si="29"/>
        <v>20.833333333333343</v>
      </c>
      <c r="AS63" s="179">
        <f t="shared" ca="1" si="30"/>
        <v>25.833333333333343</v>
      </c>
      <c r="AT63" s="179">
        <f t="shared" ca="1" si="31"/>
        <v>-34.166666666666657</v>
      </c>
      <c r="AU63" s="179">
        <f t="shared" ca="1" si="32"/>
        <v>-4.1666666666666572</v>
      </c>
      <c r="AV63" s="179">
        <f t="shared" ca="1" si="33"/>
        <v>-59.166666666666657</v>
      </c>
      <c r="AW63" s="179">
        <f t="shared" ca="1" si="34"/>
        <v>-44.166666666666657</v>
      </c>
      <c r="AX63" s="179">
        <f t="shared" ca="1" si="35"/>
        <v>30.833333333333343</v>
      </c>
      <c r="AY63" s="179">
        <f t="shared" ca="1" si="36"/>
        <v>-59.166666666666657</v>
      </c>
      <c r="AZ63" s="179">
        <f t="shared" ca="1" si="37"/>
        <v>-4.1666666666666572</v>
      </c>
      <c r="BA63" s="179">
        <f t="shared" ca="1" si="38"/>
        <v>0.83333333333334281</v>
      </c>
    </row>
    <row r="64" spans="1:53">
      <c r="A64" s="173">
        <v>55</v>
      </c>
      <c r="B64" s="183" t="str">
        <f t="shared" si="53"/>
        <v>Argentinië-Zwitserland</v>
      </c>
      <c r="C64" s="300">
        <f ca="1">IF(VLOOKUP($A64,INDIRECT(C$1&amp;loc_voorspell),15,0)&lt;&gt;"",VLOOKUP($A64,INDIRECT(C$1&amp;loc_voorspell),15,0)+C63,"")</f>
        <v>250</v>
      </c>
      <c r="D64" s="300">
        <f ca="1">IF(VLOOKUP($A64,INDIRECT(D$1&amp;loc_voorspell),15,0)&lt;&gt;"",VLOOKUP($A64,INDIRECT(D$1&amp;loc_voorspell),15,0)+D63,"")</f>
        <v>275</v>
      </c>
      <c r="E64" s="300">
        <f ca="1">IF(VLOOKUP($A64,INDIRECT(E$1&amp;loc_voorspell),15,0)&lt;&gt;"",VLOOKUP($A64,INDIRECT(E$1&amp;loc_voorspell),15,0)+E63,"")</f>
        <v>265</v>
      </c>
      <c r="F64" s="300">
        <f ca="1">IF(VLOOKUP($A64,INDIRECT(F$1&amp;loc_voorspell),15,0)&lt;&gt;"",VLOOKUP($A64,INDIRECT(F$1&amp;loc_voorspell),15,0)+F63,"")</f>
        <v>265</v>
      </c>
      <c r="G64" s="300">
        <f ca="1">IF(VLOOKUP($A64,INDIRECT(G$1&amp;loc_voorspell),15,0)&lt;&gt;"",VLOOKUP($A64,INDIRECT(G$1&amp;loc_voorspell),15,0)+G63,"")</f>
        <v>290</v>
      </c>
      <c r="H64" s="300">
        <f ca="1">IF(VLOOKUP($A64,INDIRECT(H$1&amp;loc_voorspell),15,0)&lt;&gt;"",VLOOKUP($A64,INDIRECT(H$1&amp;loc_voorspell),15,0)+H63,"")</f>
        <v>225</v>
      </c>
      <c r="I64" s="300">
        <f ca="1">IF(VLOOKUP($A64,INDIRECT(I$1&amp;loc_voorspell),15,0)&lt;&gt;"",VLOOKUP($A64,INDIRECT(I$1&amp;loc_voorspell),15,0)+I63,"")</f>
        <v>225</v>
      </c>
      <c r="J64" s="300">
        <f ca="1">IF(VLOOKUP($A64,INDIRECT(J$1&amp;loc_voorspell),15,0)&lt;&gt;"",VLOOKUP($A64,INDIRECT(J$1&amp;loc_voorspell),15,0)+J63,"")</f>
        <v>295</v>
      </c>
      <c r="K64" s="300">
        <f ca="1">IF(VLOOKUP($A64,INDIRECT(K$1&amp;loc_voorspell),15,0)&lt;&gt;"",VLOOKUP($A64,INDIRECT(K$1&amp;loc_voorspell),15,0)+K63,"")</f>
        <v>255</v>
      </c>
      <c r="L64" s="300">
        <f ca="1">IF(VLOOKUP($A64,INDIRECT(L$1&amp;loc_voorspell),15,0)&lt;&gt;"",VLOOKUP($A64,INDIRECT(L$1&amp;loc_voorspell),15,0)+L63,"")</f>
        <v>235</v>
      </c>
      <c r="M64" s="300">
        <f ca="1">IF(VLOOKUP($A64,INDIRECT(M$1&amp;loc_voorspell),15,0)&lt;&gt;"",VLOOKUP($A64,INDIRECT(M$1&amp;loc_voorspell),15,0)+M63,"")</f>
        <v>260</v>
      </c>
      <c r="N64" s="300">
        <f ca="1">IF(VLOOKUP($A64,INDIRECT(N$1&amp;loc_voorspell),15,0)&lt;&gt;"",VLOOKUP($A64,INDIRECT(N$1&amp;loc_voorspell),15,0)+N63,"")</f>
        <v>270</v>
      </c>
      <c r="O64" s="300">
        <f ca="1">IF(VLOOKUP($A64,INDIRECT(O$1&amp;loc_voorspell),15,0)&lt;&gt;"",VLOOKUP($A64,INDIRECT(O$1&amp;loc_voorspell),15,0)+O63,"")</f>
        <v>265</v>
      </c>
      <c r="P64" s="300">
        <f ca="1">IF(VLOOKUP($A64,INDIRECT(P$1&amp;loc_voorspell),15,0)&lt;&gt;"",VLOOKUP($A64,INDIRECT(P$1&amp;loc_voorspell),15,0)+P63,"")</f>
        <v>240</v>
      </c>
      <c r="Q64" s="300">
        <f ca="1">IF(VLOOKUP($A64,INDIRECT(Q$1&amp;loc_voorspell),15,0)&lt;&gt;"",VLOOKUP($A64,INDIRECT(Q$1&amp;loc_voorspell),15,0)+Q63,"")</f>
        <v>270</v>
      </c>
      <c r="R64" s="300">
        <f ca="1">IF(VLOOKUP($A64,INDIRECT(R$1&amp;loc_voorspell),15,0)&lt;&gt;"",VLOOKUP($A64,INDIRECT(R$1&amp;loc_voorspell),15,0)+R63,"")</f>
        <v>270</v>
      </c>
      <c r="S64" s="300">
        <f ca="1">IF(VLOOKUP($A64,INDIRECT(S$1&amp;loc_voorspell),15,0)&lt;&gt;"",VLOOKUP($A64,INDIRECT(S$1&amp;loc_voorspell),15,0)+S63,"")</f>
        <v>215</v>
      </c>
      <c r="T64" s="300">
        <f ca="1">IF(VLOOKUP($A64,INDIRECT(T$1&amp;loc_voorspell),15,0)&lt;&gt;"",VLOOKUP($A64,INDIRECT(T$1&amp;loc_voorspell),15,0)+T63,"")</f>
        <v>245</v>
      </c>
      <c r="U64" s="300">
        <f ca="1">IF(VLOOKUP($A64,INDIRECT(U$1&amp;loc_voorspell),15,0)&lt;&gt;"",VLOOKUP($A64,INDIRECT(U$1&amp;loc_voorspell),15,0)+U63,"")</f>
        <v>190</v>
      </c>
      <c r="V64" s="300">
        <f ca="1">IF(VLOOKUP($A64,INDIRECT(V$1&amp;loc_voorspell),15,0)&lt;&gt;"",VLOOKUP($A64,INDIRECT(V$1&amp;loc_voorspell),15,0)+V63,"")</f>
        <v>205</v>
      </c>
      <c r="W64" s="300">
        <f ca="1">IF(VLOOKUP($A64,INDIRECT(W$1&amp;loc_voorspell),15,0)&lt;&gt;"",VLOOKUP($A64,INDIRECT(W$1&amp;loc_voorspell),15,0)+W63,"")</f>
        <v>275</v>
      </c>
      <c r="X64" s="300">
        <f ca="1">IF(VLOOKUP($A64,INDIRECT(X$1&amp;loc_voorspell),15,0)&lt;&gt;"",VLOOKUP($A64,INDIRECT(X$1&amp;loc_voorspell),15,0)+X63,"")</f>
        <v>190</v>
      </c>
      <c r="Y64" s="300">
        <f ca="1">IF(VLOOKUP($A64,INDIRECT(Y$1&amp;loc_voorspell),15,0)&lt;&gt;"",VLOOKUP($A64,INDIRECT(Y$1&amp;loc_voorspell),15,0)+Y63,"")</f>
        <v>245</v>
      </c>
      <c r="Z64" s="300">
        <f ca="1">IF(VLOOKUP($A64,INDIRECT(Z$1&amp;loc_voorspell),15,0)&lt;&gt;"",VLOOKUP($A64,INDIRECT(Z$1&amp;loc_voorspell),15,0)+Z63,"")</f>
        <v>250</v>
      </c>
      <c r="AA64" s="165">
        <f t="shared" ca="1" si="39"/>
        <v>248.75</v>
      </c>
      <c r="AB64" s="178">
        <f t="shared" ca="1" si="41"/>
        <v>4.5833333333333428</v>
      </c>
      <c r="AC64" s="331" t="str">
        <f t="shared" si="40"/>
        <v>Argentinië-Zwitserland</v>
      </c>
      <c r="AD64" s="179">
        <f t="shared" ca="1" si="42"/>
        <v>1.25</v>
      </c>
      <c r="AE64" s="179">
        <f t="shared" ca="1" si="43"/>
        <v>26.25</v>
      </c>
      <c r="AF64" s="179">
        <f t="shared" ca="1" si="44"/>
        <v>16.25</v>
      </c>
      <c r="AG64" s="179">
        <f t="shared" ca="1" si="45"/>
        <v>16.25</v>
      </c>
      <c r="AH64" s="179">
        <f t="shared" ca="1" si="46"/>
        <v>41.25</v>
      </c>
      <c r="AI64" s="179">
        <f t="shared" ca="1" si="47"/>
        <v>-23.75</v>
      </c>
      <c r="AJ64" s="179">
        <f t="shared" ca="1" si="48"/>
        <v>-23.75</v>
      </c>
      <c r="AK64" s="179">
        <f t="shared" ca="1" si="49"/>
        <v>46.25</v>
      </c>
      <c r="AL64" s="179">
        <f t="shared" ca="1" si="50"/>
        <v>6.25</v>
      </c>
      <c r="AM64" s="179">
        <f t="shared" ca="1" si="51"/>
        <v>-13.75</v>
      </c>
      <c r="AN64" s="179">
        <f t="shared" ca="1" si="52"/>
        <v>11.25</v>
      </c>
      <c r="AO64" s="179">
        <f t="shared" ca="1" si="27"/>
        <v>16.25</v>
      </c>
      <c r="AP64" s="179">
        <f t="shared" ca="1" si="28"/>
        <v>16.25</v>
      </c>
      <c r="AQ64" s="179">
        <f t="shared" ca="1" si="28"/>
        <v>-8.75</v>
      </c>
      <c r="AR64" s="179">
        <f t="shared" ca="1" si="29"/>
        <v>21.25</v>
      </c>
      <c r="AS64" s="179">
        <f t="shared" ca="1" si="30"/>
        <v>21.25</v>
      </c>
      <c r="AT64" s="179">
        <f t="shared" ca="1" si="31"/>
        <v>-33.75</v>
      </c>
      <c r="AU64" s="179">
        <f t="shared" ca="1" si="32"/>
        <v>-3.75</v>
      </c>
      <c r="AV64" s="179">
        <f t="shared" ca="1" si="33"/>
        <v>-58.75</v>
      </c>
      <c r="AW64" s="179">
        <f t="shared" ca="1" si="34"/>
        <v>-43.75</v>
      </c>
      <c r="AX64" s="179">
        <f t="shared" ca="1" si="35"/>
        <v>26.25</v>
      </c>
      <c r="AY64" s="179">
        <f t="shared" ca="1" si="36"/>
        <v>-58.75</v>
      </c>
      <c r="AZ64" s="179">
        <f t="shared" ca="1" si="37"/>
        <v>-3.75</v>
      </c>
      <c r="BA64" s="179">
        <f t="shared" ca="1" si="38"/>
        <v>1.25</v>
      </c>
    </row>
    <row r="65" spans="1:53">
      <c r="A65" s="173">
        <v>56</v>
      </c>
      <c r="B65" s="184" t="str">
        <f t="shared" si="53"/>
        <v>België-USA</v>
      </c>
      <c r="C65" s="301">
        <f ca="1">IF(VLOOKUP($A65,INDIRECT(C$1&amp;loc_voorspell),15,0)&lt;&gt;"",VLOOKUP($A65,INDIRECT(C$1&amp;loc_voorspell),15,0)+C64,"")</f>
        <v>260</v>
      </c>
      <c r="D65" s="301">
        <f ca="1">IF(VLOOKUP($A65,INDIRECT(D$1&amp;loc_voorspell),15,0)&lt;&gt;"",VLOOKUP($A65,INDIRECT(D$1&amp;loc_voorspell),15,0)+D64,"")</f>
        <v>275</v>
      </c>
      <c r="E65" s="301">
        <f ca="1">IF(VLOOKUP($A65,INDIRECT(E$1&amp;loc_voorspell),15,0)&lt;&gt;"",VLOOKUP($A65,INDIRECT(E$1&amp;loc_voorspell),15,0)+E64,"")</f>
        <v>265</v>
      </c>
      <c r="F65" s="301">
        <f ca="1">IF(VLOOKUP($A65,INDIRECT(F$1&amp;loc_voorspell),15,0)&lt;&gt;"",VLOOKUP($A65,INDIRECT(F$1&amp;loc_voorspell),15,0)+F64,"")</f>
        <v>265</v>
      </c>
      <c r="G65" s="301">
        <f ca="1">IF(VLOOKUP($A65,INDIRECT(G$1&amp;loc_voorspell),15,0)&lt;&gt;"",VLOOKUP($A65,INDIRECT(G$1&amp;loc_voorspell),15,0)+G64,"")</f>
        <v>290</v>
      </c>
      <c r="H65" s="301">
        <f ca="1">IF(VLOOKUP($A65,INDIRECT(H$1&amp;loc_voorspell),15,0)&lt;&gt;"",VLOOKUP($A65,INDIRECT(H$1&amp;loc_voorspell),15,0)+H64,"")</f>
        <v>225</v>
      </c>
      <c r="I65" s="301">
        <f ca="1">IF(VLOOKUP($A65,INDIRECT(I$1&amp;loc_voorspell),15,0)&lt;&gt;"",VLOOKUP($A65,INDIRECT(I$1&amp;loc_voorspell),15,0)+I64,"")</f>
        <v>225</v>
      </c>
      <c r="J65" s="301">
        <f ca="1">IF(VLOOKUP($A65,INDIRECT(J$1&amp;loc_voorspell),15,0)&lt;&gt;"",VLOOKUP($A65,INDIRECT(J$1&amp;loc_voorspell),15,0)+J64,"")</f>
        <v>295</v>
      </c>
      <c r="K65" s="301">
        <f ca="1">IF(VLOOKUP($A65,INDIRECT(K$1&amp;loc_voorspell),15,0)&lt;&gt;"",VLOOKUP($A65,INDIRECT(K$1&amp;loc_voorspell),15,0)+K64,"")</f>
        <v>255</v>
      </c>
      <c r="L65" s="301">
        <f ca="1">IF(VLOOKUP($A65,INDIRECT(L$1&amp;loc_voorspell),15,0)&lt;&gt;"",VLOOKUP($A65,INDIRECT(L$1&amp;loc_voorspell),15,0)+L64,"")</f>
        <v>235</v>
      </c>
      <c r="M65" s="301">
        <f ca="1">IF(VLOOKUP($A65,INDIRECT(M$1&amp;loc_voorspell),15,0)&lt;&gt;"",VLOOKUP($A65,INDIRECT(M$1&amp;loc_voorspell),15,0)+M64,"")</f>
        <v>260</v>
      </c>
      <c r="N65" s="301">
        <f ca="1">IF(VLOOKUP($A65,INDIRECT(N$1&amp;loc_voorspell),15,0)&lt;&gt;"",VLOOKUP($A65,INDIRECT(N$1&amp;loc_voorspell),15,0)+N64,"")</f>
        <v>270</v>
      </c>
      <c r="O65" s="301">
        <f ca="1">IF(VLOOKUP($A65,INDIRECT(O$1&amp;loc_voorspell),15,0)&lt;&gt;"",VLOOKUP($A65,INDIRECT(O$1&amp;loc_voorspell),15,0)+O64,"")</f>
        <v>265</v>
      </c>
      <c r="P65" s="301">
        <f ca="1">IF(VLOOKUP($A65,INDIRECT(P$1&amp;loc_voorspell),15,0)&lt;&gt;"",VLOOKUP($A65,INDIRECT(P$1&amp;loc_voorspell),15,0)+P64,"")</f>
        <v>240</v>
      </c>
      <c r="Q65" s="301">
        <f ca="1">IF(VLOOKUP($A65,INDIRECT(Q$1&amp;loc_voorspell),15,0)&lt;&gt;"",VLOOKUP($A65,INDIRECT(Q$1&amp;loc_voorspell),15,0)+Q64,"")</f>
        <v>270</v>
      </c>
      <c r="R65" s="301">
        <f ca="1">IF(VLOOKUP($A65,INDIRECT(R$1&amp;loc_voorspell),15,0)&lt;&gt;"",VLOOKUP($A65,INDIRECT(R$1&amp;loc_voorspell),15,0)+R64,"")</f>
        <v>270</v>
      </c>
      <c r="S65" s="301">
        <f ca="1">IF(VLOOKUP($A65,INDIRECT(S$1&amp;loc_voorspell),15,0)&lt;&gt;"",VLOOKUP($A65,INDIRECT(S$1&amp;loc_voorspell),15,0)+S64,"")</f>
        <v>215</v>
      </c>
      <c r="T65" s="301">
        <f ca="1">IF(VLOOKUP($A65,INDIRECT(T$1&amp;loc_voorspell),15,0)&lt;&gt;"",VLOOKUP($A65,INDIRECT(T$1&amp;loc_voorspell),15,0)+T64,"")</f>
        <v>245</v>
      </c>
      <c r="U65" s="301">
        <f ca="1">IF(VLOOKUP($A65,INDIRECT(U$1&amp;loc_voorspell),15,0)&lt;&gt;"",VLOOKUP($A65,INDIRECT(U$1&amp;loc_voorspell),15,0)+U64,"")</f>
        <v>190</v>
      </c>
      <c r="V65" s="301">
        <f ca="1">IF(VLOOKUP($A65,INDIRECT(V$1&amp;loc_voorspell),15,0)&lt;&gt;"",VLOOKUP($A65,INDIRECT(V$1&amp;loc_voorspell),15,0)+V64,"")</f>
        <v>205</v>
      </c>
      <c r="W65" s="301">
        <f ca="1">IF(VLOOKUP($A65,INDIRECT(W$1&amp;loc_voorspell),15,0)&lt;&gt;"",VLOOKUP($A65,INDIRECT(W$1&amp;loc_voorspell),15,0)+W64,"")</f>
        <v>275</v>
      </c>
      <c r="X65" s="301">
        <f ca="1">IF(VLOOKUP($A65,INDIRECT(X$1&amp;loc_voorspell),15,0)&lt;&gt;"",VLOOKUP($A65,INDIRECT(X$1&amp;loc_voorspell),15,0)+X64,"")</f>
        <v>190</v>
      </c>
      <c r="Y65" s="301">
        <f ca="1">IF(VLOOKUP($A65,INDIRECT(Y$1&amp;loc_voorspell),15,0)&lt;&gt;"",VLOOKUP($A65,INDIRECT(Y$1&amp;loc_voorspell),15,0)+Y64,"")</f>
        <v>245</v>
      </c>
      <c r="Z65" s="301">
        <f ca="1">IF(VLOOKUP($A65,INDIRECT(Z$1&amp;loc_voorspell),15,0)&lt;&gt;"",VLOOKUP($A65,INDIRECT(Z$1&amp;loc_voorspell),15,0)+Z64,"")</f>
        <v>250</v>
      </c>
      <c r="AA65" s="165">
        <f t="shared" ca="1" si="39"/>
        <v>249.16666666666666</v>
      </c>
      <c r="AB65" s="178">
        <f t="shared" ca="1" si="41"/>
        <v>0.41666666666665719</v>
      </c>
      <c r="AC65" s="331" t="str">
        <f t="shared" si="40"/>
        <v>België-USA</v>
      </c>
      <c r="AD65" s="179">
        <f t="shared" ca="1" si="42"/>
        <v>10.833333333333343</v>
      </c>
      <c r="AE65" s="179">
        <f t="shared" ca="1" si="43"/>
        <v>25.833333333333343</v>
      </c>
      <c r="AF65" s="179">
        <f t="shared" ca="1" si="44"/>
        <v>15.833333333333343</v>
      </c>
      <c r="AG65" s="179">
        <f t="shared" ca="1" si="45"/>
        <v>15.833333333333343</v>
      </c>
      <c r="AH65" s="179">
        <f t="shared" ca="1" si="46"/>
        <v>40.833333333333343</v>
      </c>
      <c r="AI65" s="179">
        <f t="shared" ca="1" si="47"/>
        <v>-24.166666666666657</v>
      </c>
      <c r="AJ65" s="179">
        <f t="shared" ca="1" si="48"/>
        <v>-24.166666666666657</v>
      </c>
      <c r="AK65" s="179">
        <f t="shared" ca="1" si="49"/>
        <v>45.833333333333343</v>
      </c>
      <c r="AL65" s="179">
        <f t="shared" ca="1" si="50"/>
        <v>5.8333333333333428</v>
      </c>
      <c r="AM65" s="179">
        <f t="shared" ca="1" si="51"/>
        <v>-14.166666666666657</v>
      </c>
      <c r="AN65" s="179">
        <f t="shared" ca="1" si="52"/>
        <v>10.833333333333343</v>
      </c>
      <c r="AO65" s="179">
        <f t="shared" ca="1" si="27"/>
        <v>15.833333333333343</v>
      </c>
      <c r="AP65" s="179">
        <f t="shared" ca="1" si="28"/>
        <v>15.833333333333343</v>
      </c>
      <c r="AQ65" s="179">
        <f t="shared" ca="1" si="28"/>
        <v>-9.1666666666666572</v>
      </c>
      <c r="AR65" s="179">
        <f t="shared" ca="1" si="29"/>
        <v>20.833333333333343</v>
      </c>
      <c r="AS65" s="179">
        <f t="shared" ca="1" si="30"/>
        <v>20.833333333333343</v>
      </c>
      <c r="AT65" s="179">
        <f t="shared" ca="1" si="31"/>
        <v>-34.166666666666657</v>
      </c>
      <c r="AU65" s="179">
        <f t="shared" ca="1" si="32"/>
        <v>-4.1666666666666572</v>
      </c>
      <c r="AV65" s="179">
        <f t="shared" ca="1" si="33"/>
        <v>-59.166666666666657</v>
      </c>
      <c r="AW65" s="179">
        <f t="shared" ca="1" si="34"/>
        <v>-44.166666666666657</v>
      </c>
      <c r="AX65" s="179">
        <f t="shared" ca="1" si="35"/>
        <v>25.833333333333343</v>
      </c>
      <c r="AY65" s="179">
        <f t="shared" ca="1" si="36"/>
        <v>-59.166666666666657</v>
      </c>
      <c r="AZ65" s="179">
        <f t="shared" ca="1" si="37"/>
        <v>-4.1666666666666572</v>
      </c>
      <c r="BA65" s="179">
        <f t="shared" ca="1" si="38"/>
        <v>0.83333333333334281</v>
      </c>
    </row>
    <row r="66" spans="1:53" s="164" customFormat="1">
      <c r="A66" s="180" t="str">
        <f>B66</f>
        <v>Boni 1/4</v>
      </c>
      <c r="B66" s="181" t="s">
        <v>82</v>
      </c>
      <c r="C66" s="181">
        <f ca="1">IF(C65="","",INDIRECT(C$1&amp;"!$h$11")+MAX(C58:C65))</f>
        <v>335</v>
      </c>
      <c r="D66" s="181">
        <f ca="1">IF(D65="","",INDIRECT(D$1&amp;"!$h$11")+MAX(D58:D65))</f>
        <v>365</v>
      </c>
      <c r="E66" s="181">
        <f ca="1">IF(E65="","",INDIRECT(E$1&amp;"!$h$11")+MAX(E58:E65))</f>
        <v>310</v>
      </c>
      <c r="F66" s="181">
        <f ca="1">IF(F65="","",INDIRECT(F$1&amp;"!$h$11")+MAX(F58:F65))</f>
        <v>355</v>
      </c>
      <c r="G66" s="181">
        <f ca="1">IF(G65="","",INDIRECT(G$1&amp;"!$h$11")+MAX(G58:G65))</f>
        <v>350</v>
      </c>
      <c r="H66" s="181">
        <f ca="1">IF(H65="","",INDIRECT(H$1&amp;"!$h$11")+MAX(H58:H65))</f>
        <v>300</v>
      </c>
      <c r="I66" s="181">
        <f ca="1">IF(I65="","",INDIRECT(I$1&amp;"!$h$11")+MAX(I58:I65))</f>
        <v>285</v>
      </c>
      <c r="J66" s="181">
        <f ca="1">IF(J65="","",INDIRECT(J$1&amp;"!$h$11")+MAX(J58:J65))</f>
        <v>340</v>
      </c>
      <c r="K66" s="181">
        <f ca="1">IF(K65="","",INDIRECT(K$1&amp;"!$h$11")+MAX(K58:K65))</f>
        <v>300</v>
      </c>
      <c r="L66" s="181">
        <f ca="1">IF(L65="","",INDIRECT(L$1&amp;"!$h$11")+MAX(L58:L65))</f>
        <v>295</v>
      </c>
      <c r="M66" s="181">
        <f ca="1">IF(M65="","",INDIRECT(M$1&amp;"!$h$11")+MAX(M58:M65))</f>
        <v>335</v>
      </c>
      <c r="N66" s="181">
        <f ca="1">IF(N65="","",INDIRECT(N$1&amp;"!$h$11")+MAX(N58:N65))</f>
        <v>330</v>
      </c>
      <c r="O66" s="181">
        <f ca="1">IF(O65="","",INDIRECT(O$1&amp;"!$h$11")+MAX(O58:O65))</f>
        <v>355</v>
      </c>
      <c r="P66" s="181">
        <f ca="1">IF(P65="","",INDIRECT(P$1&amp;"!$h$11")+MAX(P58:P65))</f>
        <v>300</v>
      </c>
      <c r="Q66" s="181">
        <f ca="1">IF(Q65="","",INDIRECT(Q$1&amp;"!$h$11")+MAX(Q58:Q65))</f>
        <v>330</v>
      </c>
      <c r="R66" s="181">
        <f ca="1">IF(R65="","",INDIRECT(R$1&amp;"!$h$11")+MAX(R58:R65))</f>
        <v>330</v>
      </c>
      <c r="S66" s="181">
        <f ca="1">IF(S65="","",INDIRECT(S$1&amp;"!$h$11")+MAX(S58:S65))</f>
        <v>275</v>
      </c>
      <c r="T66" s="181">
        <f ca="1">IF(T65="","",INDIRECT(T$1&amp;"!$h$11")+MAX(T58:T65))</f>
        <v>305</v>
      </c>
      <c r="U66" s="181">
        <f ca="1">IF(U65="","",INDIRECT(U$1&amp;"!$h$11")+MAX(U58:U65))</f>
        <v>250</v>
      </c>
      <c r="V66" s="181">
        <f ca="1">IF(V65="","",INDIRECT(V$1&amp;"!$h$11")+MAX(V58:V65))</f>
        <v>265</v>
      </c>
      <c r="W66" s="181">
        <f ca="1">IF(W65="","",INDIRECT(W$1&amp;"!$h$11")+MAX(W58:W65))</f>
        <v>305</v>
      </c>
      <c r="X66" s="181">
        <f ca="1">IF(X65="","",INDIRECT(X$1&amp;"!$h$11")+MAX(X58:X65))</f>
        <v>250</v>
      </c>
      <c r="Y66" s="181">
        <f ca="1">IF(Y65="","",INDIRECT(Y$1&amp;"!$h$11")+MAX(Y58:Y65))</f>
        <v>290</v>
      </c>
      <c r="Z66" s="181">
        <f ca="1">IF(Z65="","",INDIRECT(Z$1&amp;"!$h$11")+MAX(Z58:Z65))</f>
        <v>295</v>
      </c>
      <c r="AA66" s="165">
        <f t="shared" ca="1" si="39"/>
        <v>310.41666666666669</v>
      </c>
      <c r="AB66" s="178">
        <f t="shared" ca="1" si="41"/>
        <v>61.250000000000028</v>
      </c>
      <c r="AC66" s="331" t="str">
        <f t="shared" si="40"/>
        <v>Boni 1/4</v>
      </c>
      <c r="AD66" s="182">
        <f t="shared" ref="AD66:AD77" ca="1" si="54">IF(C66&lt;&gt;"",C66-$AA66,"")</f>
        <v>24.583333333333314</v>
      </c>
      <c r="AE66" s="182">
        <f t="shared" ref="AE66:AE77" ca="1" si="55">IF(D66&lt;&gt;"",D66-$AA66,"")</f>
        <v>54.583333333333314</v>
      </c>
      <c r="AF66" s="182">
        <f t="shared" ref="AF66:AF77" ca="1" si="56">IF(E66&lt;&gt;"",E66-$AA66,"")</f>
        <v>-0.41666666666668561</v>
      </c>
      <c r="AG66" s="182">
        <f t="shared" ref="AG66:AG77" ca="1" si="57">IF(F66&lt;&gt;"",F66-$AA66,"")</f>
        <v>44.583333333333314</v>
      </c>
      <c r="AH66" s="182">
        <f t="shared" ref="AH66:AH77" ca="1" si="58">IF(G66&lt;&gt;"",G66-$AA66,"")</f>
        <v>39.583333333333314</v>
      </c>
      <c r="AI66" s="182">
        <f t="shared" ref="AI66:AI77" ca="1" si="59">IF(H66&lt;&gt;"",H66-$AA66,"")</f>
        <v>-10.416666666666686</v>
      </c>
      <c r="AJ66" s="182">
        <f t="shared" ref="AJ66:AJ77" ca="1" si="60">IF(I66&lt;&gt;"",I66-$AA66,"")</f>
        <v>-25.416666666666686</v>
      </c>
      <c r="AK66" s="182">
        <f t="shared" ref="AK66:AK77" ca="1" si="61">IF(J66&lt;&gt;"",J66-$AA66,"")</f>
        <v>29.583333333333314</v>
      </c>
      <c r="AL66" s="182">
        <f t="shared" ref="AL66:AL77" ca="1" si="62">IF(K66&lt;&gt;"",K66-$AA66,"")</f>
        <v>-10.416666666666686</v>
      </c>
      <c r="AM66" s="182">
        <f t="shared" ref="AM66:AM77" ca="1" si="63">IF(L66&lt;&gt;"",L66-$AA66,"")</f>
        <v>-15.416666666666686</v>
      </c>
      <c r="AN66" s="182">
        <f t="shared" ref="AN66:AN77" ca="1" si="64">IF(M66&lt;&gt;"",M66-$AA66,"")</f>
        <v>24.583333333333314</v>
      </c>
      <c r="AO66" s="182">
        <f t="shared" ref="AO66:AO77" ca="1" si="65">IF(O66&lt;&gt;"",O66-$AA66,"")</f>
        <v>44.583333333333314</v>
      </c>
      <c r="AP66" s="182">
        <f t="shared" ref="AP66:AQ77" ca="1" si="66">IF(O66&lt;&gt;"",O66-$AA66,"")</f>
        <v>44.583333333333314</v>
      </c>
      <c r="AQ66" s="182">
        <f t="shared" ca="1" si="66"/>
        <v>-10.416666666666686</v>
      </c>
      <c r="AR66" s="182">
        <f t="shared" ref="AR66:AR77" ca="1" si="67">IF(Q66&lt;&gt;"",Q66-$AA66,"")</f>
        <v>19.583333333333314</v>
      </c>
      <c r="AS66" s="182">
        <f t="shared" ref="AS66:AS77" ca="1" si="68">IF(R66&lt;&gt;"",R66-$AA66,"")</f>
        <v>19.583333333333314</v>
      </c>
      <c r="AT66" s="182">
        <f t="shared" ref="AT66:AT77" ca="1" si="69">IF(S66&lt;&gt;"",S66-$AA66,"")</f>
        <v>-35.416666666666686</v>
      </c>
      <c r="AU66" s="182">
        <f t="shared" ref="AU66:AU77" ca="1" si="70">IF(T66&lt;&gt;"",T66-$AA66,"")</f>
        <v>-5.4166666666666856</v>
      </c>
      <c r="AV66" s="182">
        <f t="shared" ref="AV66:AV77" ca="1" si="71">IF(U66&lt;&gt;"",U66-$AA66,"")</f>
        <v>-60.416666666666686</v>
      </c>
      <c r="AW66" s="182">
        <f t="shared" ref="AW66:AW77" ca="1" si="72">IF(V66&lt;&gt;"",V66-$AA66,"")</f>
        <v>-45.416666666666686</v>
      </c>
      <c r="AX66" s="182">
        <f t="shared" ref="AX66:AX77" ca="1" si="73">IF(W66&lt;&gt;"",W66-$AA66,"")</f>
        <v>-5.4166666666666856</v>
      </c>
      <c r="AY66" s="182">
        <f t="shared" ref="AY66:AY77" ca="1" si="74">IF(X66&lt;&gt;"",X66-$AA66,"")</f>
        <v>-60.416666666666686</v>
      </c>
      <c r="AZ66" s="182">
        <f t="shared" ref="AZ66:AZ77" ca="1" si="75">IF(Y66&lt;&gt;"",Y66-$AA66,"")</f>
        <v>-20.416666666666686</v>
      </c>
      <c r="BA66" s="182">
        <f t="shared" ref="BA66:BA77" ca="1" si="76">IF(Z66&lt;&gt;"",Z66-$AA66,"")</f>
        <v>-15.416666666666686</v>
      </c>
    </row>
    <row r="67" spans="1:53">
      <c r="A67" s="173">
        <v>57</v>
      </c>
      <c r="B67" s="185" t="str">
        <f>VLOOKUP($A67,wedstrijden,6,0)&amp;"-"&amp;VLOOKUP($A67,wedstrijden,10,0)</f>
        <v>Brazilië-Colombia</v>
      </c>
      <c r="C67" s="302">
        <f ca="1">IF(VLOOKUP($A67,INDIRECT(C$1&amp;loc_voorspell),15,0)&lt;&gt;"",VLOOKUP($A67,INDIRECT(C$1&amp;loc_voorspell),15,0)+C66,"")</f>
        <v>345</v>
      </c>
      <c r="D67" s="302">
        <f ca="1">IF(VLOOKUP($A67,INDIRECT(D$1&amp;loc_voorspell),15,0)&lt;&gt;"",VLOOKUP($A67,INDIRECT(D$1&amp;loc_voorspell),15,0)+D66,"")</f>
        <v>375</v>
      </c>
      <c r="E67" s="302">
        <f ca="1">IF(VLOOKUP($A67,INDIRECT(E$1&amp;loc_voorspell),15,0)&lt;&gt;"",VLOOKUP($A67,INDIRECT(E$1&amp;loc_voorspell),15,0)+E66,"")</f>
        <v>315</v>
      </c>
      <c r="F67" s="302">
        <f ca="1">IF(VLOOKUP($A67,INDIRECT(F$1&amp;loc_voorspell),15,0)&lt;&gt;"",VLOOKUP($A67,INDIRECT(F$1&amp;loc_voorspell),15,0)+F66,"")</f>
        <v>360</v>
      </c>
      <c r="G67" s="302">
        <f ca="1">IF(VLOOKUP($A67,INDIRECT(G$1&amp;loc_voorspell),15,0)&lt;&gt;"",VLOOKUP($A67,INDIRECT(G$1&amp;loc_voorspell),15,0)+G66,"")</f>
        <v>360</v>
      </c>
      <c r="H67" s="302">
        <f ca="1">IF(VLOOKUP($A67,INDIRECT(H$1&amp;loc_voorspell),15,0)&lt;&gt;"",VLOOKUP($A67,INDIRECT(H$1&amp;loc_voorspell),15,0)+H66,"")</f>
        <v>305</v>
      </c>
      <c r="I67" s="302">
        <f ca="1">IF(VLOOKUP($A67,INDIRECT(I$1&amp;loc_voorspell),15,0)&lt;&gt;"",VLOOKUP($A67,INDIRECT(I$1&amp;loc_voorspell),15,0)+I66,"")</f>
        <v>290</v>
      </c>
      <c r="J67" s="302">
        <f ca="1">IF(VLOOKUP($A67,INDIRECT(J$1&amp;loc_voorspell),15,0)&lt;&gt;"",VLOOKUP($A67,INDIRECT(J$1&amp;loc_voorspell),15,0)+J66,"")</f>
        <v>340</v>
      </c>
      <c r="K67" s="302">
        <f ca="1">IF(VLOOKUP($A67,INDIRECT(K$1&amp;loc_voorspell),15,0)&lt;&gt;"",VLOOKUP($A67,INDIRECT(K$1&amp;loc_voorspell),15,0)+K66,"")</f>
        <v>310</v>
      </c>
      <c r="L67" s="302">
        <f ca="1">IF(VLOOKUP($A67,INDIRECT(L$1&amp;loc_voorspell),15,0)&lt;&gt;"",VLOOKUP($A67,INDIRECT(L$1&amp;loc_voorspell),15,0)+L66,"")</f>
        <v>295</v>
      </c>
      <c r="M67" s="302">
        <f ca="1">IF(VLOOKUP($A67,INDIRECT(M$1&amp;loc_voorspell),15,0)&lt;&gt;"",VLOOKUP($A67,INDIRECT(M$1&amp;loc_voorspell),15,0)+M66,"")</f>
        <v>345</v>
      </c>
      <c r="N67" s="302">
        <f ca="1">IF(VLOOKUP($A67,INDIRECT(N$1&amp;loc_voorspell),15,0)&lt;&gt;"",VLOOKUP($A67,INDIRECT(N$1&amp;loc_voorspell),15,0)+N66,"")</f>
        <v>335</v>
      </c>
      <c r="O67" s="302">
        <f ca="1">IF(VLOOKUP($A67,INDIRECT(O$1&amp;loc_voorspell),15,0)&lt;&gt;"",VLOOKUP($A67,INDIRECT(O$1&amp;loc_voorspell),15,0)+O66,"")</f>
        <v>360</v>
      </c>
      <c r="P67" s="302">
        <f ca="1">IF(VLOOKUP($A67,INDIRECT(P$1&amp;loc_voorspell),15,0)&lt;&gt;"",VLOOKUP($A67,INDIRECT(P$1&amp;loc_voorspell),15,0)+P66,"")</f>
        <v>305</v>
      </c>
      <c r="Q67" s="302">
        <f ca="1">IF(VLOOKUP($A67,INDIRECT(Q$1&amp;loc_voorspell),15,0)&lt;&gt;"",VLOOKUP($A67,INDIRECT(Q$1&amp;loc_voorspell),15,0)+Q66,"")</f>
        <v>335</v>
      </c>
      <c r="R67" s="302">
        <f ca="1">IF(VLOOKUP($A67,INDIRECT(R$1&amp;loc_voorspell),15,0)&lt;&gt;"",VLOOKUP($A67,INDIRECT(R$1&amp;loc_voorspell),15,0)+R66,"")</f>
        <v>335</v>
      </c>
      <c r="S67" s="302">
        <f ca="1">IF(VLOOKUP($A67,INDIRECT(S$1&amp;loc_voorspell),15,0)&lt;&gt;"",VLOOKUP($A67,INDIRECT(S$1&amp;loc_voorspell),15,0)+S66,"")</f>
        <v>275</v>
      </c>
      <c r="T67" s="302">
        <f ca="1">IF(VLOOKUP($A67,INDIRECT(T$1&amp;loc_voorspell),15,0)&lt;&gt;"",VLOOKUP($A67,INDIRECT(T$1&amp;loc_voorspell),15,0)+T66,"")</f>
        <v>315</v>
      </c>
      <c r="U67" s="302">
        <f ca="1">IF(VLOOKUP($A67,INDIRECT(U$1&amp;loc_voorspell),15,0)&lt;&gt;"",VLOOKUP($A67,INDIRECT(U$1&amp;loc_voorspell),15,0)+U66,"")</f>
        <v>260</v>
      </c>
      <c r="V67" s="302">
        <f ca="1">IF(VLOOKUP($A67,INDIRECT(V$1&amp;loc_voorspell),15,0)&lt;&gt;"",VLOOKUP($A67,INDIRECT(V$1&amp;loc_voorspell),15,0)+V66,"")</f>
        <v>265</v>
      </c>
      <c r="W67" s="302">
        <f ca="1">IF(VLOOKUP($A67,INDIRECT(W$1&amp;loc_voorspell),15,0)&lt;&gt;"",VLOOKUP($A67,INDIRECT(W$1&amp;loc_voorspell),15,0)+W66,"")</f>
        <v>305</v>
      </c>
      <c r="X67" s="302">
        <f ca="1">IF(VLOOKUP($A67,INDIRECT(X$1&amp;loc_voorspell),15,0)&lt;&gt;"",VLOOKUP($A67,INDIRECT(X$1&amp;loc_voorspell),15,0)+X66,"")</f>
        <v>255</v>
      </c>
      <c r="Y67" s="302">
        <f ca="1">IF(VLOOKUP($A67,INDIRECT(Y$1&amp;loc_voorspell),15,0)&lt;&gt;"",VLOOKUP($A67,INDIRECT(Y$1&amp;loc_voorspell),15,0)+Y66,"")</f>
        <v>295</v>
      </c>
      <c r="Z67" s="302">
        <f ca="1">IF(VLOOKUP($A67,INDIRECT(Z$1&amp;loc_voorspell),15,0)&lt;&gt;"",VLOOKUP($A67,INDIRECT(Z$1&amp;loc_voorspell),15,0)+Z66,"")</f>
        <v>300</v>
      </c>
      <c r="AA67" s="165">
        <f t="shared" ref="AA67:AA77" ca="1" si="77">IF(C67="","",AVERAGE(C67:Z67))</f>
        <v>315.83333333333331</v>
      </c>
      <c r="AB67" s="178">
        <f t="shared" ca="1" si="41"/>
        <v>5.4166666666666288</v>
      </c>
      <c r="AC67" s="331" t="str">
        <f t="shared" ref="AC67:AC77" si="78">B67</f>
        <v>Brazilië-Colombia</v>
      </c>
      <c r="AD67" s="179">
        <f t="shared" ca="1" si="54"/>
        <v>29.166666666666686</v>
      </c>
      <c r="AE67" s="179">
        <f t="shared" ca="1" si="55"/>
        <v>59.166666666666686</v>
      </c>
      <c r="AF67" s="179">
        <f t="shared" ca="1" si="56"/>
        <v>-0.83333333333331439</v>
      </c>
      <c r="AG67" s="179">
        <f t="shared" ca="1" si="57"/>
        <v>44.166666666666686</v>
      </c>
      <c r="AH67" s="179">
        <f t="shared" ca="1" si="58"/>
        <v>44.166666666666686</v>
      </c>
      <c r="AI67" s="179">
        <f t="shared" ca="1" si="59"/>
        <v>-10.833333333333314</v>
      </c>
      <c r="AJ67" s="179">
        <f t="shared" ca="1" si="60"/>
        <v>-25.833333333333314</v>
      </c>
      <c r="AK67" s="179">
        <f t="shared" ca="1" si="61"/>
        <v>24.166666666666686</v>
      </c>
      <c r="AL67" s="179">
        <f t="shared" ca="1" si="62"/>
        <v>-5.8333333333333144</v>
      </c>
      <c r="AM67" s="179">
        <f t="shared" ca="1" si="63"/>
        <v>-20.833333333333314</v>
      </c>
      <c r="AN67" s="179">
        <f t="shared" ca="1" si="64"/>
        <v>29.166666666666686</v>
      </c>
      <c r="AO67" s="179">
        <f t="shared" ca="1" si="65"/>
        <v>44.166666666666686</v>
      </c>
      <c r="AP67" s="179">
        <f t="shared" ca="1" si="66"/>
        <v>44.166666666666686</v>
      </c>
      <c r="AQ67" s="179">
        <f t="shared" ca="1" si="66"/>
        <v>-10.833333333333314</v>
      </c>
      <c r="AR67" s="179">
        <f t="shared" ca="1" si="67"/>
        <v>19.166666666666686</v>
      </c>
      <c r="AS67" s="179">
        <f t="shared" ca="1" si="68"/>
        <v>19.166666666666686</v>
      </c>
      <c r="AT67" s="179">
        <f t="shared" ca="1" si="69"/>
        <v>-40.833333333333314</v>
      </c>
      <c r="AU67" s="179">
        <f t="shared" ca="1" si="70"/>
        <v>-0.83333333333331439</v>
      </c>
      <c r="AV67" s="179">
        <f t="shared" ca="1" si="71"/>
        <v>-55.833333333333314</v>
      </c>
      <c r="AW67" s="179">
        <f t="shared" ca="1" si="72"/>
        <v>-50.833333333333314</v>
      </c>
      <c r="AX67" s="179">
        <f t="shared" ca="1" si="73"/>
        <v>-10.833333333333314</v>
      </c>
      <c r="AY67" s="179">
        <f t="shared" ca="1" si="74"/>
        <v>-60.833333333333314</v>
      </c>
      <c r="AZ67" s="179">
        <f t="shared" ca="1" si="75"/>
        <v>-20.833333333333314</v>
      </c>
      <c r="BA67" s="179">
        <f t="shared" ca="1" si="76"/>
        <v>-15.833333333333314</v>
      </c>
    </row>
    <row r="68" spans="1:53">
      <c r="A68" s="173">
        <v>58</v>
      </c>
      <c r="B68" s="186" t="str">
        <f>VLOOKUP($A68,wedstrijden,6,0)&amp;"-"&amp;VLOOKUP($A68,wedstrijden,10,0)</f>
        <v>Frankrijk-Duitsland</v>
      </c>
      <c r="C68" s="303">
        <f ca="1">IF(VLOOKUP($A68,INDIRECT(C$1&amp;loc_voorspell),15,0)&lt;&gt;"",VLOOKUP($A68,INDIRECT(C$1&amp;loc_voorspell),15,0)+C67,"")</f>
        <v>350</v>
      </c>
      <c r="D68" s="303">
        <f ca="1">IF(VLOOKUP($A68,INDIRECT(D$1&amp;loc_voorspell),15,0)&lt;&gt;"",VLOOKUP($A68,INDIRECT(D$1&amp;loc_voorspell),15,0)+D67,"")</f>
        <v>380</v>
      </c>
      <c r="E68" s="303">
        <f ca="1">IF(VLOOKUP($A68,INDIRECT(E$1&amp;loc_voorspell),15,0)&lt;&gt;"",VLOOKUP($A68,INDIRECT(E$1&amp;loc_voorspell),15,0)+E67,"")</f>
        <v>320</v>
      </c>
      <c r="F68" s="303">
        <f ca="1">IF(VLOOKUP($A68,INDIRECT(F$1&amp;loc_voorspell),15,0)&lt;&gt;"",VLOOKUP($A68,INDIRECT(F$1&amp;loc_voorspell),15,0)+F67,"")</f>
        <v>365</v>
      </c>
      <c r="G68" s="303">
        <f ca="1">IF(VLOOKUP($A68,INDIRECT(G$1&amp;loc_voorspell),15,0)&lt;&gt;"",VLOOKUP($A68,INDIRECT(G$1&amp;loc_voorspell),15,0)+G67,"")</f>
        <v>365</v>
      </c>
      <c r="H68" s="303">
        <f ca="1">IF(VLOOKUP($A68,INDIRECT(H$1&amp;loc_voorspell),15,0)&lt;&gt;"",VLOOKUP($A68,INDIRECT(H$1&amp;loc_voorspell),15,0)+H67,"")</f>
        <v>310</v>
      </c>
      <c r="I68" s="303">
        <f ca="1">IF(VLOOKUP($A68,INDIRECT(I$1&amp;loc_voorspell),15,0)&lt;&gt;"",VLOOKUP($A68,INDIRECT(I$1&amp;loc_voorspell),15,0)+I67,"")</f>
        <v>295</v>
      </c>
      <c r="J68" s="303">
        <f ca="1">IF(VLOOKUP($A68,INDIRECT(J$1&amp;loc_voorspell),15,0)&lt;&gt;"",VLOOKUP($A68,INDIRECT(J$1&amp;loc_voorspell),15,0)+J67,"")</f>
        <v>345</v>
      </c>
      <c r="K68" s="303">
        <f ca="1">IF(VLOOKUP($A68,INDIRECT(K$1&amp;loc_voorspell),15,0)&lt;&gt;"",VLOOKUP($A68,INDIRECT(K$1&amp;loc_voorspell),15,0)+K67,"")</f>
        <v>320</v>
      </c>
      <c r="L68" s="303">
        <f ca="1">IF(VLOOKUP($A68,INDIRECT(L$1&amp;loc_voorspell),15,0)&lt;&gt;"",VLOOKUP($A68,INDIRECT(L$1&amp;loc_voorspell),15,0)+L67,"")</f>
        <v>300</v>
      </c>
      <c r="M68" s="303">
        <f ca="1">IF(VLOOKUP($A68,INDIRECT(M$1&amp;loc_voorspell),15,0)&lt;&gt;"",VLOOKUP($A68,INDIRECT(M$1&amp;loc_voorspell),15,0)+M67,"")</f>
        <v>345</v>
      </c>
      <c r="N68" s="303">
        <f ca="1">IF(VLOOKUP($A68,INDIRECT(N$1&amp;loc_voorspell),15,0)&lt;&gt;"",VLOOKUP($A68,INDIRECT(N$1&amp;loc_voorspell),15,0)+N67,"")</f>
        <v>340</v>
      </c>
      <c r="O68" s="303">
        <f ca="1">IF(VLOOKUP($A68,INDIRECT(O$1&amp;loc_voorspell),15,0)&lt;&gt;"",VLOOKUP($A68,INDIRECT(O$1&amp;loc_voorspell),15,0)+O67,"")</f>
        <v>370</v>
      </c>
      <c r="P68" s="303">
        <f ca="1">IF(VLOOKUP($A68,INDIRECT(P$1&amp;loc_voorspell),15,0)&lt;&gt;"",VLOOKUP($A68,INDIRECT(P$1&amp;loc_voorspell),15,0)+P67,"")</f>
        <v>310</v>
      </c>
      <c r="Q68" s="303">
        <f ca="1">IF(VLOOKUP($A68,INDIRECT(Q$1&amp;loc_voorspell),15,0)&lt;&gt;"",VLOOKUP($A68,INDIRECT(Q$1&amp;loc_voorspell),15,0)+Q67,"")</f>
        <v>340</v>
      </c>
      <c r="R68" s="303">
        <f ca="1">IF(VLOOKUP($A68,INDIRECT(R$1&amp;loc_voorspell),15,0)&lt;&gt;"",VLOOKUP($A68,INDIRECT(R$1&amp;loc_voorspell),15,0)+R67,"")</f>
        <v>340</v>
      </c>
      <c r="S68" s="303">
        <f ca="1">IF(VLOOKUP($A68,INDIRECT(S$1&amp;loc_voorspell),15,0)&lt;&gt;"",VLOOKUP($A68,INDIRECT(S$1&amp;loc_voorspell),15,0)+S67,"")</f>
        <v>285</v>
      </c>
      <c r="T68" s="303">
        <f ca="1">IF(VLOOKUP($A68,INDIRECT(T$1&amp;loc_voorspell),15,0)&lt;&gt;"",VLOOKUP($A68,INDIRECT(T$1&amp;loc_voorspell),15,0)+T67,"")</f>
        <v>320</v>
      </c>
      <c r="U68" s="303">
        <f ca="1">IF(VLOOKUP($A68,INDIRECT(U$1&amp;loc_voorspell),15,0)&lt;&gt;"",VLOOKUP($A68,INDIRECT(U$1&amp;loc_voorspell),15,0)+U67,"")</f>
        <v>265</v>
      </c>
      <c r="V68" s="303">
        <f ca="1">IF(VLOOKUP($A68,INDIRECT(V$1&amp;loc_voorspell),15,0)&lt;&gt;"",VLOOKUP($A68,INDIRECT(V$1&amp;loc_voorspell),15,0)+V67,"")</f>
        <v>270</v>
      </c>
      <c r="W68" s="303">
        <f ca="1">IF(VLOOKUP($A68,INDIRECT(W$1&amp;loc_voorspell),15,0)&lt;&gt;"",VLOOKUP($A68,INDIRECT(W$1&amp;loc_voorspell),15,0)+W67,"")</f>
        <v>315</v>
      </c>
      <c r="X68" s="303">
        <f ca="1">IF(VLOOKUP($A68,INDIRECT(X$1&amp;loc_voorspell),15,0)&lt;&gt;"",VLOOKUP($A68,INDIRECT(X$1&amp;loc_voorspell),15,0)+X67,"")</f>
        <v>255</v>
      </c>
      <c r="Y68" s="303">
        <f ca="1">IF(VLOOKUP($A68,INDIRECT(Y$1&amp;loc_voorspell),15,0)&lt;&gt;"",VLOOKUP($A68,INDIRECT(Y$1&amp;loc_voorspell),15,0)+Y67,"")</f>
        <v>300</v>
      </c>
      <c r="Z68" s="303">
        <f ca="1">IF(VLOOKUP($A68,INDIRECT(Z$1&amp;loc_voorspell),15,0)&lt;&gt;"",VLOOKUP($A68,INDIRECT(Z$1&amp;loc_voorspell),15,0)+Z67,"")</f>
        <v>300</v>
      </c>
      <c r="AA68" s="165">
        <f t="shared" ca="1" si="77"/>
        <v>321.04166666666669</v>
      </c>
      <c r="AB68" s="178">
        <f t="shared" ca="1" si="41"/>
        <v>5.2083333333333712</v>
      </c>
      <c r="AC68" s="331" t="str">
        <f t="shared" si="78"/>
        <v>Frankrijk-Duitsland</v>
      </c>
      <c r="AD68" s="179">
        <f t="shared" ca="1" si="54"/>
        <v>28.958333333333314</v>
      </c>
      <c r="AE68" s="179">
        <f t="shared" ca="1" si="55"/>
        <v>58.958333333333314</v>
      </c>
      <c r="AF68" s="179">
        <f t="shared" ca="1" si="56"/>
        <v>-1.0416666666666856</v>
      </c>
      <c r="AG68" s="179">
        <f t="shared" ca="1" si="57"/>
        <v>43.958333333333314</v>
      </c>
      <c r="AH68" s="179">
        <f t="shared" ca="1" si="58"/>
        <v>43.958333333333314</v>
      </c>
      <c r="AI68" s="179">
        <f t="shared" ca="1" si="59"/>
        <v>-11.041666666666686</v>
      </c>
      <c r="AJ68" s="179">
        <f t="shared" ca="1" si="60"/>
        <v>-26.041666666666686</v>
      </c>
      <c r="AK68" s="179">
        <f t="shared" ca="1" si="61"/>
        <v>23.958333333333314</v>
      </c>
      <c r="AL68" s="179">
        <f t="shared" ca="1" si="62"/>
        <v>-1.0416666666666856</v>
      </c>
      <c r="AM68" s="179">
        <f t="shared" ca="1" si="63"/>
        <v>-21.041666666666686</v>
      </c>
      <c r="AN68" s="179">
        <f t="shared" ca="1" si="64"/>
        <v>23.958333333333314</v>
      </c>
      <c r="AO68" s="179">
        <f t="shared" ca="1" si="65"/>
        <v>48.958333333333314</v>
      </c>
      <c r="AP68" s="179">
        <f t="shared" ca="1" si="66"/>
        <v>48.958333333333314</v>
      </c>
      <c r="AQ68" s="179">
        <f t="shared" ca="1" si="66"/>
        <v>-11.041666666666686</v>
      </c>
      <c r="AR68" s="179">
        <f t="shared" ca="1" si="67"/>
        <v>18.958333333333314</v>
      </c>
      <c r="AS68" s="179">
        <f t="shared" ca="1" si="68"/>
        <v>18.958333333333314</v>
      </c>
      <c r="AT68" s="179">
        <f t="shared" ca="1" si="69"/>
        <v>-36.041666666666686</v>
      </c>
      <c r="AU68" s="179">
        <f t="shared" ca="1" si="70"/>
        <v>-1.0416666666666856</v>
      </c>
      <c r="AV68" s="179">
        <f t="shared" ca="1" si="71"/>
        <v>-56.041666666666686</v>
      </c>
      <c r="AW68" s="179">
        <f t="shared" ca="1" si="72"/>
        <v>-51.041666666666686</v>
      </c>
      <c r="AX68" s="179">
        <f t="shared" ca="1" si="73"/>
        <v>-6.0416666666666856</v>
      </c>
      <c r="AY68" s="179">
        <f t="shared" ca="1" si="74"/>
        <v>-66.041666666666686</v>
      </c>
      <c r="AZ68" s="179">
        <f t="shared" ca="1" si="75"/>
        <v>-21.041666666666686</v>
      </c>
      <c r="BA68" s="179">
        <f t="shared" ca="1" si="76"/>
        <v>-21.041666666666686</v>
      </c>
    </row>
    <row r="69" spans="1:53">
      <c r="A69" s="173">
        <v>59</v>
      </c>
      <c r="B69" s="185" t="str">
        <f>VLOOKUP($A69,wedstrijden,6,0)&amp;"-"&amp;VLOOKUP($A69,wedstrijden,10,0)</f>
        <v>Nederland-Costa Rica</v>
      </c>
      <c r="C69" s="302">
        <f ca="1">IF(VLOOKUP($A69,INDIRECT(C$1&amp;loc_voorspell),15,0)&lt;&gt;"",VLOOKUP($A69,INDIRECT(C$1&amp;loc_voorspell),15,0)+C68,"")</f>
        <v>350</v>
      </c>
      <c r="D69" s="302">
        <f ca="1">IF(VLOOKUP($A69,INDIRECT(D$1&amp;loc_voorspell),15,0)&lt;&gt;"",VLOOKUP($A69,INDIRECT(D$1&amp;loc_voorspell),15,0)+D68,"")</f>
        <v>380</v>
      </c>
      <c r="E69" s="302">
        <f ca="1">IF(VLOOKUP($A69,INDIRECT(E$1&amp;loc_voorspell),15,0)&lt;&gt;"",VLOOKUP($A69,INDIRECT(E$1&amp;loc_voorspell),15,0)+E68,"")</f>
        <v>320</v>
      </c>
      <c r="F69" s="302">
        <f ca="1">IF(VLOOKUP($A69,INDIRECT(F$1&amp;loc_voorspell),15,0)&lt;&gt;"",VLOOKUP($A69,INDIRECT(F$1&amp;loc_voorspell),15,0)+F68,"")</f>
        <v>365</v>
      </c>
      <c r="G69" s="302">
        <f ca="1">IF(VLOOKUP($A69,INDIRECT(G$1&amp;loc_voorspell),15,0)&lt;&gt;"",VLOOKUP($A69,INDIRECT(G$1&amp;loc_voorspell),15,0)+G68,"")</f>
        <v>370</v>
      </c>
      <c r="H69" s="302">
        <f ca="1">IF(VLOOKUP($A69,INDIRECT(H$1&amp;loc_voorspell),15,0)&lt;&gt;"",VLOOKUP($A69,INDIRECT(H$1&amp;loc_voorspell),15,0)+H68,"")</f>
        <v>315</v>
      </c>
      <c r="I69" s="302">
        <f ca="1">IF(VLOOKUP($A69,INDIRECT(I$1&amp;loc_voorspell),15,0)&lt;&gt;"",VLOOKUP($A69,INDIRECT(I$1&amp;loc_voorspell),15,0)+I68,"")</f>
        <v>295</v>
      </c>
      <c r="J69" s="302">
        <f ca="1">IF(VLOOKUP($A69,INDIRECT(J$1&amp;loc_voorspell),15,0)&lt;&gt;"",VLOOKUP($A69,INDIRECT(J$1&amp;loc_voorspell),15,0)+J68,"")</f>
        <v>345</v>
      </c>
      <c r="K69" s="302">
        <f ca="1">IF(VLOOKUP($A69,INDIRECT(K$1&amp;loc_voorspell),15,0)&lt;&gt;"",VLOOKUP($A69,INDIRECT(K$1&amp;loc_voorspell),15,0)+K68,"")</f>
        <v>320</v>
      </c>
      <c r="L69" s="302">
        <f ca="1">IF(VLOOKUP($A69,INDIRECT(L$1&amp;loc_voorspell),15,0)&lt;&gt;"",VLOOKUP($A69,INDIRECT(L$1&amp;loc_voorspell),15,0)+L68,"")</f>
        <v>305</v>
      </c>
      <c r="M69" s="302">
        <f ca="1">IF(VLOOKUP($A69,INDIRECT(M$1&amp;loc_voorspell),15,0)&lt;&gt;"",VLOOKUP($A69,INDIRECT(M$1&amp;loc_voorspell),15,0)+M68,"")</f>
        <v>345</v>
      </c>
      <c r="N69" s="302">
        <f ca="1">IF(VLOOKUP($A69,INDIRECT(N$1&amp;loc_voorspell),15,0)&lt;&gt;"",VLOOKUP($A69,INDIRECT(N$1&amp;loc_voorspell),15,0)+N68,"")</f>
        <v>340</v>
      </c>
      <c r="O69" s="302">
        <f ca="1">IF(VLOOKUP($A69,INDIRECT(O$1&amp;loc_voorspell),15,0)&lt;&gt;"",VLOOKUP($A69,INDIRECT(O$1&amp;loc_voorspell),15,0)+O68,"")</f>
        <v>370</v>
      </c>
      <c r="P69" s="302">
        <f ca="1">IF(VLOOKUP($A69,INDIRECT(P$1&amp;loc_voorspell),15,0)&lt;&gt;"",VLOOKUP($A69,INDIRECT(P$1&amp;loc_voorspell),15,0)+P68,"")</f>
        <v>320</v>
      </c>
      <c r="Q69" s="302">
        <f ca="1">IF(VLOOKUP($A69,INDIRECT(Q$1&amp;loc_voorspell),15,0)&lt;&gt;"",VLOOKUP($A69,INDIRECT(Q$1&amp;loc_voorspell),15,0)+Q68,"")</f>
        <v>340</v>
      </c>
      <c r="R69" s="302">
        <f ca="1">IF(VLOOKUP($A69,INDIRECT(R$1&amp;loc_voorspell),15,0)&lt;&gt;"",VLOOKUP($A69,INDIRECT(R$1&amp;loc_voorspell),15,0)+R68,"")</f>
        <v>340</v>
      </c>
      <c r="S69" s="302">
        <f ca="1">IF(VLOOKUP($A69,INDIRECT(S$1&amp;loc_voorspell),15,0)&lt;&gt;"",VLOOKUP($A69,INDIRECT(S$1&amp;loc_voorspell),15,0)+S68,"")</f>
        <v>285</v>
      </c>
      <c r="T69" s="302">
        <f ca="1">IF(VLOOKUP($A69,INDIRECT(T$1&amp;loc_voorspell),15,0)&lt;&gt;"",VLOOKUP($A69,INDIRECT(T$1&amp;loc_voorspell),15,0)+T68,"")</f>
        <v>320</v>
      </c>
      <c r="U69" s="302">
        <f ca="1">IF(VLOOKUP($A69,INDIRECT(U$1&amp;loc_voorspell),15,0)&lt;&gt;"",VLOOKUP($A69,INDIRECT(U$1&amp;loc_voorspell),15,0)+U68,"")</f>
        <v>270</v>
      </c>
      <c r="V69" s="302">
        <f ca="1">IF(VLOOKUP($A69,INDIRECT(V$1&amp;loc_voorspell),15,0)&lt;&gt;"",VLOOKUP($A69,INDIRECT(V$1&amp;loc_voorspell),15,0)+V68,"")</f>
        <v>270</v>
      </c>
      <c r="W69" s="302">
        <f ca="1">IF(VLOOKUP($A69,INDIRECT(W$1&amp;loc_voorspell),15,0)&lt;&gt;"",VLOOKUP($A69,INDIRECT(W$1&amp;loc_voorspell),15,0)+W68,"")</f>
        <v>315</v>
      </c>
      <c r="X69" s="302">
        <f ca="1">IF(VLOOKUP($A69,INDIRECT(X$1&amp;loc_voorspell),15,0)&lt;&gt;"",VLOOKUP($A69,INDIRECT(X$1&amp;loc_voorspell),15,0)+X68,"")</f>
        <v>255</v>
      </c>
      <c r="Y69" s="302">
        <f ca="1">IF(VLOOKUP($A69,INDIRECT(Y$1&amp;loc_voorspell),15,0)&lt;&gt;"",VLOOKUP($A69,INDIRECT(Y$1&amp;loc_voorspell),15,0)+Y68,"")</f>
        <v>305</v>
      </c>
      <c r="Z69" s="302">
        <f ca="1">IF(VLOOKUP($A69,INDIRECT(Z$1&amp;loc_voorspell),15,0)&lt;&gt;"",VLOOKUP($A69,INDIRECT(Z$1&amp;loc_voorspell),15,0)+Z68,"")</f>
        <v>300</v>
      </c>
      <c r="AA69" s="165">
        <f t="shared" ca="1" si="77"/>
        <v>322.5</v>
      </c>
      <c r="AB69" s="178">
        <f t="shared" ca="1" si="41"/>
        <v>1.4583333333333144</v>
      </c>
      <c r="AC69" s="331" t="str">
        <f t="shared" si="78"/>
        <v>Nederland-Costa Rica</v>
      </c>
      <c r="AD69" s="179">
        <f t="shared" ca="1" si="54"/>
        <v>27.5</v>
      </c>
      <c r="AE69" s="179">
        <f t="shared" ca="1" si="55"/>
        <v>57.5</v>
      </c>
      <c r="AF69" s="179">
        <f t="shared" ca="1" si="56"/>
        <v>-2.5</v>
      </c>
      <c r="AG69" s="179">
        <f t="shared" ca="1" si="57"/>
        <v>42.5</v>
      </c>
      <c r="AH69" s="179">
        <f t="shared" ca="1" si="58"/>
        <v>47.5</v>
      </c>
      <c r="AI69" s="179">
        <f t="shared" ca="1" si="59"/>
        <v>-7.5</v>
      </c>
      <c r="AJ69" s="179">
        <f t="shared" ca="1" si="60"/>
        <v>-27.5</v>
      </c>
      <c r="AK69" s="179">
        <f t="shared" ca="1" si="61"/>
        <v>22.5</v>
      </c>
      <c r="AL69" s="179">
        <f t="shared" ca="1" si="62"/>
        <v>-2.5</v>
      </c>
      <c r="AM69" s="179">
        <f t="shared" ca="1" si="63"/>
        <v>-17.5</v>
      </c>
      <c r="AN69" s="179">
        <f t="shared" ca="1" si="64"/>
        <v>22.5</v>
      </c>
      <c r="AO69" s="179">
        <f t="shared" ca="1" si="65"/>
        <v>47.5</v>
      </c>
      <c r="AP69" s="179">
        <f t="shared" ca="1" si="66"/>
        <v>47.5</v>
      </c>
      <c r="AQ69" s="179">
        <f t="shared" ca="1" si="66"/>
        <v>-2.5</v>
      </c>
      <c r="AR69" s="179">
        <f t="shared" ca="1" si="67"/>
        <v>17.5</v>
      </c>
      <c r="AS69" s="179">
        <f t="shared" ca="1" si="68"/>
        <v>17.5</v>
      </c>
      <c r="AT69" s="179">
        <f t="shared" ca="1" si="69"/>
        <v>-37.5</v>
      </c>
      <c r="AU69" s="179">
        <f t="shared" ca="1" si="70"/>
        <v>-2.5</v>
      </c>
      <c r="AV69" s="179">
        <f t="shared" ca="1" si="71"/>
        <v>-52.5</v>
      </c>
      <c r="AW69" s="179">
        <f t="shared" ca="1" si="72"/>
        <v>-52.5</v>
      </c>
      <c r="AX69" s="179">
        <f t="shared" ca="1" si="73"/>
        <v>-7.5</v>
      </c>
      <c r="AY69" s="179">
        <f t="shared" ca="1" si="74"/>
        <v>-67.5</v>
      </c>
      <c r="AZ69" s="179">
        <f t="shared" ca="1" si="75"/>
        <v>-17.5</v>
      </c>
      <c r="BA69" s="179">
        <f t="shared" ca="1" si="76"/>
        <v>-22.5</v>
      </c>
    </row>
    <row r="70" spans="1:53">
      <c r="A70" s="173">
        <v>60</v>
      </c>
      <c r="B70" s="186" t="str">
        <f>VLOOKUP($A70,wedstrijden,6,0)&amp;"-"&amp;VLOOKUP($A70,wedstrijden,10,0)</f>
        <v>Argentinië-België</v>
      </c>
      <c r="C70" s="303">
        <f ca="1">IF(VLOOKUP($A70,INDIRECT(C$1&amp;loc_voorspell),15,0)&lt;&gt;"",VLOOKUP($A70,INDIRECT(C$1&amp;loc_voorspell),15,0)+C69,"")</f>
        <v>355</v>
      </c>
      <c r="D70" s="303">
        <f ca="1">IF(VLOOKUP($A70,INDIRECT(D$1&amp;loc_voorspell),15,0)&lt;&gt;"",VLOOKUP($A70,INDIRECT(D$1&amp;loc_voorspell),15,0)+D69,"")</f>
        <v>385</v>
      </c>
      <c r="E70" s="303">
        <f ca="1">IF(VLOOKUP($A70,INDIRECT(E$1&amp;loc_voorspell),15,0)&lt;&gt;"",VLOOKUP($A70,INDIRECT(E$1&amp;loc_voorspell),15,0)+E69,"")</f>
        <v>325</v>
      </c>
      <c r="F70" s="303">
        <f ca="1">IF(VLOOKUP($A70,INDIRECT(F$1&amp;loc_voorspell),15,0)&lt;&gt;"",VLOOKUP($A70,INDIRECT(F$1&amp;loc_voorspell),15,0)+F69,"")</f>
        <v>370</v>
      </c>
      <c r="G70" s="303">
        <f ca="1">IF(VLOOKUP($A70,INDIRECT(G$1&amp;loc_voorspell),15,0)&lt;&gt;"",VLOOKUP($A70,INDIRECT(G$1&amp;loc_voorspell),15,0)+G69,"")</f>
        <v>370</v>
      </c>
      <c r="H70" s="303">
        <f ca="1">IF(VLOOKUP($A70,INDIRECT(H$1&amp;loc_voorspell),15,0)&lt;&gt;"",VLOOKUP($A70,INDIRECT(H$1&amp;loc_voorspell),15,0)+H69,"")</f>
        <v>320</v>
      </c>
      <c r="I70" s="303">
        <f ca="1">IF(VLOOKUP($A70,INDIRECT(I$1&amp;loc_voorspell),15,0)&lt;&gt;"",VLOOKUP($A70,INDIRECT(I$1&amp;loc_voorspell),15,0)+I69,"")</f>
        <v>295</v>
      </c>
      <c r="J70" s="303">
        <f ca="1">IF(VLOOKUP($A70,INDIRECT(J$1&amp;loc_voorspell),15,0)&lt;&gt;"",VLOOKUP($A70,INDIRECT(J$1&amp;loc_voorspell),15,0)+J69,"")</f>
        <v>345</v>
      </c>
      <c r="K70" s="303">
        <f ca="1">IF(VLOOKUP($A70,INDIRECT(K$1&amp;loc_voorspell),15,0)&lt;&gt;"",VLOOKUP($A70,INDIRECT(K$1&amp;loc_voorspell),15,0)+K69,"")</f>
        <v>330</v>
      </c>
      <c r="L70" s="303">
        <f ca="1">IF(VLOOKUP($A70,INDIRECT(L$1&amp;loc_voorspell),15,0)&lt;&gt;"",VLOOKUP($A70,INDIRECT(L$1&amp;loc_voorspell),15,0)+L69,"")</f>
        <v>305</v>
      </c>
      <c r="M70" s="303">
        <f ca="1">IF(VLOOKUP($A70,INDIRECT(M$1&amp;loc_voorspell),15,0)&lt;&gt;"",VLOOKUP($A70,INDIRECT(M$1&amp;loc_voorspell),15,0)+M69,"")</f>
        <v>350</v>
      </c>
      <c r="N70" s="303">
        <f ca="1">IF(VLOOKUP($A70,INDIRECT(N$1&amp;loc_voorspell),15,0)&lt;&gt;"",VLOOKUP($A70,INDIRECT(N$1&amp;loc_voorspell),15,0)+N69,"")</f>
        <v>345</v>
      </c>
      <c r="O70" s="303">
        <f ca="1">IF(VLOOKUP($A70,INDIRECT(O$1&amp;loc_voorspell),15,0)&lt;&gt;"",VLOOKUP($A70,INDIRECT(O$1&amp;loc_voorspell),15,0)+O69,"")</f>
        <v>370</v>
      </c>
      <c r="P70" s="303">
        <f ca="1">IF(VLOOKUP($A70,INDIRECT(P$1&amp;loc_voorspell),15,0)&lt;&gt;"",VLOOKUP($A70,INDIRECT(P$1&amp;loc_voorspell),15,0)+P69,"")</f>
        <v>325</v>
      </c>
      <c r="Q70" s="303">
        <f ca="1">IF(VLOOKUP($A70,INDIRECT(Q$1&amp;loc_voorspell),15,0)&lt;&gt;"",VLOOKUP($A70,INDIRECT(Q$1&amp;loc_voorspell),15,0)+Q69,"")</f>
        <v>345</v>
      </c>
      <c r="R70" s="303">
        <f ca="1">IF(VLOOKUP($A70,INDIRECT(R$1&amp;loc_voorspell),15,0)&lt;&gt;"",VLOOKUP($A70,INDIRECT(R$1&amp;loc_voorspell),15,0)+R69,"")</f>
        <v>340</v>
      </c>
      <c r="S70" s="303">
        <f ca="1">IF(VLOOKUP($A70,INDIRECT(S$1&amp;loc_voorspell),15,0)&lt;&gt;"",VLOOKUP($A70,INDIRECT(S$1&amp;loc_voorspell),15,0)+S69,"")</f>
        <v>295</v>
      </c>
      <c r="T70" s="303">
        <f ca="1">IF(VLOOKUP($A70,INDIRECT(T$1&amp;loc_voorspell),15,0)&lt;&gt;"",VLOOKUP($A70,INDIRECT(T$1&amp;loc_voorspell),15,0)+T69,"")</f>
        <v>325</v>
      </c>
      <c r="U70" s="303">
        <f ca="1">IF(VLOOKUP($A70,INDIRECT(U$1&amp;loc_voorspell),15,0)&lt;&gt;"",VLOOKUP($A70,INDIRECT(U$1&amp;loc_voorspell),15,0)+U69,"")</f>
        <v>275</v>
      </c>
      <c r="V70" s="303">
        <f ca="1">IF(VLOOKUP($A70,INDIRECT(V$1&amp;loc_voorspell),15,0)&lt;&gt;"",VLOOKUP($A70,INDIRECT(V$1&amp;loc_voorspell),15,0)+V69,"")</f>
        <v>275</v>
      </c>
      <c r="W70" s="303">
        <f ca="1">IF(VLOOKUP($A70,INDIRECT(W$1&amp;loc_voorspell),15,0)&lt;&gt;"",VLOOKUP($A70,INDIRECT(W$1&amp;loc_voorspell),15,0)+W69,"")</f>
        <v>325</v>
      </c>
      <c r="X70" s="303">
        <f ca="1">IF(VLOOKUP($A70,INDIRECT(X$1&amp;loc_voorspell),15,0)&lt;&gt;"",VLOOKUP($A70,INDIRECT(X$1&amp;loc_voorspell),15,0)+X69,"")</f>
        <v>260</v>
      </c>
      <c r="Y70" s="303">
        <f ca="1">IF(VLOOKUP($A70,INDIRECT(Y$1&amp;loc_voorspell),15,0)&lt;&gt;"",VLOOKUP($A70,INDIRECT(Y$1&amp;loc_voorspell),15,0)+Y69,"")</f>
        <v>305</v>
      </c>
      <c r="Z70" s="303">
        <f ca="1">IF(VLOOKUP($A70,INDIRECT(Z$1&amp;loc_voorspell),15,0)&lt;&gt;"",VLOOKUP($A70,INDIRECT(Z$1&amp;loc_voorspell),15,0)+Z69,"")</f>
        <v>305</v>
      </c>
      <c r="AA70" s="165">
        <f t="shared" ca="1" si="77"/>
        <v>326.66666666666669</v>
      </c>
      <c r="AB70" s="178">
        <f t="shared" ca="1" si="41"/>
        <v>4.1666666666666856</v>
      </c>
      <c r="AC70" s="331" t="str">
        <f t="shared" si="78"/>
        <v>Argentinië-België</v>
      </c>
      <c r="AD70" s="179">
        <f t="shared" ca="1" si="54"/>
        <v>28.333333333333314</v>
      </c>
      <c r="AE70" s="179">
        <f t="shared" ca="1" si="55"/>
        <v>58.333333333333314</v>
      </c>
      <c r="AF70" s="179">
        <f t="shared" ca="1" si="56"/>
        <v>-1.6666666666666856</v>
      </c>
      <c r="AG70" s="179">
        <f t="shared" ca="1" si="57"/>
        <v>43.333333333333314</v>
      </c>
      <c r="AH70" s="179">
        <f t="shared" ca="1" si="58"/>
        <v>43.333333333333314</v>
      </c>
      <c r="AI70" s="179">
        <f t="shared" ca="1" si="59"/>
        <v>-6.6666666666666856</v>
      </c>
      <c r="AJ70" s="179">
        <f t="shared" ca="1" si="60"/>
        <v>-31.666666666666686</v>
      </c>
      <c r="AK70" s="179">
        <f t="shared" ca="1" si="61"/>
        <v>18.333333333333314</v>
      </c>
      <c r="AL70" s="179">
        <f t="shared" ca="1" si="62"/>
        <v>3.3333333333333144</v>
      </c>
      <c r="AM70" s="179">
        <f t="shared" ca="1" si="63"/>
        <v>-21.666666666666686</v>
      </c>
      <c r="AN70" s="179">
        <f t="shared" ca="1" si="64"/>
        <v>23.333333333333314</v>
      </c>
      <c r="AO70" s="179">
        <f t="shared" ca="1" si="65"/>
        <v>43.333333333333314</v>
      </c>
      <c r="AP70" s="179">
        <f t="shared" ca="1" si="66"/>
        <v>43.333333333333314</v>
      </c>
      <c r="AQ70" s="179">
        <f t="shared" ca="1" si="66"/>
        <v>-1.6666666666666856</v>
      </c>
      <c r="AR70" s="179">
        <f t="shared" ca="1" si="67"/>
        <v>18.333333333333314</v>
      </c>
      <c r="AS70" s="179">
        <f t="shared" ca="1" si="68"/>
        <v>13.333333333333314</v>
      </c>
      <c r="AT70" s="179">
        <f t="shared" ca="1" si="69"/>
        <v>-31.666666666666686</v>
      </c>
      <c r="AU70" s="179">
        <f t="shared" ca="1" si="70"/>
        <v>-1.6666666666666856</v>
      </c>
      <c r="AV70" s="179">
        <f t="shared" ca="1" si="71"/>
        <v>-51.666666666666686</v>
      </c>
      <c r="AW70" s="179">
        <f t="shared" ca="1" si="72"/>
        <v>-51.666666666666686</v>
      </c>
      <c r="AX70" s="179">
        <f t="shared" ca="1" si="73"/>
        <v>-1.6666666666666856</v>
      </c>
      <c r="AY70" s="179">
        <f t="shared" ca="1" si="74"/>
        <v>-66.666666666666686</v>
      </c>
      <c r="AZ70" s="179">
        <f t="shared" ca="1" si="75"/>
        <v>-21.666666666666686</v>
      </c>
      <c r="BA70" s="179">
        <f t="shared" ca="1" si="76"/>
        <v>-21.666666666666686</v>
      </c>
    </row>
    <row r="71" spans="1:53" s="164" customFormat="1">
      <c r="A71" s="180" t="str">
        <f>B71</f>
        <v>Boni 1/2</v>
      </c>
      <c r="B71" s="181" t="s">
        <v>83</v>
      </c>
      <c r="C71" s="181">
        <f ca="1">IF(C70="","",INDIRECT(C$1&amp;"!$L$7")+MAX(C67:C70))</f>
        <v>415</v>
      </c>
      <c r="D71" s="181">
        <f ca="1">IF(D70="","",INDIRECT(D$1&amp;"!$L$7")+MAX(D67:D70))</f>
        <v>465</v>
      </c>
      <c r="E71" s="181">
        <f ca="1">IF(E70="","",INDIRECT(E$1&amp;"!$L$7")+MAX(E67:E70))</f>
        <v>385</v>
      </c>
      <c r="F71" s="181">
        <f ca="1">IF(F70="","",INDIRECT(F$1&amp;"!$L$7")+MAX(F67:F70))</f>
        <v>430</v>
      </c>
      <c r="G71" s="181">
        <f ca="1">IF(G70="","",INDIRECT(G$1&amp;"!$L$7")+MAX(G67:G70))</f>
        <v>410</v>
      </c>
      <c r="H71" s="181">
        <f ca="1">IF(H70="","",INDIRECT(H$1&amp;"!$L$7")+MAX(H67:H70))</f>
        <v>380</v>
      </c>
      <c r="I71" s="181">
        <f ca="1">IF(I70="","",INDIRECT(I$1&amp;"!$L$7")+MAX(I67:I70))</f>
        <v>335</v>
      </c>
      <c r="J71" s="181">
        <f ca="1">IF(J70="","",INDIRECT(J$1&amp;"!$L$7")+MAX(J67:J70))</f>
        <v>385</v>
      </c>
      <c r="K71" s="181">
        <f ca="1">IF(K70="","",INDIRECT(K$1&amp;"!$L$7")+MAX(K67:K70))</f>
        <v>390</v>
      </c>
      <c r="L71" s="181">
        <f ca="1">IF(L70="","",INDIRECT(L$1&amp;"!$L$7")+MAX(L67:L70))</f>
        <v>325</v>
      </c>
      <c r="M71" s="181">
        <f ca="1">IF(M70="","",INDIRECT(M$1&amp;"!$L$7")+MAX(M67:M70))</f>
        <v>390</v>
      </c>
      <c r="N71" s="181">
        <f ca="1">IF(N70="","",INDIRECT(N$1&amp;"!$L$7")+MAX(N67:N70))</f>
        <v>405</v>
      </c>
      <c r="O71" s="181">
        <f ca="1">IF(O70="","",INDIRECT(O$1&amp;"!$L$7")+MAX(O67:O70))</f>
        <v>430</v>
      </c>
      <c r="P71" s="181">
        <f ca="1">IF(P70="","",INDIRECT(P$1&amp;"!$L$7")+MAX(P67:P70))</f>
        <v>385</v>
      </c>
      <c r="Q71" s="181">
        <f ca="1">IF(Q70="","",INDIRECT(Q$1&amp;"!$L$7")+MAX(Q67:Q70))</f>
        <v>385</v>
      </c>
      <c r="R71" s="181">
        <f ca="1">IF(R70="","",INDIRECT(R$1&amp;"!$L$7")+MAX(R67:R70))</f>
        <v>400</v>
      </c>
      <c r="S71" s="181">
        <f ca="1">IF(S70="","",INDIRECT(S$1&amp;"!$L$7")+MAX(S67:S70))</f>
        <v>355</v>
      </c>
      <c r="T71" s="181">
        <f ca="1">IF(T70="","",INDIRECT(T$1&amp;"!$L$7")+MAX(T67:T70))</f>
        <v>385</v>
      </c>
      <c r="U71" s="181">
        <f ca="1">IF(U70="","",INDIRECT(U$1&amp;"!$L$7")+MAX(U67:U70))</f>
        <v>335</v>
      </c>
      <c r="V71" s="181">
        <f ca="1">IF(V70="","",INDIRECT(V$1&amp;"!$L$7")+MAX(V67:V70))</f>
        <v>335</v>
      </c>
      <c r="W71" s="181">
        <f ca="1">IF(W70="","",INDIRECT(W$1&amp;"!$L$7")+MAX(W67:W70))</f>
        <v>365</v>
      </c>
      <c r="X71" s="181">
        <f ca="1">IF(X70="","",INDIRECT(X$1&amp;"!$L$7")+MAX(X67:X70))</f>
        <v>300</v>
      </c>
      <c r="Y71" s="181">
        <f ca="1">IF(Y70="","",INDIRECT(Y$1&amp;"!$L$7")+MAX(Y67:Y70))</f>
        <v>345</v>
      </c>
      <c r="Z71" s="181">
        <f ca="1">IF(Z70="","",INDIRECT(Z$1&amp;"!$L$7")+MAX(Z67:Z70))</f>
        <v>345</v>
      </c>
      <c r="AA71" s="165">
        <f t="shared" ca="1" si="77"/>
        <v>378.33333333333331</v>
      </c>
      <c r="AB71" s="178">
        <f ca="1">IF(AA71="","",AA71-AA70)</f>
        <v>51.666666666666629</v>
      </c>
      <c r="AC71" s="331" t="str">
        <f t="shared" si="78"/>
        <v>Boni 1/2</v>
      </c>
      <c r="AD71" s="182">
        <f t="shared" ca="1" si="54"/>
        <v>36.666666666666686</v>
      </c>
      <c r="AE71" s="182">
        <f t="shared" ca="1" si="55"/>
        <v>86.666666666666686</v>
      </c>
      <c r="AF71" s="182">
        <f t="shared" ca="1" si="56"/>
        <v>6.6666666666666856</v>
      </c>
      <c r="AG71" s="182">
        <f t="shared" ca="1" si="57"/>
        <v>51.666666666666686</v>
      </c>
      <c r="AH71" s="182">
        <f t="shared" ca="1" si="58"/>
        <v>31.666666666666686</v>
      </c>
      <c r="AI71" s="182">
        <f t="shared" ca="1" si="59"/>
        <v>1.6666666666666856</v>
      </c>
      <c r="AJ71" s="182">
        <f t="shared" ca="1" si="60"/>
        <v>-43.333333333333314</v>
      </c>
      <c r="AK71" s="182">
        <f t="shared" ca="1" si="61"/>
        <v>6.6666666666666856</v>
      </c>
      <c r="AL71" s="182">
        <f t="shared" ca="1" si="62"/>
        <v>11.666666666666686</v>
      </c>
      <c r="AM71" s="182">
        <f t="shared" ca="1" si="63"/>
        <v>-53.333333333333314</v>
      </c>
      <c r="AN71" s="182">
        <f t="shared" ca="1" si="64"/>
        <v>11.666666666666686</v>
      </c>
      <c r="AO71" s="182">
        <f t="shared" ca="1" si="65"/>
        <v>51.666666666666686</v>
      </c>
      <c r="AP71" s="182">
        <f t="shared" ca="1" si="66"/>
        <v>51.666666666666686</v>
      </c>
      <c r="AQ71" s="182">
        <f t="shared" ca="1" si="66"/>
        <v>6.6666666666666856</v>
      </c>
      <c r="AR71" s="182">
        <f t="shared" ca="1" si="67"/>
        <v>6.6666666666666856</v>
      </c>
      <c r="AS71" s="182">
        <f t="shared" ca="1" si="68"/>
        <v>21.666666666666686</v>
      </c>
      <c r="AT71" s="182">
        <f t="shared" ca="1" si="69"/>
        <v>-23.333333333333314</v>
      </c>
      <c r="AU71" s="182">
        <f t="shared" ca="1" si="70"/>
        <v>6.6666666666666856</v>
      </c>
      <c r="AV71" s="182">
        <f t="shared" ca="1" si="71"/>
        <v>-43.333333333333314</v>
      </c>
      <c r="AW71" s="182">
        <f t="shared" ca="1" si="72"/>
        <v>-43.333333333333314</v>
      </c>
      <c r="AX71" s="182">
        <f t="shared" ca="1" si="73"/>
        <v>-13.333333333333314</v>
      </c>
      <c r="AY71" s="182">
        <f t="shared" ca="1" si="74"/>
        <v>-78.333333333333314</v>
      </c>
      <c r="AZ71" s="182">
        <f t="shared" ca="1" si="75"/>
        <v>-33.333333333333314</v>
      </c>
      <c r="BA71" s="182">
        <f t="shared" ca="1" si="76"/>
        <v>-33.333333333333314</v>
      </c>
    </row>
    <row r="72" spans="1:53">
      <c r="A72" s="173">
        <v>61</v>
      </c>
      <c r="B72" s="158" t="str">
        <f>VLOOKUP($A72,wedstrijden,6,0)&amp;"-"&amp;VLOOKUP($A72,wedstrijden,10,0)</f>
        <v>Brazilië-Duitsland</v>
      </c>
      <c r="C72" s="299">
        <f ca="1">IF(VLOOKUP($A72,INDIRECT(C$1&amp;loc_voorspell),15,0)&lt;&gt;"",VLOOKUP($A72,INDIRECT(C$1&amp;loc_voorspell),15,0)+C71,"")</f>
        <v>420</v>
      </c>
      <c r="D72" s="299">
        <f ca="1">IF(VLOOKUP($A72,INDIRECT(D$1&amp;loc_voorspell),15,0)&lt;&gt;"",VLOOKUP($A72,INDIRECT(D$1&amp;loc_voorspell),15,0)+D71,"")</f>
        <v>465</v>
      </c>
      <c r="E72" s="299">
        <f ca="1">IF(VLOOKUP($A72,INDIRECT(E$1&amp;loc_voorspell),15,0)&lt;&gt;"",VLOOKUP($A72,INDIRECT(E$1&amp;loc_voorspell),15,0)+E71,"")</f>
        <v>390</v>
      </c>
      <c r="F72" s="299">
        <f ca="1">IF(VLOOKUP($A72,INDIRECT(F$1&amp;loc_voorspell),15,0)&lt;&gt;"",VLOOKUP($A72,INDIRECT(F$1&amp;loc_voorspell),15,0)+F71,"")</f>
        <v>435</v>
      </c>
      <c r="G72" s="299">
        <f ca="1">IF(VLOOKUP($A72,INDIRECT(G$1&amp;loc_voorspell),15,0)&lt;&gt;"",VLOOKUP($A72,INDIRECT(G$1&amp;loc_voorspell),15,0)+G71,"")</f>
        <v>410</v>
      </c>
      <c r="H72" s="299">
        <f ca="1">IF(VLOOKUP($A72,INDIRECT(H$1&amp;loc_voorspell),15,0)&lt;&gt;"",VLOOKUP($A72,INDIRECT(H$1&amp;loc_voorspell),15,0)+H71,"")</f>
        <v>385</v>
      </c>
      <c r="I72" s="299">
        <f ca="1">IF(VLOOKUP($A72,INDIRECT(I$1&amp;loc_voorspell),15,0)&lt;&gt;"",VLOOKUP($A72,INDIRECT(I$1&amp;loc_voorspell),15,0)+I71,"")</f>
        <v>335</v>
      </c>
      <c r="J72" s="299">
        <f ca="1">IF(VLOOKUP($A72,INDIRECT(J$1&amp;loc_voorspell),15,0)&lt;&gt;"",VLOOKUP($A72,INDIRECT(J$1&amp;loc_voorspell),15,0)+J71,"")</f>
        <v>385</v>
      </c>
      <c r="K72" s="299">
        <f ca="1">IF(VLOOKUP($A72,INDIRECT(K$1&amp;loc_voorspell),15,0)&lt;&gt;"",VLOOKUP($A72,INDIRECT(K$1&amp;loc_voorspell),15,0)+K71,"")</f>
        <v>390</v>
      </c>
      <c r="L72" s="299">
        <f ca="1">IF(VLOOKUP($A72,INDIRECT(L$1&amp;loc_voorspell),15,0)&lt;&gt;"",VLOOKUP($A72,INDIRECT(L$1&amp;loc_voorspell),15,0)+L71,"")</f>
        <v>330</v>
      </c>
      <c r="M72" s="299">
        <f ca="1">IF(VLOOKUP($A72,INDIRECT(M$1&amp;loc_voorspell),15,0)&lt;&gt;"",VLOOKUP($A72,INDIRECT(M$1&amp;loc_voorspell),15,0)+M71,"")</f>
        <v>390</v>
      </c>
      <c r="N72" s="299">
        <f ca="1">IF(VLOOKUP($A72,INDIRECT(N$1&amp;loc_voorspell),15,0)&lt;&gt;"",VLOOKUP($A72,INDIRECT(N$1&amp;loc_voorspell),15,0)+N71,"")</f>
        <v>405</v>
      </c>
      <c r="O72" s="299">
        <f ca="1">IF(VLOOKUP($A72,INDIRECT(O$1&amp;loc_voorspell),15,0)&lt;&gt;"",VLOOKUP($A72,INDIRECT(O$1&amp;loc_voorspell),15,0)+O71,"")</f>
        <v>430</v>
      </c>
      <c r="P72" s="299">
        <f ca="1">IF(VLOOKUP($A72,INDIRECT(P$1&amp;loc_voorspell),15,0)&lt;&gt;"",VLOOKUP($A72,INDIRECT(P$1&amp;loc_voorspell),15,0)+P71,"")</f>
        <v>385</v>
      </c>
      <c r="Q72" s="299">
        <f ca="1">IF(VLOOKUP($A72,INDIRECT(Q$1&amp;loc_voorspell),15,0)&lt;&gt;"",VLOOKUP($A72,INDIRECT(Q$1&amp;loc_voorspell),15,0)+Q71,"")</f>
        <v>385</v>
      </c>
      <c r="R72" s="299">
        <f ca="1">IF(VLOOKUP($A72,INDIRECT(R$1&amp;loc_voorspell),15,0)&lt;&gt;"",VLOOKUP($A72,INDIRECT(R$1&amp;loc_voorspell),15,0)+R71,"")</f>
        <v>400</v>
      </c>
      <c r="S72" s="299">
        <f ca="1">IF(VLOOKUP($A72,INDIRECT(S$1&amp;loc_voorspell),15,0)&lt;&gt;"",VLOOKUP($A72,INDIRECT(S$1&amp;loc_voorspell),15,0)+S71,"")</f>
        <v>355</v>
      </c>
      <c r="T72" s="299">
        <f ca="1">IF(VLOOKUP($A72,INDIRECT(T$1&amp;loc_voorspell),15,0)&lt;&gt;"",VLOOKUP($A72,INDIRECT(T$1&amp;loc_voorspell),15,0)+T71,"")</f>
        <v>385</v>
      </c>
      <c r="U72" s="299">
        <f ca="1">IF(VLOOKUP($A72,INDIRECT(U$1&amp;loc_voorspell),15,0)&lt;&gt;"",VLOOKUP($A72,INDIRECT(U$1&amp;loc_voorspell),15,0)+U71,"")</f>
        <v>335</v>
      </c>
      <c r="V72" s="299">
        <f ca="1">IF(VLOOKUP($A72,INDIRECT(V$1&amp;loc_voorspell),15,0)&lt;&gt;"",VLOOKUP($A72,INDIRECT(V$1&amp;loc_voorspell),15,0)+V71,"")</f>
        <v>340</v>
      </c>
      <c r="W72" s="299">
        <f ca="1">IF(VLOOKUP($A72,INDIRECT(W$1&amp;loc_voorspell),15,0)&lt;&gt;"",VLOOKUP($A72,INDIRECT(W$1&amp;loc_voorspell),15,0)+W71,"")</f>
        <v>365</v>
      </c>
      <c r="X72" s="299">
        <f ca="1">IF(VLOOKUP($A72,INDIRECT(X$1&amp;loc_voorspell),15,0)&lt;&gt;"",VLOOKUP($A72,INDIRECT(X$1&amp;loc_voorspell),15,0)+X71,"")</f>
        <v>300</v>
      </c>
      <c r="Y72" s="299">
        <f ca="1">IF(VLOOKUP($A72,INDIRECT(Y$1&amp;loc_voorspell),15,0)&lt;&gt;"",VLOOKUP($A72,INDIRECT(Y$1&amp;loc_voorspell),15,0)+Y71,"")</f>
        <v>345</v>
      </c>
      <c r="Z72" s="299">
        <f ca="1">IF(VLOOKUP($A72,INDIRECT(Z$1&amp;loc_voorspell),15,0)&lt;&gt;"",VLOOKUP($A72,INDIRECT(Z$1&amp;loc_voorspell),15,0)+Z71,"")</f>
        <v>345</v>
      </c>
      <c r="AA72" s="165">
        <f t="shared" ca="1" si="77"/>
        <v>379.58333333333331</v>
      </c>
      <c r="AB72" s="178">
        <f t="shared" ref="AB72:AB77" ca="1" si="79">IF(AA72="","",AA72-AA71)</f>
        <v>1.25</v>
      </c>
      <c r="AC72" s="331" t="str">
        <f t="shared" si="78"/>
        <v>Brazilië-Duitsland</v>
      </c>
      <c r="AD72" s="179">
        <f t="shared" ca="1" si="54"/>
        <v>40.416666666666686</v>
      </c>
      <c r="AE72" s="179">
        <f t="shared" ca="1" si="55"/>
        <v>85.416666666666686</v>
      </c>
      <c r="AF72" s="179">
        <f t="shared" ca="1" si="56"/>
        <v>10.416666666666686</v>
      </c>
      <c r="AG72" s="179">
        <f t="shared" ca="1" si="57"/>
        <v>55.416666666666686</v>
      </c>
      <c r="AH72" s="179">
        <f t="shared" ca="1" si="58"/>
        <v>30.416666666666686</v>
      </c>
      <c r="AI72" s="179">
        <f t="shared" ca="1" si="59"/>
        <v>5.4166666666666856</v>
      </c>
      <c r="AJ72" s="179">
        <f t="shared" ca="1" si="60"/>
        <v>-44.583333333333314</v>
      </c>
      <c r="AK72" s="179">
        <f t="shared" ca="1" si="61"/>
        <v>5.4166666666666856</v>
      </c>
      <c r="AL72" s="179">
        <f t="shared" ca="1" si="62"/>
        <v>10.416666666666686</v>
      </c>
      <c r="AM72" s="179">
        <f t="shared" ca="1" si="63"/>
        <v>-49.583333333333314</v>
      </c>
      <c r="AN72" s="179">
        <f t="shared" ca="1" si="64"/>
        <v>10.416666666666686</v>
      </c>
      <c r="AO72" s="179">
        <f t="shared" ca="1" si="65"/>
        <v>50.416666666666686</v>
      </c>
      <c r="AP72" s="179">
        <f t="shared" ca="1" si="66"/>
        <v>50.416666666666686</v>
      </c>
      <c r="AQ72" s="179">
        <f t="shared" ca="1" si="66"/>
        <v>5.4166666666666856</v>
      </c>
      <c r="AR72" s="179">
        <f t="shared" ca="1" si="67"/>
        <v>5.4166666666666856</v>
      </c>
      <c r="AS72" s="179">
        <f t="shared" ca="1" si="68"/>
        <v>20.416666666666686</v>
      </c>
      <c r="AT72" s="179">
        <f t="shared" ca="1" si="69"/>
        <v>-24.583333333333314</v>
      </c>
      <c r="AU72" s="179">
        <f t="shared" ca="1" si="70"/>
        <v>5.4166666666666856</v>
      </c>
      <c r="AV72" s="179">
        <f t="shared" ca="1" si="71"/>
        <v>-44.583333333333314</v>
      </c>
      <c r="AW72" s="179">
        <f t="shared" ca="1" si="72"/>
        <v>-39.583333333333314</v>
      </c>
      <c r="AX72" s="179">
        <f t="shared" ca="1" si="73"/>
        <v>-14.583333333333314</v>
      </c>
      <c r="AY72" s="179">
        <f t="shared" ca="1" si="74"/>
        <v>-79.583333333333314</v>
      </c>
      <c r="AZ72" s="179">
        <f t="shared" ca="1" si="75"/>
        <v>-34.583333333333314</v>
      </c>
      <c r="BA72" s="179">
        <f t="shared" ca="1" si="76"/>
        <v>-34.583333333333314</v>
      </c>
    </row>
    <row r="73" spans="1:53">
      <c r="A73" s="173">
        <v>62</v>
      </c>
      <c r="B73" s="158" t="str">
        <f>VLOOKUP($A73,wedstrijden,6,0)&amp;"-"&amp;VLOOKUP($A73,wedstrijden,10,0)</f>
        <v>Nederland-Argentinië</v>
      </c>
      <c r="C73" s="299">
        <f ca="1">IF(VLOOKUP($A73,INDIRECT(C$1&amp;loc_voorspell),15,0)&lt;&gt;"",VLOOKUP($A73,INDIRECT(C$1&amp;loc_voorspell),15,0)+C72,"")</f>
        <v>420</v>
      </c>
      <c r="D73" s="299">
        <f ca="1">IF(VLOOKUP($A73,INDIRECT(D$1&amp;loc_voorspell),15,0)&lt;&gt;"",VLOOKUP($A73,INDIRECT(D$1&amp;loc_voorspell),15,0)+D72,"")</f>
        <v>470</v>
      </c>
      <c r="E73" s="299">
        <f ca="1">IF(VLOOKUP($A73,INDIRECT(E$1&amp;loc_voorspell),15,0)&lt;&gt;"",VLOOKUP($A73,INDIRECT(E$1&amp;loc_voorspell),15,0)+E72,"")</f>
        <v>395</v>
      </c>
      <c r="F73" s="299">
        <f ca="1">IF(VLOOKUP($A73,INDIRECT(F$1&amp;loc_voorspell),15,0)&lt;&gt;"",VLOOKUP($A73,INDIRECT(F$1&amp;loc_voorspell),15,0)+F72,"")</f>
        <v>435</v>
      </c>
      <c r="G73" s="299">
        <f ca="1">IF(VLOOKUP($A73,INDIRECT(G$1&amp;loc_voorspell),15,0)&lt;&gt;"",VLOOKUP($A73,INDIRECT(G$1&amp;loc_voorspell),15,0)+G72,"")</f>
        <v>410</v>
      </c>
      <c r="H73" s="299">
        <f ca="1">IF(VLOOKUP($A73,INDIRECT(H$1&amp;loc_voorspell),15,0)&lt;&gt;"",VLOOKUP($A73,INDIRECT(H$1&amp;loc_voorspell),15,0)+H72,"")</f>
        <v>390</v>
      </c>
      <c r="I73" s="299">
        <f ca="1">IF(VLOOKUP($A73,INDIRECT(I$1&amp;loc_voorspell),15,0)&lt;&gt;"",VLOOKUP($A73,INDIRECT(I$1&amp;loc_voorspell),15,0)+I72,"")</f>
        <v>335</v>
      </c>
      <c r="J73" s="299">
        <f ca="1">IF(VLOOKUP($A73,INDIRECT(J$1&amp;loc_voorspell),15,0)&lt;&gt;"",VLOOKUP($A73,INDIRECT(J$1&amp;loc_voorspell),15,0)+J72,"")</f>
        <v>385</v>
      </c>
      <c r="K73" s="299">
        <f ca="1">IF(VLOOKUP($A73,INDIRECT(K$1&amp;loc_voorspell),15,0)&lt;&gt;"",VLOOKUP($A73,INDIRECT(K$1&amp;loc_voorspell),15,0)+K72,"")</f>
        <v>390</v>
      </c>
      <c r="L73" s="299">
        <f ca="1">IF(VLOOKUP($A73,INDIRECT(L$1&amp;loc_voorspell),15,0)&lt;&gt;"",VLOOKUP($A73,INDIRECT(L$1&amp;loc_voorspell),15,0)+L72,"")</f>
        <v>335</v>
      </c>
      <c r="M73" s="299">
        <f ca="1">IF(VLOOKUP($A73,INDIRECT(M$1&amp;loc_voorspell),15,0)&lt;&gt;"",VLOOKUP($A73,INDIRECT(M$1&amp;loc_voorspell),15,0)+M72,"")</f>
        <v>395</v>
      </c>
      <c r="N73" s="299">
        <f ca="1">IF(VLOOKUP($A73,INDIRECT(N$1&amp;loc_voorspell),15,0)&lt;&gt;"",VLOOKUP($A73,INDIRECT(N$1&amp;loc_voorspell),15,0)+N72,"")</f>
        <v>405</v>
      </c>
      <c r="O73" s="299">
        <f ca="1">IF(VLOOKUP($A73,INDIRECT(O$1&amp;loc_voorspell),15,0)&lt;&gt;"",VLOOKUP($A73,INDIRECT(O$1&amp;loc_voorspell),15,0)+O72,"")</f>
        <v>430</v>
      </c>
      <c r="P73" s="299">
        <f ca="1">IF(VLOOKUP($A73,INDIRECT(P$1&amp;loc_voorspell),15,0)&lt;&gt;"",VLOOKUP($A73,INDIRECT(P$1&amp;loc_voorspell),15,0)+P72,"")</f>
        <v>385</v>
      </c>
      <c r="Q73" s="299">
        <f ca="1">IF(VLOOKUP($A73,INDIRECT(Q$1&amp;loc_voorspell),15,0)&lt;&gt;"",VLOOKUP($A73,INDIRECT(Q$1&amp;loc_voorspell),15,0)+Q72,"")</f>
        <v>385</v>
      </c>
      <c r="R73" s="299">
        <f ca="1">IF(VLOOKUP($A73,INDIRECT(R$1&amp;loc_voorspell),15,0)&lt;&gt;"",VLOOKUP($A73,INDIRECT(R$1&amp;loc_voorspell),15,0)+R72,"")</f>
        <v>400</v>
      </c>
      <c r="S73" s="299">
        <f ca="1">IF(VLOOKUP($A73,INDIRECT(S$1&amp;loc_voorspell),15,0)&lt;&gt;"",VLOOKUP($A73,INDIRECT(S$1&amp;loc_voorspell),15,0)+S72,"")</f>
        <v>360</v>
      </c>
      <c r="T73" s="299">
        <f ca="1">IF(VLOOKUP($A73,INDIRECT(T$1&amp;loc_voorspell),15,0)&lt;&gt;"",VLOOKUP($A73,INDIRECT(T$1&amp;loc_voorspell),15,0)+T72,"")</f>
        <v>385</v>
      </c>
      <c r="U73" s="299">
        <f ca="1">IF(VLOOKUP($A73,INDIRECT(U$1&amp;loc_voorspell),15,0)&lt;&gt;"",VLOOKUP($A73,INDIRECT(U$1&amp;loc_voorspell),15,0)+U72,"")</f>
        <v>335</v>
      </c>
      <c r="V73" s="299">
        <f ca="1">IF(VLOOKUP($A73,INDIRECT(V$1&amp;loc_voorspell),15,0)&lt;&gt;"",VLOOKUP($A73,INDIRECT(V$1&amp;loc_voorspell),15,0)+V72,"")</f>
        <v>340</v>
      </c>
      <c r="W73" s="299">
        <f ca="1">IF(VLOOKUP($A73,INDIRECT(W$1&amp;loc_voorspell),15,0)&lt;&gt;"",VLOOKUP($A73,INDIRECT(W$1&amp;loc_voorspell),15,0)+W72,"")</f>
        <v>365</v>
      </c>
      <c r="X73" s="299">
        <f ca="1">IF(VLOOKUP($A73,INDIRECT(X$1&amp;loc_voorspell),15,0)&lt;&gt;"",VLOOKUP($A73,INDIRECT(X$1&amp;loc_voorspell),15,0)+X72,"")</f>
        <v>300</v>
      </c>
      <c r="Y73" s="299">
        <f ca="1">IF(VLOOKUP($A73,INDIRECT(Y$1&amp;loc_voorspell),15,0)&lt;&gt;"",VLOOKUP($A73,INDIRECT(Y$1&amp;loc_voorspell),15,0)+Y72,"")</f>
        <v>345</v>
      </c>
      <c r="Z73" s="299">
        <f ca="1">IF(VLOOKUP($A73,INDIRECT(Z$1&amp;loc_voorspell),15,0)&lt;&gt;"",VLOOKUP($A73,INDIRECT(Z$1&amp;loc_voorspell),15,0)+Z72,"")</f>
        <v>345</v>
      </c>
      <c r="AA73" s="165">
        <f t="shared" ca="1" si="77"/>
        <v>380.83333333333331</v>
      </c>
      <c r="AB73" s="178">
        <f t="shared" ca="1" si="79"/>
        <v>1.25</v>
      </c>
      <c r="AC73" s="331" t="str">
        <f t="shared" si="78"/>
        <v>Nederland-Argentinië</v>
      </c>
      <c r="AD73" s="179">
        <f t="shared" ca="1" si="54"/>
        <v>39.166666666666686</v>
      </c>
      <c r="AE73" s="179">
        <f t="shared" ca="1" si="55"/>
        <v>89.166666666666686</v>
      </c>
      <c r="AF73" s="179">
        <f t="shared" ca="1" si="56"/>
        <v>14.166666666666686</v>
      </c>
      <c r="AG73" s="179">
        <f t="shared" ca="1" si="57"/>
        <v>54.166666666666686</v>
      </c>
      <c r="AH73" s="179">
        <f t="shared" ca="1" si="58"/>
        <v>29.166666666666686</v>
      </c>
      <c r="AI73" s="179">
        <f t="shared" ca="1" si="59"/>
        <v>9.1666666666666856</v>
      </c>
      <c r="AJ73" s="179">
        <f t="shared" ca="1" si="60"/>
        <v>-45.833333333333314</v>
      </c>
      <c r="AK73" s="179">
        <f t="shared" ca="1" si="61"/>
        <v>4.1666666666666856</v>
      </c>
      <c r="AL73" s="179">
        <f t="shared" ca="1" si="62"/>
        <v>9.1666666666666856</v>
      </c>
      <c r="AM73" s="179">
        <f t="shared" ca="1" si="63"/>
        <v>-45.833333333333314</v>
      </c>
      <c r="AN73" s="179">
        <f t="shared" ca="1" si="64"/>
        <v>14.166666666666686</v>
      </c>
      <c r="AO73" s="179">
        <f t="shared" ca="1" si="65"/>
        <v>49.166666666666686</v>
      </c>
      <c r="AP73" s="179">
        <f t="shared" ca="1" si="66"/>
        <v>49.166666666666686</v>
      </c>
      <c r="AQ73" s="179">
        <f t="shared" ca="1" si="66"/>
        <v>4.1666666666666856</v>
      </c>
      <c r="AR73" s="179">
        <f t="shared" ca="1" si="67"/>
        <v>4.1666666666666856</v>
      </c>
      <c r="AS73" s="179">
        <f t="shared" ca="1" si="68"/>
        <v>19.166666666666686</v>
      </c>
      <c r="AT73" s="179">
        <f t="shared" ca="1" si="69"/>
        <v>-20.833333333333314</v>
      </c>
      <c r="AU73" s="179">
        <f t="shared" ca="1" si="70"/>
        <v>4.1666666666666856</v>
      </c>
      <c r="AV73" s="179">
        <f t="shared" ca="1" si="71"/>
        <v>-45.833333333333314</v>
      </c>
      <c r="AW73" s="179">
        <f t="shared" ca="1" si="72"/>
        <v>-40.833333333333314</v>
      </c>
      <c r="AX73" s="179">
        <f t="shared" ca="1" si="73"/>
        <v>-15.833333333333314</v>
      </c>
      <c r="AY73" s="179">
        <f t="shared" ca="1" si="74"/>
        <v>-80.833333333333314</v>
      </c>
      <c r="AZ73" s="179">
        <f t="shared" ca="1" si="75"/>
        <v>-35.833333333333314</v>
      </c>
      <c r="BA73" s="179">
        <f t="shared" ca="1" si="76"/>
        <v>-35.833333333333314</v>
      </c>
    </row>
    <row r="74" spans="1:53" s="164" customFormat="1">
      <c r="A74" s="180" t="str">
        <f>B74</f>
        <v>Boni finale</v>
      </c>
      <c r="B74" s="181" t="s">
        <v>84</v>
      </c>
      <c r="C74" s="181">
        <f ca="1">IF(C73="","",INDIRECT(C$1&amp;"!$L$11")+INDIRECT(C$1&amp;"!$Q$11")+MAX(C72:C73))</f>
        <v>505</v>
      </c>
      <c r="D74" s="181">
        <f ca="1">IF(D73="","",INDIRECT(D$1&amp;"!$L$11")+INDIRECT(D$1&amp;"!$Q$11")+MAX(D72:D73))</f>
        <v>525</v>
      </c>
      <c r="E74" s="181">
        <f ca="1">IF(E73="","",INDIRECT(E$1&amp;"!$L$11")+INDIRECT(E$1&amp;"!$Q$11")+MAX(E72:E73))</f>
        <v>480</v>
      </c>
      <c r="F74" s="181">
        <f ca="1">IF(F73="","",INDIRECT(F$1&amp;"!$L$11")+INDIRECT(F$1&amp;"!$Q$11")+MAX(F72:F73))</f>
        <v>520</v>
      </c>
      <c r="G74" s="181">
        <f ca="1">IF(G73="","",INDIRECT(G$1&amp;"!$L$11")+INDIRECT(G$1&amp;"!$Q$11")+MAX(G72:G73))</f>
        <v>465</v>
      </c>
      <c r="H74" s="181">
        <f ca="1">IF(H73="","",INDIRECT(H$1&amp;"!$L$11")+INDIRECT(H$1&amp;"!$Q$11")+MAX(H72:H73))</f>
        <v>420</v>
      </c>
      <c r="I74" s="181">
        <f ca="1">IF(I73="","",INDIRECT(I$1&amp;"!$L$11")+INDIRECT(I$1&amp;"!$Q$11")+MAX(I72:I73))</f>
        <v>390</v>
      </c>
      <c r="J74" s="181">
        <f ca="1">IF(J73="","",INDIRECT(J$1&amp;"!$L$11")+INDIRECT(J$1&amp;"!$Q$11")+MAX(J72:J73))</f>
        <v>440</v>
      </c>
      <c r="K74" s="181">
        <f ca="1">IF(K73="","",INDIRECT(K$1&amp;"!$L$11")+INDIRECT(K$1&amp;"!$Q$11")+MAX(K72:K73))</f>
        <v>420</v>
      </c>
      <c r="L74" s="181">
        <f ca="1">IF(L73="","",INDIRECT(L$1&amp;"!$L$11")+INDIRECT(L$1&amp;"!$Q$11")+MAX(L72:L73))</f>
        <v>365</v>
      </c>
      <c r="M74" s="181">
        <f ca="1">IF(M73="","",INDIRECT(M$1&amp;"!$L$11")+INDIRECT(M$1&amp;"!$Q$11")+MAX(M72:M73))</f>
        <v>425</v>
      </c>
      <c r="N74" s="181">
        <f ca="1">IF(N73="","",INDIRECT(N$1&amp;"!$L$11")+INDIRECT(N$1&amp;"!$Q$11")+MAX(N72:N73))</f>
        <v>405</v>
      </c>
      <c r="O74" s="181">
        <f ca="1">IF(O73="","",INDIRECT(O$1&amp;"!$L$11")+INDIRECT(O$1&amp;"!$Q$11")+MAX(O72:O73))</f>
        <v>430</v>
      </c>
      <c r="P74" s="181">
        <f ca="1">IF(P73="","",INDIRECT(P$1&amp;"!$L$11")+INDIRECT(P$1&amp;"!$Q$11")+MAX(P72:P73))</f>
        <v>415</v>
      </c>
      <c r="Q74" s="181">
        <f ca="1">IF(Q73="","",INDIRECT(Q$1&amp;"!$L$11")+INDIRECT(Q$1&amp;"!$Q$11")+MAX(Q72:Q73))</f>
        <v>415</v>
      </c>
      <c r="R74" s="181">
        <f ca="1">IF(R73="","",INDIRECT(R$1&amp;"!$L$11")+INDIRECT(R$1&amp;"!$Q$11")+MAX(R72:R73))</f>
        <v>400</v>
      </c>
      <c r="S74" s="181">
        <f ca="1">IF(S73="","",INDIRECT(S$1&amp;"!$L$11")+INDIRECT(S$1&amp;"!$Q$11")+MAX(S72:S73))</f>
        <v>390</v>
      </c>
      <c r="T74" s="181">
        <f ca="1">IF(T73="","",INDIRECT(T$1&amp;"!$L$11")+INDIRECT(T$1&amp;"!$Q$11")+MAX(T72:T73))</f>
        <v>385</v>
      </c>
      <c r="U74" s="181">
        <f ca="1">IF(U73="","",INDIRECT(U$1&amp;"!$L$11")+INDIRECT(U$1&amp;"!$Q$11")+MAX(U72:U73))</f>
        <v>365</v>
      </c>
      <c r="V74" s="181">
        <f ca="1">IF(V73="","",INDIRECT(V$1&amp;"!$L$11")+INDIRECT(V$1&amp;"!$Q$11")+MAX(V72:V73))</f>
        <v>370</v>
      </c>
      <c r="W74" s="181">
        <f ca="1">IF(W73="","",INDIRECT(W$1&amp;"!$L$11")+INDIRECT(W$1&amp;"!$Q$11")+MAX(W72:W73))</f>
        <v>365</v>
      </c>
      <c r="X74" s="181">
        <f ca="1">IF(X73="","",INDIRECT(X$1&amp;"!$L$11")+INDIRECT(X$1&amp;"!$Q$11")+MAX(X72:X73))</f>
        <v>355</v>
      </c>
      <c r="Y74" s="181">
        <f ca="1">IF(Y73="","",INDIRECT(Y$1&amp;"!$L$11")+INDIRECT(Y$1&amp;"!$Q$11")+MAX(Y72:Y73))</f>
        <v>375</v>
      </c>
      <c r="Z74" s="181">
        <f ca="1">IF(Z73="","",INDIRECT(Z$1&amp;"!$L$11")+INDIRECT(Z$1&amp;"!$Q$11")+MAX(Z72:Z73))</f>
        <v>375</v>
      </c>
      <c r="AA74" s="165">
        <f t="shared" ca="1" si="77"/>
        <v>416.66666666666669</v>
      </c>
      <c r="AB74" s="178">
        <f t="shared" ca="1" si="79"/>
        <v>35.833333333333371</v>
      </c>
      <c r="AC74" s="331" t="str">
        <f t="shared" si="78"/>
        <v>Boni finale</v>
      </c>
      <c r="AD74" s="182">
        <f t="shared" ca="1" si="54"/>
        <v>88.333333333333314</v>
      </c>
      <c r="AE74" s="182">
        <f t="shared" ca="1" si="55"/>
        <v>108.33333333333331</v>
      </c>
      <c r="AF74" s="182">
        <f t="shared" ca="1" si="56"/>
        <v>63.333333333333314</v>
      </c>
      <c r="AG74" s="182">
        <f t="shared" ca="1" si="57"/>
        <v>103.33333333333331</v>
      </c>
      <c r="AH74" s="182">
        <f t="shared" ca="1" si="58"/>
        <v>48.333333333333314</v>
      </c>
      <c r="AI74" s="182">
        <f t="shared" ca="1" si="59"/>
        <v>3.3333333333333144</v>
      </c>
      <c r="AJ74" s="182">
        <f t="shared" ca="1" si="60"/>
        <v>-26.666666666666686</v>
      </c>
      <c r="AK74" s="182">
        <f t="shared" ca="1" si="61"/>
        <v>23.333333333333314</v>
      </c>
      <c r="AL74" s="182">
        <f t="shared" ca="1" si="62"/>
        <v>3.3333333333333144</v>
      </c>
      <c r="AM74" s="182">
        <f t="shared" ca="1" si="63"/>
        <v>-51.666666666666686</v>
      </c>
      <c r="AN74" s="182">
        <f t="shared" ca="1" si="64"/>
        <v>8.3333333333333144</v>
      </c>
      <c r="AO74" s="182">
        <f t="shared" ca="1" si="65"/>
        <v>13.333333333333314</v>
      </c>
      <c r="AP74" s="182">
        <f t="shared" ca="1" si="66"/>
        <v>13.333333333333314</v>
      </c>
      <c r="AQ74" s="182">
        <f t="shared" ca="1" si="66"/>
        <v>-1.6666666666666856</v>
      </c>
      <c r="AR74" s="182">
        <f t="shared" ca="1" si="67"/>
        <v>-1.6666666666666856</v>
      </c>
      <c r="AS74" s="182">
        <f t="shared" ca="1" si="68"/>
        <v>-16.666666666666686</v>
      </c>
      <c r="AT74" s="182">
        <f t="shared" ca="1" si="69"/>
        <v>-26.666666666666686</v>
      </c>
      <c r="AU74" s="182">
        <f t="shared" ca="1" si="70"/>
        <v>-31.666666666666686</v>
      </c>
      <c r="AV74" s="182">
        <f t="shared" ca="1" si="71"/>
        <v>-51.666666666666686</v>
      </c>
      <c r="AW74" s="182">
        <f t="shared" ca="1" si="72"/>
        <v>-46.666666666666686</v>
      </c>
      <c r="AX74" s="182">
        <f t="shared" ca="1" si="73"/>
        <v>-51.666666666666686</v>
      </c>
      <c r="AY74" s="182">
        <f t="shared" ca="1" si="74"/>
        <v>-61.666666666666686</v>
      </c>
      <c r="AZ74" s="182">
        <f t="shared" ca="1" si="75"/>
        <v>-41.666666666666686</v>
      </c>
      <c r="BA74" s="182">
        <f t="shared" ca="1" si="76"/>
        <v>-41.666666666666686</v>
      </c>
    </row>
    <row r="75" spans="1:53">
      <c r="A75" s="173">
        <v>63</v>
      </c>
      <c r="B75" s="187" t="str">
        <f>VLOOKUP($A75,wedstrijden,6,0)&amp;"-"&amp;VLOOKUP($A75,wedstrijden,10,0)</f>
        <v>Brazilië-Nederland</v>
      </c>
      <c r="C75" s="304">
        <f ca="1">IF(VLOOKUP($A75,INDIRECT(C$1&amp;loc_voorspell),15,0)&lt;&gt;"",VLOOKUP($A75,INDIRECT(C$1&amp;loc_voorspell),15,0)+C74,"")</f>
        <v>505</v>
      </c>
      <c r="D75" s="304">
        <f ca="1">IF(VLOOKUP($A75,INDIRECT(D$1&amp;loc_voorspell),15,0)&lt;&gt;"",VLOOKUP($A75,INDIRECT(D$1&amp;loc_voorspell),15,0)+D74,"")</f>
        <v>525</v>
      </c>
      <c r="E75" s="304">
        <f ca="1">IF(VLOOKUP($A75,INDIRECT(E$1&amp;loc_voorspell),15,0)&lt;&gt;"",VLOOKUP($A75,INDIRECT(E$1&amp;loc_voorspell),15,0)+E74,"")</f>
        <v>480</v>
      </c>
      <c r="F75" s="304">
        <f ca="1">IF(VLOOKUP($A75,INDIRECT(F$1&amp;loc_voorspell),15,0)&lt;&gt;"",VLOOKUP($A75,INDIRECT(F$1&amp;loc_voorspell),15,0)+F74,"")</f>
        <v>520</v>
      </c>
      <c r="G75" s="304">
        <f ca="1">IF(VLOOKUP($A75,INDIRECT(G$1&amp;loc_voorspell),15,0)&lt;&gt;"",VLOOKUP($A75,INDIRECT(G$1&amp;loc_voorspell),15,0)+G74,"")</f>
        <v>465</v>
      </c>
      <c r="H75" s="304">
        <f ca="1">IF(VLOOKUP($A75,INDIRECT(H$1&amp;loc_voorspell),15,0)&lt;&gt;"",VLOOKUP($A75,INDIRECT(H$1&amp;loc_voorspell),15,0)+H74,"")</f>
        <v>420</v>
      </c>
      <c r="I75" s="304">
        <f ca="1">IF(VLOOKUP($A75,INDIRECT(I$1&amp;loc_voorspell),15,0)&lt;&gt;"",VLOOKUP($A75,INDIRECT(I$1&amp;loc_voorspell),15,0)+I74,"")</f>
        <v>390</v>
      </c>
      <c r="J75" s="304">
        <f ca="1">IF(VLOOKUP($A75,INDIRECT(J$1&amp;loc_voorspell),15,0)&lt;&gt;"",VLOOKUP($A75,INDIRECT(J$1&amp;loc_voorspell),15,0)+J74,"")</f>
        <v>440</v>
      </c>
      <c r="K75" s="304">
        <f ca="1">IF(VLOOKUP($A75,INDIRECT(K$1&amp;loc_voorspell),15,0)&lt;&gt;"",VLOOKUP($A75,INDIRECT(K$1&amp;loc_voorspell),15,0)+K74,"")</f>
        <v>420</v>
      </c>
      <c r="L75" s="304">
        <f ca="1">IF(VLOOKUP($A75,INDIRECT(L$1&amp;loc_voorspell),15,0)&lt;&gt;"",VLOOKUP($A75,INDIRECT(L$1&amp;loc_voorspell),15,0)+L74,"")</f>
        <v>370</v>
      </c>
      <c r="M75" s="304">
        <f ca="1">IF(VLOOKUP($A75,INDIRECT(M$1&amp;loc_voorspell),15,0)&lt;&gt;"",VLOOKUP($A75,INDIRECT(M$1&amp;loc_voorspell),15,0)+M74,"")</f>
        <v>425</v>
      </c>
      <c r="N75" s="304">
        <f ca="1">IF(VLOOKUP($A75,INDIRECT(N$1&amp;loc_voorspell),15,0)&lt;&gt;"",VLOOKUP($A75,INDIRECT(N$1&amp;loc_voorspell),15,0)+N74,"")</f>
        <v>410</v>
      </c>
      <c r="O75" s="304">
        <f ca="1">IF(VLOOKUP($A75,INDIRECT(O$1&amp;loc_voorspell),15,0)&lt;&gt;"",VLOOKUP($A75,INDIRECT(O$1&amp;loc_voorspell),15,0)+O74,"")</f>
        <v>430</v>
      </c>
      <c r="P75" s="304">
        <f ca="1">IF(VLOOKUP($A75,INDIRECT(P$1&amp;loc_voorspell),15,0)&lt;&gt;"",VLOOKUP($A75,INDIRECT(P$1&amp;loc_voorspell),15,0)+P74,"")</f>
        <v>415</v>
      </c>
      <c r="Q75" s="304">
        <f ca="1">IF(VLOOKUP($A75,INDIRECT(Q$1&amp;loc_voorspell),15,0)&lt;&gt;"",VLOOKUP($A75,INDIRECT(Q$1&amp;loc_voorspell),15,0)+Q74,"")</f>
        <v>415</v>
      </c>
      <c r="R75" s="304">
        <f ca="1">IF(VLOOKUP($A75,INDIRECT(R$1&amp;loc_voorspell),15,0)&lt;&gt;"",VLOOKUP($A75,INDIRECT(R$1&amp;loc_voorspell),15,0)+R74,"")</f>
        <v>400</v>
      </c>
      <c r="S75" s="304">
        <f ca="1">IF(VLOOKUP($A75,INDIRECT(S$1&amp;loc_voorspell),15,0)&lt;&gt;"",VLOOKUP($A75,INDIRECT(S$1&amp;loc_voorspell),15,0)+S74,"")</f>
        <v>395</v>
      </c>
      <c r="T75" s="304">
        <f ca="1">IF(VLOOKUP($A75,INDIRECT(T$1&amp;loc_voorspell),15,0)&lt;&gt;"",VLOOKUP($A75,INDIRECT(T$1&amp;loc_voorspell),15,0)+T74,"")</f>
        <v>385</v>
      </c>
      <c r="U75" s="304">
        <f ca="1">IF(VLOOKUP($A75,INDIRECT(U$1&amp;loc_voorspell),15,0)&lt;&gt;"",VLOOKUP($A75,INDIRECT(U$1&amp;loc_voorspell),15,0)+U74,"")</f>
        <v>370</v>
      </c>
      <c r="V75" s="304">
        <f ca="1">IF(VLOOKUP($A75,INDIRECT(V$1&amp;loc_voorspell),15,0)&lt;&gt;"",VLOOKUP($A75,INDIRECT(V$1&amp;loc_voorspell),15,0)+V74,"")</f>
        <v>370</v>
      </c>
      <c r="W75" s="304">
        <f ca="1">IF(VLOOKUP($A75,INDIRECT(W$1&amp;loc_voorspell),15,0)&lt;&gt;"",VLOOKUP($A75,INDIRECT(W$1&amp;loc_voorspell),15,0)+W74,"")</f>
        <v>365</v>
      </c>
      <c r="X75" s="304">
        <f ca="1">IF(VLOOKUP($A75,INDIRECT(X$1&amp;loc_voorspell),15,0)&lt;&gt;"",VLOOKUP($A75,INDIRECT(X$1&amp;loc_voorspell),15,0)+X74,"")</f>
        <v>360</v>
      </c>
      <c r="Y75" s="304">
        <f ca="1">IF(VLOOKUP($A75,INDIRECT(Y$1&amp;loc_voorspell),15,0)&lt;&gt;"",VLOOKUP($A75,INDIRECT(Y$1&amp;loc_voorspell),15,0)+Y74,"")</f>
        <v>375</v>
      </c>
      <c r="Z75" s="304">
        <f ca="1">IF(VLOOKUP($A75,INDIRECT(Z$1&amp;loc_voorspell),15,0)&lt;&gt;"",VLOOKUP($A75,INDIRECT(Z$1&amp;loc_voorspell),15,0)+Z74,"")</f>
        <v>380</v>
      </c>
      <c r="AA75" s="165">
        <f t="shared" ca="1" si="77"/>
        <v>417.91666666666669</v>
      </c>
      <c r="AB75" s="178">
        <f t="shared" ca="1" si="79"/>
        <v>1.25</v>
      </c>
      <c r="AC75" s="331" t="str">
        <f t="shared" si="78"/>
        <v>Brazilië-Nederland</v>
      </c>
      <c r="AD75" s="179">
        <f t="shared" ca="1" si="54"/>
        <v>87.083333333333314</v>
      </c>
      <c r="AE75" s="179">
        <f t="shared" ca="1" si="55"/>
        <v>107.08333333333331</v>
      </c>
      <c r="AF75" s="179">
        <f t="shared" ca="1" si="56"/>
        <v>62.083333333333314</v>
      </c>
      <c r="AG75" s="179">
        <f t="shared" ca="1" si="57"/>
        <v>102.08333333333331</v>
      </c>
      <c r="AH75" s="179">
        <f t="shared" ca="1" si="58"/>
        <v>47.083333333333314</v>
      </c>
      <c r="AI75" s="179">
        <f t="shared" ca="1" si="59"/>
        <v>2.0833333333333144</v>
      </c>
      <c r="AJ75" s="179">
        <f t="shared" ca="1" si="60"/>
        <v>-27.916666666666686</v>
      </c>
      <c r="AK75" s="179">
        <f t="shared" ca="1" si="61"/>
        <v>22.083333333333314</v>
      </c>
      <c r="AL75" s="179">
        <f t="shared" ca="1" si="62"/>
        <v>2.0833333333333144</v>
      </c>
      <c r="AM75" s="179">
        <f t="shared" ca="1" si="63"/>
        <v>-47.916666666666686</v>
      </c>
      <c r="AN75" s="179">
        <f t="shared" ca="1" si="64"/>
        <v>7.0833333333333144</v>
      </c>
      <c r="AO75" s="179">
        <f t="shared" ca="1" si="65"/>
        <v>12.083333333333314</v>
      </c>
      <c r="AP75" s="179">
        <f t="shared" ca="1" si="66"/>
        <v>12.083333333333314</v>
      </c>
      <c r="AQ75" s="179">
        <f t="shared" ca="1" si="66"/>
        <v>-2.9166666666666856</v>
      </c>
      <c r="AR75" s="179">
        <f t="shared" ca="1" si="67"/>
        <v>-2.9166666666666856</v>
      </c>
      <c r="AS75" s="179">
        <f t="shared" ca="1" si="68"/>
        <v>-17.916666666666686</v>
      </c>
      <c r="AT75" s="179">
        <f t="shared" ca="1" si="69"/>
        <v>-22.916666666666686</v>
      </c>
      <c r="AU75" s="179">
        <f t="shared" ca="1" si="70"/>
        <v>-32.916666666666686</v>
      </c>
      <c r="AV75" s="179">
        <f t="shared" ca="1" si="71"/>
        <v>-47.916666666666686</v>
      </c>
      <c r="AW75" s="179">
        <f t="shared" ca="1" si="72"/>
        <v>-47.916666666666686</v>
      </c>
      <c r="AX75" s="179">
        <f t="shared" ca="1" si="73"/>
        <v>-52.916666666666686</v>
      </c>
      <c r="AY75" s="179">
        <f t="shared" ca="1" si="74"/>
        <v>-57.916666666666686</v>
      </c>
      <c r="AZ75" s="179">
        <f t="shared" ca="1" si="75"/>
        <v>-42.916666666666686</v>
      </c>
      <c r="BA75" s="179">
        <f t="shared" ca="1" si="76"/>
        <v>-37.916666666666686</v>
      </c>
    </row>
    <row r="76" spans="1:53" s="174" customFormat="1">
      <c r="A76" s="173">
        <v>64</v>
      </c>
      <c r="B76" s="187" t="str">
        <f>VLOOKUP($A76,wedstrijden,6,0)&amp;"-"&amp;VLOOKUP($A76,wedstrijden,10,0)</f>
        <v>Duitsland-Argentinië</v>
      </c>
      <c r="C76" s="304">
        <f ca="1">IF(VLOOKUP($A76,INDIRECT(C$1&amp;loc_voorspell),15,0)&lt;&gt;"",VLOOKUP($A76,INDIRECT(C$1&amp;loc_voorspell),15,0)+C75,"")</f>
        <v>510</v>
      </c>
      <c r="D76" s="304">
        <f ca="1">IF(VLOOKUP($A76,INDIRECT(D$1&amp;loc_voorspell),15,0)&lt;&gt;"",VLOOKUP($A76,INDIRECT(D$1&amp;loc_voorspell),15,0)+D75,"")</f>
        <v>530</v>
      </c>
      <c r="E76" s="304">
        <f ca="1">IF(VLOOKUP($A76,INDIRECT(E$1&amp;loc_voorspell),15,0)&lt;&gt;"",VLOOKUP($A76,INDIRECT(E$1&amp;loc_voorspell),15,0)+E75,"")</f>
        <v>485</v>
      </c>
      <c r="F76" s="304">
        <f ca="1">IF(VLOOKUP($A76,INDIRECT(F$1&amp;loc_voorspell),15,0)&lt;&gt;"",VLOOKUP($A76,INDIRECT(F$1&amp;loc_voorspell),15,0)+F75,"")</f>
        <v>520</v>
      </c>
      <c r="G76" s="304">
        <f ca="1">IF(VLOOKUP($A76,INDIRECT(G$1&amp;loc_voorspell),15,0)&lt;&gt;"",VLOOKUP($A76,INDIRECT(G$1&amp;loc_voorspell),15,0)+G75,"")</f>
        <v>470</v>
      </c>
      <c r="H76" s="304">
        <f ca="1">IF(VLOOKUP($A76,INDIRECT(H$1&amp;loc_voorspell),15,0)&lt;&gt;"",VLOOKUP($A76,INDIRECT(H$1&amp;loc_voorspell),15,0)+H75,"")</f>
        <v>425</v>
      </c>
      <c r="I76" s="304">
        <f ca="1">IF(VLOOKUP($A76,INDIRECT(I$1&amp;loc_voorspell),15,0)&lt;&gt;"",VLOOKUP($A76,INDIRECT(I$1&amp;loc_voorspell),15,0)+I75,"")</f>
        <v>400</v>
      </c>
      <c r="J76" s="304">
        <f ca="1">IF(VLOOKUP($A76,INDIRECT(J$1&amp;loc_voorspell),15,0)&lt;&gt;"",VLOOKUP($A76,INDIRECT(J$1&amp;loc_voorspell),15,0)+J75,"")</f>
        <v>440</v>
      </c>
      <c r="K76" s="304">
        <f ca="1">IF(VLOOKUP($A76,INDIRECT(K$1&amp;loc_voorspell),15,0)&lt;&gt;"",VLOOKUP($A76,INDIRECT(K$1&amp;loc_voorspell),15,0)+K75,"")</f>
        <v>420</v>
      </c>
      <c r="L76" s="304">
        <f ca="1">IF(VLOOKUP($A76,INDIRECT(L$1&amp;loc_voorspell),15,0)&lt;&gt;"",VLOOKUP($A76,INDIRECT(L$1&amp;loc_voorspell),15,0)+L75,"")</f>
        <v>370</v>
      </c>
      <c r="M76" s="304">
        <f ca="1">IF(VLOOKUP($A76,INDIRECT(M$1&amp;loc_voorspell),15,0)&lt;&gt;"",VLOOKUP($A76,INDIRECT(M$1&amp;loc_voorspell),15,0)+M75,"")</f>
        <v>425</v>
      </c>
      <c r="N76" s="304">
        <f ca="1">IF(VLOOKUP($A76,INDIRECT(N$1&amp;loc_voorspell),15,0)&lt;&gt;"",VLOOKUP($A76,INDIRECT(N$1&amp;loc_voorspell),15,0)+N75,"")</f>
        <v>420</v>
      </c>
      <c r="O76" s="304">
        <f ca="1">IF(VLOOKUP($A76,INDIRECT(O$1&amp;loc_voorspell),15,0)&lt;&gt;"",VLOOKUP($A76,INDIRECT(O$1&amp;loc_voorspell),15,0)+O75,"")</f>
        <v>430</v>
      </c>
      <c r="P76" s="304">
        <f ca="1">IF(VLOOKUP($A76,INDIRECT(P$1&amp;loc_voorspell),15,0)&lt;&gt;"",VLOOKUP($A76,INDIRECT(P$1&amp;loc_voorspell),15,0)+P75,"")</f>
        <v>420</v>
      </c>
      <c r="Q76" s="304">
        <f ca="1">IF(VLOOKUP($A76,INDIRECT(Q$1&amp;loc_voorspell),15,0)&lt;&gt;"",VLOOKUP($A76,INDIRECT(Q$1&amp;loc_voorspell),15,0)+Q75,"")</f>
        <v>425</v>
      </c>
      <c r="R76" s="304">
        <f ca="1">IF(VLOOKUP($A76,INDIRECT(R$1&amp;loc_voorspell),15,0)&lt;&gt;"",VLOOKUP($A76,INDIRECT(R$1&amp;loc_voorspell),15,0)+R75,"")</f>
        <v>400</v>
      </c>
      <c r="S76" s="304">
        <f ca="1">IF(VLOOKUP($A76,INDIRECT(S$1&amp;loc_voorspell),15,0)&lt;&gt;"",VLOOKUP($A76,INDIRECT(S$1&amp;loc_voorspell),15,0)+S75,"")</f>
        <v>395</v>
      </c>
      <c r="T76" s="304">
        <f ca="1">IF(VLOOKUP($A76,INDIRECT(T$1&amp;loc_voorspell),15,0)&lt;&gt;"",VLOOKUP($A76,INDIRECT(T$1&amp;loc_voorspell),15,0)+T75,"")</f>
        <v>385</v>
      </c>
      <c r="U76" s="304">
        <f ca="1">IF(VLOOKUP($A76,INDIRECT(U$1&amp;loc_voorspell),15,0)&lt;&gt;"",VLOOKUP($A76,INDIRECT(U$1&amp;loc_voorspell),15,0)+U75,"")</f>
        <v>375</v>
      </c>
      <c r="V76" s="304">
        <f ca="1">IF(VLOOKUP($A76,INDIRECT(V$1&amp;loc_voorspell),15,0)&lt;&gt;"",VLOOKUP($A76,INDIRECT(V$1&amp;loc_voorspell),15,0)+V75,"")</f>
        <v>370</v>
      </c>
      <c r="W76" s="304">
        <f ca="1">IF(VLOOKUP($A76,INDIRECT(W$1&amp;loc_voorspell),15,0)&lt;&gt;"",VLOOKUP($A76,INDIRECT(W$1&amp;loc_voorspell),15,0)+W75,"")</f>
        <v>375</v>
      </c>
      <c r="X76" s="304">
        <f ca="1">IF(VLOOKUP($A76,INDIRECT(X$1&amp;loc_voorspell),15,0)&lt;&gt;"",VLOOKUP($A76,INDIRECT(X$1&amp;loc_voorspell),15,0)+X75,"")</f>
        <v>360</v>
      </c>
      <c r="Y76" s="304">
        <f ca="1">IF(VLOOKUP($A76,INDIRECT(Y$1&amp;loc_voorspell),15,0)&lt;&gt;"",VLOOKUP($A76,INDIRECT(Y$1&amp;loc_voorspell),15,0)+Y75,"")</f>
        <v>375</v>
      </c>
      <c r="Z76" s="304">
        <f ca="1">IF(VLOOKUP($A76,INDIRECT(Z$1&amp;loc_voorspell),15,0)&lt;&gt;"",VLOOKUP($A76,INDIRECT(Z$1&amp;loc_voorspell),15,0)+Z75,"")</f>
        <v>385</v>
      </c>
      <c r="AA76" s="165">
        <f t="shared" ca="1" si="77"/>
        <v>421.25</v>
      </c>
      <c r="AB76" s="178">
        <f t="shared" ca="1" si="79"/>
        <v>3.3333333333333144</v>
      </c>
      <c r="AC76" s="331" t="str">
        <f t="shared" si="78"/>
        <v>Duitsland-Argentinië</v>
      </c>
      <c r="AD76" s="179">
        <f t="shared" ca="1" si="54"/>
        <v>88.75</v>
      </c>
      <c r="AE76" s="179">
        <f t="shared" ca="1" si="55"/>
        <v>108.75</v>
      </c>
      <c r="AF76" s="179">
        <f t="shared" ca="1" si="56"/>
        <v>63.75</v>
      </c>
      <c r="AG76" s="179">
        <f t="shared" ca="1" si="57"/>
        <v>98.75</v>
      </c>
      <c r="AH76" s="179">
        <f t="shared" ca="1" si="58"/>
        <v>48.75</v>
      </c>
      <c r="AI76" s="179">
        <f t="shared" ca="1" si="59"/>
        <v>3.75</v>
      </c>
      <c r="AJ76" s="179">
        <f t="shared" ca="1" si="60"/>
        <v>-21.25</v>
      </c>
      <c r="AK76" s="179">
        <f t="shared" ca="1" si="61"/>
        <v>18.75</v>
      </c>
      <c r="AL76" s="179">
        <f t="shared" ca="1" si="62"/>
        <v>-1.25</v>
      </c>
      <c r="AM76" s="179">
        <f t="shared" ca="1" si="63"/>
        <v>-51.25</v>
      </c>
      <c r="AN76" s="179">
        <f t="shared" ca="1" si="64"/>
        <v>3.75</v>
      </c>
      <c r="AO76" s="179">
        <f t="shared" ca="1" si="65"/>
        <v>8.75</v>
      </c>
      <c r="AP76" s="179">
        <f t="shared" ca="1" si="66"/>
        <v>8.75</v>
      </c>
      <c r="AQ76" s="179">
        <f t="shared" ca="1" si="66"/>
        <v>-1.25</v>
      </c>
      <c r="AR76" s="179">
        <f t="shared" ca="1" si="67"/>
        <v>3.75</v>
      </c>
      <c r="AS76" s="179">
        <f t="shared" ca="1" si="68"/>
        <v>-21.25</v>
      </c>
      <c r="AT76" s="179">
        <f t="shared" ca="1" si="69"/>
        <v>-26.25</v>
      </c>
      <c r="AU76" s="179">
        <f t="shared" ca="1" si="70"/>
        <v>-36.25</v>
      </c>
      <c r="AV76" s="179">
        <f t="shared" ca="1" si="71"/>
        <v>-46.25</v>
      </c>
      <c r="AW76" s="179">
        <f t="shared" ca="1" si="72"/>
        <v>-51.25</v>
      </c>
      <c r="AX76" s="179">
        <f t="shared" ca="1" si="73"/>
        <v>-46.25</v>
      </c>
      <c r="AY76" s="179">
        <f t="shared" ca="1" si="74"/>
        <v>-61.25</v>
      </c>
      <c r="AZ76" s="179">
        <f t="shared" ca="1" si="75"/>
        <v>-46.25</v>
      </c>
      <c r="BA76" s="179">
        <f t="shared" ca="1" si="76"/>
        <v>-36.25</v>
      </c>
    </row>
    <row r="77" spans="1:53">
      <c r="B77" s="432" t="s">
        <v>85</v>
      </c>
      <c r="C77" s="462">
        <f ca="1">IF(C76&lt;&gt;"",INDIRECT(C$1&amp;"!$f$12")+C76,"")</f>
        <v>560</v>
      </c>
      <c r="D77" s="462">
        <f ca="1">IF(D76&lt;&gt;"",INDIRECT(D$1&amp;"!$f$12")+D76,"")</f>
        <v>530</v>
      </c>
      <c r="E77" s="462">
        <f ca="1">IF(E76&lt;&gt;"",INDIRECT(E$1&amp;"!$f$12")+E76,"")</f>
        <v>535</v>
      </c>
      <c r="F77" s="462">
        <f ca="1">IF(F76&lt;&gt;"",INDIRECT(F$1&amp;"!$f$12")+F76,"")</f>
        <v>520</v>
      </c>
      <c r="G77" s="462">
        <f ca="1">IF(G76&lt;&gt;"",INDIRECT(G$1&amp;"!$f$12")+G76,"")</f>
        <v>520</v>
      </c>
      <c r="H77" s="462">
        <f ca="1">IF(H76&lt;&gt;"",INDIRECT(H$1&amp;"!$f$12")+H76,"")</f>
        <v>475</v>
      </c>
      <c r="I77" s="462">
        <f ca="1">IF(I76&lt;&gt;"",INDIRECT(I$1&amp;"!$f$12")+I76,"")</f>
        <v>450</v>
      </c>
      <c r="J77" s="462">
        <f ca="1">IF(J76&lt;&gt;"",INDIRECT(J$1&amp;"!$f$12")+J76,"")</f>
        <v>440</v>
      </c>
      <c r="K77" s="462">
        <f ca="1">IF(K76&lt;&gt;"",INDIRECT(K$1&amp;"!$f$12")+K76,"")</f>
        <v>420</v>
      </c>
      <c r="L77" s="462">
        <f ca="1">IF(L76&lt;&gt;"",INDIRECT(L$1&amp;"!$f$12")+L76,"")</f>
        <v>420</v>
      </c>
      <c r="M77" s="462">
        <f ca="1">IF(M76&lt;&gt;"",INDIRECT(M$1&amp;"!$f$12")+M76,"")</f>
        <v>425</v>
      </c>
      <c r="N77" s="462">
        <f ca="1">IF(N76&lt;&gt;"",INDIRECT(N$1&amp;"!$f$12")+N76,"")</f>
        <v>420</v>
      </c>
      <c r="O77" s="462">
        <f ca="1">IF(O76&lt;&gt;"",INDIRECT(O$1&amp;"!$f$12")+O76,"")</f>
        <v>430</v>
      </c>
      <c r="P77" s="462">
        <f ca="1">IF(P76&lt;&gt;"",INDIRECT(P$1&amp;"!$f$12")+P76,"")</f>
        <v>420</v>
      </c>
      <c r="Q77" s="462">
        <f ca="1">IF(Q76&lt;&gt;"",INDIRECT(Q$1&amp;"!$f$12")+Q76,"")</f>
        <v>425</v>
      </c>
      <c r="R77" s="462">
        <f ca="1">IF(R76&lt;&gt;"",INDIRECT(R$1&amp;"!$f$12")+R76,"")</f>
        <v>400</v>
      </c>
      <c r="S77" s="462">
        <f ca="1">IF(S76&lt;&gt;"",INDIRECT(S$1&amp;"!$f$12")+S76,"")</f>
        <v>395</v>
      </c>
      <c r="T77" s="462">
        <f ca="1">IF(T76&lt;&gt;"",INDIRECT(T$1&amp;"!$f$12")+T76,"")</f>
        <v>385</v>
      </c>
      <c r="U77" s="462">
        <f ca="1">IF(U76&lt;&gt;"",INDIRECT(U$1&amp;"!$f$12")+U76,"")</f>
        <v>375</v>
      </c>
      <c r="V77" s="462">
        <f ca="1">IF(V76&lt;&gt;"",INDIRECT(V$1&amp;"!$f$12")+V76,"")</f>
        <v>370</v>
      </c>
      <c r="W77" s="462">
        <f ca="1">IF(W76&lt;&gt;"",INDIRECT(W$1&amp;"!$f$12")+W76,"")</f>
        <v>375</v>
      </c>
      <c r="X77" s="462">
        <f ca="1">IF(X76&lt;&gt;"",INDIRECT(X$1&amp;"!$f$12")+X76,"")</f>
        <v>360</v>
      </c>
      <c r="Y77" s="462">
        <f ca="1">IF(Y76&lt;&gt;"",INDIRECT(Y$1&amp;"!$f$12")+Y76,"")</f>
        <v>375</v>
      </c>
      <c r="Z77" s="462">
        <f ca="1">IF(Z76&lt;&gt;"",INDIRECT(Z$1&amp;"!$f$12")+Z76,"")</f>
        <v>385</v>
      </c>
      <c r="AA77" s="165">
        <f t="shared" ca="1" si="77"/>
        <v>433.75</v>
      </c>
      <c r="AB77" s="178">
        <f t="shared" ca="1" si="79"/>
        <v>12.5</v>
      </c>
      <c r="AC77" s="331" t="str">
        <f t="shared" si="78"/>
        <v>Bonus winnaar</v>
      </c>
      <c r="AD77" s="179">
        <f t="shared" ca="1" si="54"/>
        <v>126.25</v>
      </c>
      <c r="AE77" s="179">
        <f t="shared" ca="1" si="55"/>
        <v>96.25</v>
      </c>
      <c r="AF77" s="179">
        <f t="shared" ca="1" si="56"/>
        <v>101.25</v>
      </c>
      <c r="AG77" s="179">
        <f t="shared" ca="1" si="57"/>
        <v>86.25</v>
      </c>
      <c r="AH77" s="179">
        <f t="shared" ca="1" si="58"/>
        <v>86.25</v>
      </c>
      <c r="AI77" s="179">
        <f t="shared" ca="1" si="59"/>
        <v>41.25</v>
      </c>
      <c r="AJ77" s="179">
        <f t="shared" ca="1" si="60"/>
        <v>16.25</v>
      </c>
      <c r="AK77" s="179">
        <f t="shared" ca="1" si="61"/>
        <v>6.25</v>
      </c>
      <c r="AL77" s="179">
        <f t="shared" ca="1" si="62"/>
        <v>-13.75</v>
      </c>
      <c r="AM77" s="179">
        <f t="shared" ca="1" si="63"/>
        <v>-13.75</v>
      </c>
      <c r="AN77" s="179">
        <f t="shared" ca="1" si="64"/>
        <v>-8.75</v>
      </c>
      <c r="AO77" s="179">
        <f t="shared" ca="1" si="65"/>
        <v>-3.75</v>
      </c>
      <c r="AP77" s="179">
        <f t="shared" ca="1" si="66"/>
        <v>-3.75</v>
      </c>
      <c r="AQ77" s="179">
        <f t="shared" ca="1" si="66"/>
        <v>-13.75</v>
      </c>
      <c r="AR77" s="179">
        <f t="shared" ca="1" si="67"/>
        <v>-8.75</v>
      </c>
      <c r="AS77" s="179">
        <f t="shared" ca="1" si="68"/>
        <v>-33.75</v>
      </c>
      <c r="AT77" s="179">
        <f t="shared" ca="1" si="69"/>
        <v>-38.75</v>
      </c>
      <c r="AU77" s="179">
        <f t="shared" ca="1" si="70"/>
        <v>-48.75</v>
      </c>
      <c r="AV77" s="179">
        <f t="shared" ca="1" si="71"/>
        <v>-58.75</v>
      </c>
      <c r="AW77" s="179">
        <f t="shared" ca="1" si="72"/>
        <v>-63.75</v>
      </c>
      <c r="AX77" s="179">
        <f t="shared" ca="1" si="73"/>
        <v>-58.75</v>
      </c>
      <c r="AY77" s="179">
        <f t="shared" ca="1" si="74"/>
        <v>-73.75</v>
      </c>
      <c r="AZ77" s="179">
        <f t="shared" ca="1" si="75"/>
        <v>-58.75</v>
      </c>
      <c r="BA77" s="179">
        <f t="shared" ca="1" si="76"/>
        <v>-48.75</v>
      </c>
    </row>
    <row r="78" spans="1:53" hidden="1">
      <c r="C78" s="428">
        <f ca="1">MAX(C2:C77)</f>
        <v>560</v>
      </c>
      <c r="D78" s="428">
        <f ca="1">MAX(D2:D77)</f>
        <v>530</v>
      </c>
      <c r="E78" s="428">
        <f ca="1">MAX(E2:E77)</f>
        <v>535</v>
      </c>
      <c r="F78" s="428">
        <f ca="1">MAX(F2:F77)</f>
        <v>520</v>
      </c>
      <c r="G78" s="428">
        <f ca="1">MAX(G2:G77)</f>
        <v>520</v>
      </c>
      <c r="H78" s="428">
        <f ca="1">MAX(H2:H77)</f>
        <v>475</v>
      </c>
      <c r="I78" s="428">
        <f ca="1">MAX(I2:I77)</f>
        <v>450</v>
      </c>
      <c r="J78" s="428">
        <f ca="1">MAX(J2:J77)</f>
        <v>440</v>
      </c>
      <c r="K78" s="428">
        <f ca="1">MAX(K2:K77)</f>
        <v>420</v>
      </c>
      <c r="L78" s="428">
        <f ca="1">MAX(L2:L77)</f>
        <v>420</v>
      </c>
      <c r="M78" s="428">
        <f ca="1">MAX(M2:M77)</f>
        <v>425</v>
      </c>
      <c r="N78" s="428">
        <f ca="1">MAX(N2:N77)</f>
        <v>420</v>
      </c>
      <c r="O78" s="428">
        <f ca="1">MAX(O2:O77)</f>
        <v>430</v>
      </c>
      <c r="P78" s="428">
        <f ca="1">MAX(P2:P77)</f>
        <v>420</v>
      </c>
      <c r="Q78" s="428">
        <f ca="1">MAX(Q2:Q77)</f>
        <v>425</v>
      </c>
      <c r="R78" s="428">
        <f ca="1">MAX(R2:R77)</f>
        <v>400</v>
      </c>
      <c r="S78" s="428">
        <f ca="1">MAX(S2:S77)</f>
        <v>395</v>
      </c>
      <c r="T78" s="428">
        <f ca="1">MAX(T2:T77)</f>
        <v>385</v>
      </c>
      <c r="U78" s="428">
        <f ca="1">MAX(U2:U77)</f>
        <v>375</v>
      </c>
      <c r="V78" s="428">
        <f ca="1">MAX(V2:V77)</f>
        <v>370</v>
      </c>
      <c r="W78" s="428">
        <f ca="1">MAX(W2:W77)</f>
        <v>375</v>
      </c>
      <c r="X78" s="428">
        <f ca="1">MAX(X2:X77)</f>
        <v>360</v>
      </c>
      <c r="Y78" s="428">
        <f ca="1">MAX(Y2:Y77)</f>
        <v>375</v>
      </c>
      <c r="Z78" s="428">
        <f ca="1">MAX(Z2:Z77)</f>
        <v>385</v>
      </c>
    </row>
    <row r="79" spans="1:53" ht="13.5" thickBot="1">
      <c r="B79" s="155" t="s">
        <v>580</v>
      </c>
      <c r="C79" s="464">
        <v>75</v>
      </c>
      <c r="D79" s="464">
        <v>74</v>
      </c>
      <c r="E79" s="464">
        <v>64</v>
      </c>
      <c r="F79" s="464">
        <v>69</v>
      </c>
      <c r="G79" s="464">
        <v>57</v>
      </c>
      <c r="H79" s="464">
        <v>80</v>
      </c>
      <c r="I79" s="464">
        <v>58</v>
      </c>
      <c r="J79" s="464">
        <v>62</v>
      </c>
      <c r="K79" s="464">
        <v>81</v>
      </c>
      <c r="L79" s="464">
        <v>71</v>
      </c>
      <c r="M79" s="464">
        <v>62</v>
      </c>
      <c r="N79" s="464">
        <v>62</v>
      </c>
      <c r="O79" s="464">
        <v>45</v>
      </c>
      <c r="P79" s="464">
        <v>47</v>
      </c>
      <c r="Q79" s="464">
        <v>36</v>
      </c>
      <c r="R79" s="464">
        <v>61</v>
      </c>
      <c r="S79" s="464">
        <v>60</v>
      </c>
      <c r="T79" s="464">
        <v>68</v>
      </c>
      <c r="U79" s="464">
        <v>70</v>
      </c>
      <c r="V79" s="464">
        <v>64</v>
      </c>
      <c r="W79" s="464">
        <v>58</v>
      </c>
      <c r="X79" s="464">
        <v>64</v>
      </c>
      <c r="Y79" s="464">
        <v>39</v>
      </c>
      <c r="Z79" s="464">
        <v>0</v>
      </c>
    </row>
    <row r="80" spans="1:53" s="305" customFormat="1" ht="13.5" thickBot="1">
      <c r="C80" s="463">
        <f ca="1">SUM(C78:C79)</f>
        <v>635</v>
      </c>
      <c r="D80" s="463">
        <f ca="1">SUM(D78:D79)</f>
        <v>604</v>
      </c>
      <c r="E80" s="463">
        <f ca="1">SUM(E78:E79)</f>
        <v>599</v>
      </c>
      <c r="F80" s="463">
        <f ca="1">SUM(F78:F79)</f>
        <v>589</v>
      </c>
      <c r="G80" s="463">
        <f ca="1">SUM(G78:G79)</f>
        <v>577</v>
      </c>
      <c r="H80" s="463">
        <f ca="1">SUM(H78:H79)</f>
        <v>555</v>
      </c>
      <c r="I80" s="463">
        <f ca="1">SUM(I78:I79)</f>
        <v>508</v>
      </c>
      <c r="J80" s="463">
        <f ca="1">SUM(J78:J79)</f>
        <v>502</v>
      </c>
      <c r="K80" s="463">
        <f ca="1">SUM(K78:K79)</f>
        <v>501</v>
      </c>
      <c r="L80" s="463">
        <f ca="1">SUM(L78:L79)</f>
        <v>491</v>
      </c>
      <c r="M80" s="463">
        <f ca="1">SUM(M78:M79)</f>
        <v>487</v>
      </c>
      <c r="N80" s="463">
        <f ca="1">SUM(N78:N79)</f>
        <v>482</v>
      </c>
      <c r="O80" s="463">
        <f ca="1">SUM(O78:O79)</f>
        <v>475</v>
      </c>
      <c r="P80" s="463">
        <f ca="1">SUM(P78:P79)</f>
        <v>467</v>
      </c>
      <c r="Q80" s="463">
        <f ca="1">SUM(Q78:Q79)</f>
        <v>461</v>
      </c>
      <c r="R80" s="463">
        <f ca="1">SUM(R78:R79)</f>
        <v>461</v>
      </c>
      <c r="S80" s="463">
        <f ca="1">SUM(S78:S79)</f>
        <v>455</v>
      </c>
      <c r="T80" s="463">
        <f ca="1">SUM(T78:T79)</f>
        <v>453</v>
      </c>
      <c r="U80" s="463">
        <f ca="1">SUM(U78:U79)</f>
        <v>445</v>
      </c>
      <c r="V80" s="463">
        <f ca="1">SUM(V78:V79)</f>
        <v>434</v>
      </c>
      <c r="W80" s="463">
        <f ca="1">SUM(W78:W79)</f>
        <v>433</v>
      </c>
      <c r="X80" s="463">
        <f ca="1">SUM(X78:X79)</f>
        <v>424</v>
      </c>
      <c r="Y80" s="463">
        <f ca="1">SUM(Y78:Y79)</f>
        <v>414</v>
      </c>
      <c r="Z80" s="463">
        <f ca="1">SUM(Z78:Z79)</f>
        <v>385</v>
      </c>
      <c r="AA80" s="306"/>
    </row>
    <row r="81" spans="2:26">
      <c r="C81" s="459">
        <v>1</v>
      </c>
      <c r="D81" s="459">
        <v>2</v>
      </c>
      <c r="E81" s="459">
        <v>3</v>
      </c>
      <c r="F81" s="459">
        <v>4</v>
      </c>
      <c r="G81" s="459">
        <v>5</v>
      </c>
      <c r="H81" s="459">
        <v>6</v>
      </c>
      <c r="I81" s="459">
        <v>7</v>
      </c>
      <c r="J81" s="459">
        <v>8</v>
      </c>
      <c r="K81" s="459">
        <v>9</v>
      </c>
      <c r="L81" s="459">
        <v>10</v>
      </c>
      <c r="M81" s="459">
        <v>11</v>
      </c>
      <c r="N81" s="459">
        <v>12</v>
      </c>
      <c r="O81" s="459">
        <v>13</v>
      </c>
      <c r="P81" s="459">
        <v>14</v>
      </c>
      <c r="Q81" s="459">
        <v>15</v>
      </c>
      <c r="R81" s="459">
        <v>16</v>
      </c>
      <c r="S81" s="459">
        <v>17</v>
      </c>
      <c r="T81" s="459">
        <v>18</v>
      </c>
      <c r="U81" s="459">
        <v>19</v>
      </c>
      <c r="V81" s="459">
        <v>20</v>
      </c>
      <c r="W81" s="459">
        <v>21</v>
      </c>
      <c r="X81" s="459">
        <v>22</v>
      </c>
      <c r="Y81" s="459">
        <v>23</v>
      </c>
      <c r="Z81" s="459">
        <v>24</v>
      </c>
    </row>
    <row r="83" spans="2:26">
      <c r="C83" s="460">
        <v>0.4</v>
      </c>
      <c r="D83" s="460">
        <v>0.25</v>
      </c>
      <c r="E83" s="460">
        <v>0.15</v>
      </c>
      <c r="F83" s="460">
        <v>0.1</v>
      </c>
      <c r="G83" s="460">
        <v>0.05</v>
      </c>
      <c r="Z83" s="460">
        <v>0.05</v>
      </c>
    </row>
    <row r="84" spans="2:26">
      <c r="B84" s="461">
        <f>aantal_deelnemers*10</f>
        <v>240</v>
      </c>
      <c r="C84" s="465">
        <f>C83*$B$84</f>
        <v>96</v>
      </c>
      <c r="D84" s="465">
        <f t="shared" ref="D84:G84" si="80">D83*$B$84</f>
        <v>60</v>
      </c>
      <c r="E84" s="465">
        <f t="shared" si="80"/>
        <v>36</v>
      </c>
      <c r="F84" s="465">
        <f t="shared" si="80"/>
        <v>24</v>
      </c>
      <c r="G84" s="465">
        <f t="shared" si="80"/>
        <v>12</v>
      </c>
    </row>
  </sheetData>
  <sheetProtection formatCells="0" formatColumns="0" formatRows="0" insertColumns="0" insertRows="0" sort="0"/>
  <sortState columnSort="1" ref="C1:Z83">
    <sortCondition descending="1" ref="C80:Z80"/>
  </sortState>
  <pageMargins left="0.7" right="0.7" top="0.75" bottom="0.75" header="0.51180555555555551" footer="0.51180555555555551"/>
  <pageSetup paperSize="9" firstPageNumber="0"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sheetPr codeName="Blad35">
    <tabColor theme="4" tint="-0.249977111117893"/>
    <pageSetUpPr fitToPage="1"/>
  </sheetPr>
  <dimension ref="C59:E61"/>
  <sheetViews>
    <sheetView zoomScale="55" zoomScaleNormal="55" workbookViewId="0">
      <selection activeCell="H1" sqref="H1"/>
    </sheetView>
  </sheetViews>
  <sheetFormatPr defaultColWidth="8.5703125" defaultRowHeight="12.75"/>
  <cols>
    <col min="5" max="5" width="10.7109375" bestFit="1" customWidth="1"/>
  </cols>
  <sheetData>
    <row r="59" spans="3:5">
      <c r="C59" s="329" t="s">
        <v>414</v>
      </c>
      <c r="E59">
        <f>aantal_deelnemers</f>
        <v>24</v>
      </c>
    </row>
    <row r="60" spans="3:5">
      <c r="C60" s="329" t="s">
        <v>412</v>
      </c>
      <c r="E60" s="330" t="s">
        <v>415</v>
      </c>
    </row>
    <row r="61" spans="3:5">
      <c r="C61" s="329" t="s">
        <v>413</v>
      </c>
      <c r="E61" s="330"/>
    </row>
  </sheetData>
  <sheetProtection selectLockedCells="1" selectUnlockedCells="1"/>
  <pageMargins left="0.7" right="0.7" top="0.75" bottom="0.75" header="0.51180555555555551" footer="0.51180555555555551"/>
  <pageSetup firstPageNumber="0" orientation="landscape" horizontalDpi="300" verticalDpi="300"/>
  <headerFooter alignWithMargins="0"/>
  <drawing r:id="rId1"/>
</worksheet>
</file>

<file path=xl/worksheets/sheet9.xml><?xml version="1.0" encoding="utf-8"?>
<worksheet xmlns="http://schemas.openxmlformats.org/spreadsheetml/2006/main" xmlns:r="http://schemas.openxmlformats.org/officeDocument/2006/relationships">
  <sheetPr codeName="Blad5">
    <pageSetUpPr fitToPage="1"/>
  </sheetPr>
  <dimension ref="A1"/>
  <sheetViews>
    <sheetView zoomScale="70" zoomScaleNormal="70" workbookViewId="0">
      <selection activeCell="AI20" sqref="AI20"/>
    </sheetView>
  </sheetViews>
  <sheetFormatPr defaultColWidth="8.5703125" defaultRowHeight="12.75"/>
  <sheetData/>
  <sheetProtection selectLockedCells="1" selectUnlockedCells="1"/>
  <pageMargins left="0.7" right="0.7" top="0.75" bottom="0.75" header="0.51180555555555551" footer="0.51180555555555551"/>
  <pageSetup firstPageNumber="0" orientation="landscape" horizontalDpi="300" verticalDpi="300"/>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35</vt:i4>
      </vt:variant>
      <vt:variant>
        <vt:lpstr>Benoemde bereiken</vt:lpstr>
      </vt:variant>
      <vt:variant>
        <vt:i4>21</vt:i4>
      </vt:variant>
    </vt:vector>
  </HeadingPairs>
  <TitlesOfParts>
    <vt:vector size="56" baseType="lpstr">
      <vt:lpstr>Punten telling</vt:lpstr>
      <vt:lpstr>Invulblad</vt:lpstr>
      <vt:lpstr>Poule berekeningen</vt:lpstr>
      <vt:lpstr>Toernooigegevens</vt:lpstr>
      <vt:lpstr>LOGBOEK</vt:lpstr>
      <vt:lpstr>quickview</vt:lpstr>
      <vt:lpstr>score</vt:lpstr>
      <vt:lpstr>Grafiek</vt:lpstr>
      <vt:lpstr>Grafiek_oud</vt:lpstr>
      <vt:lpstr>gem.</vt:lpstr>
      <vt:lpstr>Angele</vt:lpstr>
      <vt:lpstr>Annita</vt:lpstr>
      <vt:lpstr>Carin</vt:lpstr>
      <vt:lpstr>Dries</vt:lpstr>
      <vt:lpstr>Ellen</vt:lpstr>
      <vt:lpstr>Eric</vt:lpstr>
      <vt:lpstr>Frank</vt:lpstr>
      <vt:lpstr>Gerard</vt:lpstr>
      <vt:lpstr>Jan</vt:lpstr>
      <vt:lpstr>Jolanthe</vt:lpstr>
      <vt:lpstr>Joris</vt:lpstr>
      <vt:lpstr>Junior</vt:lpstr>
      <vt:lpstr>Leen</vt:lpstr>
      <vt:lpstr>Linda</vt:lpstr>
      <vt:lpstr>Lothar</vt:lpstr>
      <vt:lpstr>Marc</vt:lpstr>
      <vt:lpstr>Mariel</vt:lpstr>
      <vt:lpstr>Marjon</vt:lpstr>
      <vt:lpstr>Matthijs</vt:lpstr>
      <vt:lpstr>Nijdam_sr</vt:lpstr>
      <vt:lpstr>Paul</vt:lpstr>
      <vt:lpstr>PeterK</vt:lpstr>
      <vt:lpstr>Reindert</vt:lpstr>
      <vt:lpstr>Willem</vt:lpstr>
      <vt:lpstr>Bonusvragen</vt:lpstr>
      <vt:lpstr>_C</vt:lpstr>
      <vt:lpstr>_test</vt:lpstr>
      <vt:lpstr>A</vt:lpstr>
      <vt:lpstr>Invulblad!Afdrukbereik</vt:lpstr>
      <vt:lpstr>B</vt:lpstr>
      <vt:lpstr>D</vt:lpstr>
      <vt:lpstr>E</vt:lpstr>
      <vt:lpstr>F</vt:lpstr>
      <vt:lpstr>G</vt:lpstr>
      <vt:lpstr>H</vt:lpstr>
      <vt:lpstr>scores</vt:lpstr>
      <vt:lpstr>teams_achtste</vt:lpstr>
      <vt:lpstr>teams_fin</vt:lpstr>
      <vt:lpstr>teams_halve</vt:lpstr>
      <vt:lpstr>teams_kwart</vt:lpstr>
      <vt:lpstr>teams_troost</vt:lpstr>
      <vt:lpstr>TotoVoorronden</vt:lpstr>
      <vt:lpstr>tscores</vt:lpstr>
      <vt:lpstr>uitslagen1</vt:lpstr>
      <vt:lpstr>Vanaf8eFinales</vt:lpstr>
      <vt:lpstr>wedstrijden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Berkhout, Ernest</dc:creator>
  <cp:lastModifiedBy>Ernest Berkhout</cp:lastModifiedBy>
  <dcterms:created xsi:type="dcterms:W3CDTF">2010-06-24T08:21:53Z</dcterms:created>
  <dcterms:modified xsi:type="dcterms:W3CDTF">2014-07-18T09:38:25Z</dcterms:modified>
</cp:coreProperties>
</file>