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16380" windowHeight="8190" tabRatio="941" firstSheet="1" activeTab="2"/>
  </bookViews>
  <sheets>
    <sheet name="Punten telling" sheetId="1" state="hidden" r:id="rId1"/>
    <sheet name="Invulblad" sheetId="2" r:id="rId2"/>
    <sheet name="quickview" sheetId="3" r:id="rId3"/>
    <sheet name="score" sheetId="4" r:id="rId4"/>
    <sheet name="Grafiek" sheetId="33" r:id="rId5"/>
    <sheet name="gem." sheetId="6" r:id="rId6"/>
    <sheet name="Harro" sheetId="7" r:id="rId7"/>
    <sheet name="Angele" sheetId="11" r:id="rId8"/>
    <sheet name="City" sheetId="8" r:id="rId9"/>
    <sheet name="Matthijs" sheetId="23" r:id="rId10"/>
    <sheet name="Jan" sheetId="9" r:id="rId11"/>
    <sheet name="Linda" sheetId="17" r:id="rId12"/>
    <sheet name="José" sheetId="24" r:id="rId13"/>
    <sheet name="Lafleur" sheetId="13" r:id="rId14"/>
    <sheet name="Mariel" sheetId="10" r:id="rId15"/>
    <sheet name="Leen" sheetId="21" r:id="rId16"/>
    <sheet name="Jerome" sheetId="16" r:id="rId17"/>
    <sheet name="Reindert" sheetId="12" r:id="rId18"/>
    <sheet name="Gerard" sheetId="20" r:id="rId19"/>
    <sheet name="Willem" sheetId="22" r:id="rId20"/>
    <sheet name="Eric" sheetId="27" r:id="rId21"/>
    <sheet name="Paul" sheetId="15" r:id="rId22"/>
    <sheet name="Joris" sheetId="18" r:id="rId23"/>
    <sheet name="PeterK" sheetId="14" r:id="rId24"/>
    <sheet name="Lothar" sheetId="19" r:id="rId25"/>
    <sheet name="Annita" sheetId="25" r:id="rId26"/>
    <sheet name="LeSu" sheetId="26" r:id="rId27"/>
    <sheet name="Frank" sheetId="28" r:id="rId28"/>
    <sheet name="LOGBOEK" sheetId="32" r:id="rId29"/>
    <sheet name="Bonusvragen" sheetId="29" state="hidden" r:id="rId30"/>
    <sheet name="Poule berekeningen" sheetId="30" state="hidden" r:id="rId31"/>
    <sheet name="Toernooigegevens" sheetId="31" state="hidden" r:id="rId32"/>
  </sheets>
  <definedNames>
    <definedName name="_C">Invulblad!$P$27:$P$30</definedName>
    <definedName name="A">Invulblad!$P$11:$P$14</definedName>
    <definedName name="a_24">José!$B$12</definedName>
    <definedName name="_xlnm.Print_Area" localSheetId="1">Invulblad!$A$1:$AB$104</definedName>
    <definedName name="B">Invulblad!$P$19:$P$22</definedName>
    <definedName name="b_24">José!$B$20</definedName>
    <definedName name="bgkleur">Invulblad!$E$76:$E$83+Invulblad!$K$76:$K$83+Invulblad!$E$87:$E$90+Invulblad!$K$87:$K$90+Invulblad!$E$94:$E$95+Invulblad!$K$94:$K$95+Invulblad!$K$99+Invulblad!$E$99+Invulblad!$E$103+Invulblad!$K$103</definedName>
    <definedName name="D">Invulblad!$P$35:$P$38</definedName>
    <definedName name="d_24">José!$B$34</definedName>
    <definedName name="E">Invulblad!$P$43:$P$46</definedName>
    <definedName name="e_24">José!$B$41</definedName>
    <definedName name="F">Invulblad!$P$51:$P$54</definedName>
    <definedName name="f_24">José!$B$48</definedName>
    <definedName name="G">Invulblad!$P$59:$P$62</definedName>
    <definedName name="g_24">José!$B$55</definedName>
    <definedName name="H">Invulblad!$P$67:$P$70</definedName>
    <definedName name="h_24">José!$B$62</definedName>
    <definedName name="TotoVoorronden">(Invulblad!$M$11:$M$16,Invulblad!$M$19:$M$24,Invulblad!$M$27:$M$32,Invulblad!$M$35:$M$40,Invulblad!$M$43:$M$48,Invulblad!$M$51:$M$56,Invulblad!$M$59:$M$64,Invulblad!$M$67:$M$72)</definedName>
    <definedName name="Vanaf8eFinales">(Invulblad!$M$76:$M$83,Invulblad!$M$87:$M$90,Invulblad!$M$94:$M$95,Invulblad!$M$99,Invulblad!$M$103)</definedName>
  </definedNames>
  <calcPr calcId="125725"/>
</workbook>
</file>

<file path=xl/calcChain.xml><?xml version="1.0" encoding="utf-8"?>
<calcChain xmlns="http://schemas.openxmlformats.org/spreadsheetml/2006/main">
  <c r="H95" i="3"/>
  <c r="X95"/>
  <c r="I95"/>
  <c r="W95"/>
  <c r="M95"/>
  <c r="F95"/>
  <c r="V95"/>
  <c r="L95"/>
  <c r="N95"/>
  <c r="U95"/>
  <c r="T95"/>
  <c r="C95"/>
  <c r="S95"/>
  <c r="R95"/>
  <c r="J95"/>
  <c r="Q95"/>
  <c r="P95"/>
  <c r="O95"/>
  <c r="E95"/>
  <c r="G95"/>
  <c r="K95"/>
  <c r="D95"/>
  <c r="B95"/>
  <c r="H94"/>
  <c r="X94"/>
  <c r="I94"/>
  <c r="W94"/>
  <c r="M94"/>
  <c r="F94"/>
  <c r="V94"/>
  <c r="L94"/>
  <c r="N94"/>
  <c r="U94"/>
  <c r="T94"/>
  <c r="C94"/>
  <c r="S94"/>
  <c r="R94"/>
  <c r="J94"/>
  <c r="Q94"/>
  <c r="P94"/>
  <c r="O94"/>
  <c r="E94"/>
  <c r="G94"/>
  <c r="K94"/>
  <c r="D94"/>
  <c r="B94"/>
  <c r="H92"/>
  <c r="X92"/>
  <c r="I92"/>
  <c r="W92"/>
  <c r="M92"/>
  <c r="F92"/>
  <c r="V92"/>
  <c r="L92"/>
  <c r="N92"/>
  <c r="U92"/>
  <c r="T92"/>
  <c r="C92"/>
  <c r="S92"/>
  <c r="R92"/>
  <c r="J92"/>
  <c r="Q92"/>
  <c r="P92"/>
  <c r="O92"/>
  <c r="E92"/>
  <c r="G92"/>
  <c r="K92"/>
  <c r="D92"/>
  <c r="B92"/>
  <c r="H91"/>
  <c r="X91"/>
  <c r="I91"/>
  <c r="W91"/>
  <c r="M91"/>
  <c r="F91"/>
  <c r="V91"/>
  <c r="L91"/>
  <c r="N91"/>
  <c r="U91"/>
  <c r="T91"/>
  <c r="C91"/>
  <c r="S91"/>
  <c r="R91"/>
  <c r="J91"/>
  <c r="Q91"/>
  <c r="P91"/>
  <c r="O91"/>
  <c r="E91"/>
  <c r="G91"/>
  <c r="K91"/>
  <c r="D91"/>
  <c r="B91"/>
  <c r="F2" i="4"/>
  <c r="H2"/>
  <c r="G2"/>
  <c r="J2"/>
  <c r="I2"/>
  <c r="K2"/>
  <c r="L2"/>
  <c r="M2"/>
  <c r="N2"/>
  <c r="O2"/>
  <c r="Q2"/>
  <c r="R2"/>
  <c r="P2"/>
  <c r="T2"/>
  <c r="S2"/>
  <c r="U2"/>
  <c r="V2"/>
  <c r="W2"/>
  <c r="X2"/>
  <c r="C2"/>
  <c r="D2"/>
  <c r="O89" i="6" l="1"/>
  <c r="M89"/>
  <c r="O87"/>
  <c r="M87"/>
  <c r="O84"/>
  <c r="M84"/>
  <c r="O79"/>
  <c r="M79"/>
  <c r="O70"/>
  <c r="M70"/>
  <c r="O63"/>
  <c r="M63"/>
  <c r="O56"/>
  <c r="M56"/>
  <c r="O49"/>
  <c r="M49"/>
  <c r="O42"/>
  <c r="M42"/>
  <c r="O35"/>
  <c r="M35"/>
  <c r="O28"/>
  <c r="M28"/>
  <c r="O21"/>
  <c r="M21"/>
  <c r="E2" i="4"/>
  <c r="A36" l="1"/>
  <c r="A39"/>
  <c r="A42"/>
  <c r="A45"/>
  <c r="A48"/>
  <c r="A51"/>
  <c r="A54"/>
  <c r="A57"/>
  <c r="B3" i="11" l="1"/>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5"/>
  <c r="D3"/>
  <c r="G3"/>
  <c r="J3"/>
  <c r="B4"/>
  <c r="D4"/>
  <c r="G4"/>
  <c r="J4"/>
  <c r="B5"/>
  <c r="D5"/>
  <c r="G5"/>
  <c r="J5"/>
  <c r="B6"/>
  <c r="D6"/>
  <c r="G6"/>
  <c r="J6"/>
  <c r="B7"/>
  <c r="D7"/>
  <c r="G7"/>
  <c r="B8"/>
  <c r="D8"/>
  <c r="G8"/>
  <c r="B9"/>
  <c r="D9"/>
  <c r="G9"/>
  <c r="J9"/>
  <c r="B10"/>
  <c r="D10"/>
  <c r="G10"/>
  <c r="J10"/>
  <c r="F12"/>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C10" i="29"/>
  <c r="B3" i="8"/>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7"/>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8"/>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6"/>
  <c r="D3"/>
  <c r="G3"/>
  <c r="J3"/>
  <c r="B4"/>
  <c r="D4"/>
  <c r="G4"/>
  <c r="J4"/>
  <c r="B5"/>
  <c r="D5"/>
  <c r="G5"/>
  <c r="J5"/>
  <c r="B6"/>
  <c r="D6"/>
  <c r="G6"/>
  <c r="J6"/>
  <c r="B7"/>
  <c r="D7"/>
  <c r="G7"/>
  <c r="B8"/>
  <c r="D8"/>
  <c r="G8"/>
  <c r="B9"/>
  <c r="D9"/>
  <c r="G9"/>
  <c r="J9"/>
  <c r="B10"/>
  <c r="D10"/>
  <c r="G10"/>
  <c r="J10"/>
  <c r="F13"/>
  <c r="H15"/>
  <c r="J15"/>
  <c r="H16"/>
  <c r="J16"/>
  <c r="H17"/>
  <c r="J17"/>
  <c r="H18"/>
  <c r="J18"/>
  <c r="H19"/>
  <c r="J19"/>
  <c r="H20"/>
  <c r="J20"/>
  <c r="H22"/>
  <c r="J22"/>
  <c r="H23"/>
  <c r="J23"/>
  <c r="H24"/>
  <c r="J24"/>
  <c r="H25"/>
  <c r="J25"/>
  <c r="H26"/>
  <c r="J26"/>
  <c r="H27"/>
  <c r="J27"/>
  <c r="H29"/>
  <c r="J29"/>
  <c r="H30"/>
  <c r="J30"/>
  <c r="H31"/>
  <c r="J31"/>
  <c r="H32"/>
  <c r="J32"/>
  <c r="H33"/>
  <c r="J33"/>
  <c r="H34"/>
  <c r="J34"/>
  <c r="H36"/>
  <c r="J36"/>
  <c r="H37"/>
  <c r="J37"/>
  <c r="H38"/>
  <c r="J38"/>
  <c r="H39"/>
  <c r="J39"/>
  <c r="H40"/>
  <c r="J40"/>
  <c r="H41"/>
  <c r="J41"/>
  <c r="H43"/>
  <c r="J43"/>
  <c r="H44"/>
  <c r="J44"/>
  <c r="H45"/>
  <c r="J45"/>
  <c r="H46"/>
  <c r="J46"/>
  <c r="H47"/>
  <c r="J47"/>
  <c r="H48"/>
  <c r="J48"/>
  <c r="H50"/>
  <c r="J50"/>
  <c r="H51"/>
  <c r="J51"/>
  <c r="H52"/>
  <c r="J52"/>
  <c r="H53"/>
  <c r="J53"/>
  <c r="H54"/>
  <c r="J54"/>
  <c r="H55"/>
  <c r="J55"/>
  <c r="H57"/>
  <c r="J57"/>
  <c r="H58"/>
  <c r="J58"/>
  <c r="H59"/>
  <c r="J59"/>
  <c r="H60"/>
  <c r="J60"/>
  <c r="H61"/>
  <c r="J61"/>
  <c r="H62"/>
  <c r="J62"/>
  <c r="H64"/>
  <c r="J64"/>
  <c r="H65"/>
  <c r="J65"/>
  <c r="H66"/>
  <c r="J66"/>
  <c r="H67"/>
  <c r="J67"/>
  <c r="H68"/>
  <c r="J68"/>
  <c r="H69"/>
  <c r="J69"/>
  <c r="H71"/>
  <c r="J71"/>
  <c r="H72"/>
  <c r="J72"/>
  <c r="H73"/>
  <c r="J73"/>
  <c r="H74"/>
  <c r="J74"/>
  <c r="H75"/>
  <c r="J75"/>
  <c r="H76"/>
  <c r="J76"/>
  <c r="H77"/>
  <c r="J77"/>
  <c r="H78"/>
  <c r="J78"/>
  <c r="H80"/>
  <c r="J80"/>
  <c r="H81"/>
  <c r="J81"/>
  <c r="H82"/>
  <c r="J82"/>
  <c r="H83"/>
  <c r="J83"/>
  <c r="H85"/>
  <c r="J85"/>
  <c r="H86"/>
  <c r="J86"/>
  <c r="H88"/>
  <c r="J88"/>
  <c r="H90"/>
  <c r="J90"/>
  <c r="B3" i="20"/>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7"/>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R10" i="2"/>
  <c r="AD10"/>
  <c r="AE10"/>
  <c r="A11"/>
  <c r="L14" i="13" s="1"/>
  <c r="M14" s="1"/>
  <c r="B11" i="2"/>
  <c r="C11"/>
  <c r="D11"/>
  <c r="M11"/>
  <c r="Q11"/>
  <c r="O11" s="1"/>
  <c r="AD11"/>
  <c r="AE11"/>
  <c r="AM11"/>
  <c r="A12"/>
  <c r="B12"/>
  <c r="C12"/>
  <c r="D12"/>
  <c r="M12"/>
  <c r="Q12"/>
  <c r="O12" s="1"/>
  <c r="AD12"/>
  <c r="AE12"/>
  <c r="AM12"/>
  <c r="A13"/>
  <c r="AD18" i="30" s="1"/>
  <c r="B13" i="2"/>
  <c r="C13"/>
  <c r="D13"/>
  <c r="M13"/>
  <c r="Q13"/>
  <c r="O13" s="1"/>
  <c r="AD13"/>
  <c r="AE13"/>
  <c r="AM13"/>
  <c r="A14"/>
  <c r="B14"/>
  <c r="C14"/>
  <c r="D14"/>
  <c r="M14"/>
  <c r="Q14"/>
  <c r="O14" s="1"/>
  <c r="AD14"/>
  <c r="AE14"/>
  <c r="AM14"/>
  <c r="A15"/>
  <c r="AD20" i="30" s="1"/>
  <c r="B15" i="2"/>
  <c r="C15"/>
  <c r="D15"/>
  <c r="M15"/>
  <c r="P15"/>
  <c r="AD15"/>
  <c r="AE15"/>
  <c r="AM15"/>
  <c r="A16"/>
  <c r="B16"/>
  <c r="C16"/>
  <c r="D16"/>
  <c r="M16"/>
  <c r="P16"/>
  <c r="AD16"/>
  <c r="AE16"/>
  <c r="AM16"/>
  <c r="P17"/>
  <c r="AM17"/>
  <c r="P18"/>
  <c r="R18"/>
  <c r="AM18"/>
  <c r="A19"/>
  <c r="B19"/>
  <c r="C19"/>
  <c r="D19"/>
  <c r="M19"/>
  <c r="Q19"/>
  <c r="O19" s="1"/>
  <c r="AD19"/>
  <c r="AE19"/>
  <c r="AM19"/>
  <c r="A20"/>
  <c r="AD32" i="30" s="1"/>
  <c r="B20" i="2"/>
  <c r="C20"/>
  <c r="D20"/>
  <c r="M20"/>
  <c r="Q20"/>
  <c r="O20" s="1"/>
  <c r="AD20"/>
  <c r="AE20"/>
  <c r="AM20"/>
  <c r="A21"/>
  <c r="B21"/>
  <c r="C21"/>
  <c r="D21"/>
  <c r="M21"/>
  <c r="Q21"/>
  <c r="O21" s="1"/>
  <c r="AD21"/>
  <c r="AE21"/>
  <c r="AM21"/>
  <c r="A22"/>
  <c r="AD34" i="30" s="1"/>
  <c r="B22" i="2"/>
  <c r="C22"/>
  <c r="D22"/>
  <c r="M22"/>
  <c r="Q22"/>
  <c r="O22" s="1"/>
  <c r="AD22"/>
  <c r="AE22"/>
  <c r="AM22"/>
  <c r="A23"/>
  <c r="B23"/>
  <c r="C23"/>
  <c r="D23"/>
  <c r="M23"/>
  <c r="P23"/>
  <c r="AD23"/>
  <c r="AE23"/>
  <c r="AM23"/>
  <c r="A24"/>
  <c r="AD36" i="30" s="1"/>
  <c r="B24" i="2"/>
  <c r="C24"/>
  <c r="D24"/>
  <c r="M24"/>
  <c r="P24"/>
  <c r="AD24"/>
  <c r="AE24"/>
  <c r="AM24"/>
  <c r="P25"/>
  <c r="AM25"/>
  <c r="P26"/>
  <c r="R26"/>
  <c r="Q30" s="1"/>
  <c r="O30" s="1"/>
  <c r="AM26"/>
  <c r="A27"/>
  <c r="B27"/>
  <c r="C27"/>
  <c r="D27"/>
  <c r="M27"/>
  <c r="AM27" s="1"/>
  <c r="AD27"/>
  <c r="AE27"/>
  <c r="A28"/>
  <c r="B28"/>
  <c r="C28"/>
  <c r="D28"/>
  <c r="M28"/>
  <c r="AM28" s="1"/>
  <c r="AD28"/>
  <c r="AE28"/>
  <c r="A29"/>
  <c r="AM29" s="1"/>
  <c r="B29"/>
  <c r="C29"/>
  <c r="D29"/>
  <c r="M29"/>
  <c r="AD29"/>
  <c r="AE29"/>
  <c r="A30"/>
  <c r="B30"/>
  <c r="C30"/>
  <c r="D30"/>
  <c r="M30"/>
  <c r="AD30"/>
  <c r="AE30"/>
  <c r="AM30"/>
  <c r="A31"/>
  <c r="B31"/>
  <c r="C31"/>
  <c r="D31"/>
  <c r="M31"/>
  <c r="AM31" s="1"/>
  <c r="P31"/>
  <c r="AD31"/>
  <c r="AE31"/>
  <c r="A32"/>
  <c r="AM32" s="1"/>
  <c r="B32"/>
  <c r="C32"/>
  <c r="D32"/>
  <c r="M32"/>
  <c r="P32"/>
  <c r="AD32"/>
  <c r="AE32"/>
  <c r="M33"/>
  <c r="AE33" s="1"/>
  <c r="P33"/>
  <c r="AD33"/>
  <c r="AM33"/>
  <c r="P34"/>
  <c r="R34"/>
  <c r="Q35" s="1"/>
  <c r="O35" s="1"/>
  <c r="AM34"/>
  <c r="A35"/>
  <c r="B35"/>
  <c r="C35"/>
  <c r="D35"/>
  <c r="M35"/>
  <c r="AM35" s="1"/>
  <c r="AD35"/>
  <c r="AE35"/>
  <c r="A36"/>
  <c r="B36"/>
  <c r="C36"/>
  <c r="D36"/>
  <c r="M36"/>
  <c r="AM36" s="1"/>
  <c r="AD36"/>
  <c r="AE36"/>
  <c r="A37"/>
  <c r="B37"/>
  <c r="C37"/>
  <c r="D37"/>
  <c r="M37"/>
  <c r="AM37" s="1"/>
  <c r="AD37"/>
  <c r="AE37"/>
  <c r="A38"/>
  <c r="B38"/>
  <c r="C38"/>
  <c r="D38"/>
  <c r="M38"/>
  <c r="AM38" s="1"/>
  <c r="AD38"/>
  <c r="AE38"/>
  <c r="A39"/>
  <c r="B39"/>
  <c r="C39"/>
  <c r="D39"/>
  <c r="M39"/>
  <c r="AM39" s="1"/>
  <c r="P39"/>
  <c r="AD39"/>
  <c r="AE39"/>
  <c r="A40"/>
  <c r="AM40" s="1"/>
  <c r="B40"/>
  <c r="C40"/>
  <c r="D40"/>
  <c r="M40"/>
  <c r="AE40" s="1"/>
  <c r="P40"/>
  <c r="AD40"/>
  <c r="M41"/>
  <c r="P41"/>
  <c r="AD41"/>
  <c r="AE41"/>
  <c r="AM41"/>
  <c r="P42"/>
  <c r="R42"/>
  <c r="Q43" s="1"/>
  <c r="O43" s="1"/>
  <c r="AM42"/>
  <c r="A43"/>
  <c r="B43"/>
  <c r="C43"/>
  <c r="D43"/>
  <c r="M43"/>
  <c r="AD43"/>
  <c r="AE43"/>
  <c r="AM43"/>
  <c r="A44"/>
  <c r="B44"/>
  <c r="C44"/>
  <c r="D44"/>
  <c r="M44"/>
  <c r="Q44"/>
  <c r="O44" s="1"/>
  <c r="AD44"/>
  <c r="AE44"/>
  <c r="AM44"/>
  <c r="A45"/>
  <c r="B45"/>
  <c r="C45"/>
  <c r="D45"/>
  <c r="M45"/>
  <c r="AD45"/>
  <c r="AE45"/>
  <c r="AM45"/>
  <c r="A46"/>
  <c r="B46"/>
  <c r="C46"/>
  <c r="D46"/>
  <c r="M46"/>
  <c r="Q46"/>
  <c r="O46" s="1"/>
  <c r="AD46"/>
  <c r="AE46"/>
  <c r="AM46"/>
  <c r="A47"/>
  <c r="B47"/>
  <c r="C47"/>
  <c r="D47"/>
  <c r="M47"/>
  <c r="P47"/>
  <c r="AD47"/>
  <c r="AE47"/>
  <c r="AM47"/>
  <c r="A48"/>
  <c r="B48"/>
  <c r="C48"/>
  <c r="D48"/>
  <c r="M48"/>
  <c r="AE48" s="1"/>
  <c r="P48"/>
  <c r="AD48"/>
  <c r="M49"/>
  <c r="AE49" s="1"/>
  <c r="P49"/>
  <c r="AD49"/>
  <c r="AM49"/>
  <c r="P50"/>
  <c r="R50"/>
  <c r="Q51" s="1"/>
  <c r="O51" s="1"/>
  <c r="AM50"/>
  <c r="A51"/>
  <c r="B51"/>
  <c r="C51"/>
  <c r="D51"/>
  <c r="M51"/>
  <c r="AM51" s="1"/>
  <c r="AD51"/>
  <c r="AE51"/>
  <c r="A52"/>
  <c r="B52"/>
  <c r="C52"/>
  <c r="D52"/>
  <c r="M52"/>
  <c r="AM52" s="1"/>
  <c r="AD52"/>
  <c r="AE52"/>
  <c r="A53"/>
  <c r="B53"/>
  <c r="C53"/>
  <c r="D53"/>
  <c r="M53"/>
  <c r="AM53" s="1"/>
  <c r="AD53"/>
  <c r="AE53"/>
  <c r="A54"/>
  <c r="B54"/>
  <c r="C54"/>
  <c r="D54"/>
  <c r="M54"/>
  <c r="AM54" s="1"/>
  <c r="AD54"/>
  <c r="AE54"/>
  <c r="A55"/>
  <c r="B55"/>
  <c r="C55"/>
  <c r="D55"/>
  <c r="M55"/>
  <c r="AM55" s="1"/>
  <c r="P55"/>
  <c r="AD55"/>
  <c r="AE55"/>
  <c r="A56"/>
  <c r="B56"/>
  <c r="C56"/>
  <c r="D56"/>
  <c r="M56"/>
  <c r="AE56" s="1"/>
  <c r="P56"/>
  <c r="AD56"/>
  <c r="M57"/>
  <c r="P57"/>
  <c r="AD57"/>
  <c r="AE57"/>
  <c r="AM57"/>
  <c r="P58"/>
  <c r="R58"/>
  <c r="Q60" s="1"/>
  <c r="O60" s="1"/>
  <c r="AM58"/>
  <c r="A59"/>
  <c r="AM59" s="1"/>
  <c r="B59"/>
  <c r="C59"/>
  <c r="D59"/>
  <c r="M59"/>
  <c r="AD59"/>
  <c r="AE59"/>
  <c r="A60"/>
  <c r="B60"/>
  <c r="C60"/>
  <c r="D60"/>
  <c r="M60"/>
  <c r="AD60"/>
  <c r="AE60"/>
  <c r="AM60"/>
  <c r="A61"/>
  <c r="B61"/>
  <c r="C61"/>
  <c r="D61"/>
  <c r="M61"/>
  <c r="AD61"/>
  <c r="AE61"/>
  <c r="AM61"/>
  <c r="A62"/>
  <c r="B62"/>
  <c r="C62"/>
  <c r="D62"/>
  <c r="M62"/>
  <c r="Q62"/>
  <c r="O62" s="1"/>
  <c r="AD62"/>
  <c r="AE62"/>
  <c r="AM62"/>
  <c r="A63"/>
  <c r="B63"/>
  <c r="C63"/>
  <c r="D63"/>
  <c r="M63"/>
  <c r="P63"/>
  <c r="AD63"/>
  <c r="AE63"/>
  <c r="A64"/>
  <c r="B64"/>
  <c r="C64"/>
  <c r="D64"/>
  <c r="M64"/>
  <c r="P64"/>
  <c r="AD64"/>
  <c r="AE64"/>
  <c r="AM64"/>
  <c r="P65"/>
  <c r="AM65"/>
  <c r="P66"/>
  <c r="R66"/>
  <c r="Q68" s="1"/>
  <c r="O68" s="1"/>
  <c r="AM66"/>
  <c r="A67"/>
  <c r="AM67" s="1"/>
  <c r="B67"/>
  <c r="C67"/>
  <c r="D67"/>
  <c r="M67"/>
  <c r="AD67"/>
  <c r="AE67"/>
  <c r="A68"/>
  <c r="B68"/>
  <c r="C68"/>
  <c r="D68"/>
  <c r="M68"/>
  <c r="AD68"/>
  <c r="AE68"/>
  <c r="AM68"/>
  <c r="A69"/>
  <c r="AM69" s="1"/>
  <c r="B69"/>
  <c r="C69"/>
  <c r="D69"/>
  <c r="M69"/>
  <c r="AD69"/>
  <c r="AE69"/>
  <c r="A70"/>
  <c r="B70"/>
  <c r="C70"/>
  <c r="D70"/>
  <c r="M70"/>
  <c r="AD70"/>
  <c r="AE70"/>
  <c r="AM70"/>
  <c r="A71"/>
  <c r="B71"/>
  <c r="C71"/>
  <c r="D71"/>
  <c r="M71"/>
  <c r="AD71"/>
  <c r="AE71"/>
  <c r="A72"/>
  <c r="B72"/>
  <c r="C72"/>
  <c r="D72"/>
  <c r="M72"/>
  <c r="AM72" s="1"/>
  <c r="AD72"/>
  <c r="AE72"/>
  <c r="A76"/>
  <c r="B76"/>
  <c r="C76"/>
  <c r="D76"/>
  <c r="E76"/>
  <c r="K76"/>
  <c r="M76"/>
  <c r="N76" s="1"/>
  <c r="AF76"/>
  <c r="AI76"/>
  <c r="A77"/>
  <c r="B77"/>
  <c r="C77"/>
  <c r="D77"/>
  <c r="E77"/>
  <c r="K77"/>
  <c r="M77"/>
  <c r="N77" s="1"/>
  <c r="AF77"/>
  <c r="AI77"/>
  <c r="A78"/>
  <c r="B78"/>
  <c r="C78"/>
  <c r="D78"/>
  <c r="E78"/>
  <c r="K78"/>
  <c r="M78"/>
  <c r="N78" s="1"/>
  <c r="AF78"/>
  <c r="AI78"/>
  <c r="A79"/>
  <c r="B79"/>
  <c r="C79"/>
  <c r="D79"/>
  <c r="E79"/>
  <c r="K79"/>
  <c r="M79"/>
  <c r="N79" s="1"/>
  <c r="AF79"/>
  <c r="AI79"/>
  <c r="A80"/>
  <c r="B80"/>
  <c r="C80"/>
  <c r="D80"/>
  <c r="E80"/>
  <c r="K80"/>
  <c r="M80"/>
  <c r="N80" s="1"/>
  <c r="AF80"/>
  <c r="AI80"/>
  <c r="A81"/>
  <c r="B81"/>
  <c r="C81"/>
  <c r="D81"/>
  <c r="E81"/>
  <c r="K81"/>
  <c r="M81"/>
  <c r="N81" s="1"/>
  <c r="AF81"/>
  <c r="AI81"/>
  <c r="A82"/>
  <c r="B82"/>
  <c r="C82"/>
  <c r="D82"/>
  <c r="E82"/>
  <c r="K82"/>
  <c r="M82"/>
  <c r="N82" s="1"/>
  <c r="AF82"/>
  <c r="A83"/>
  <c r="B83"/>
  <c r="C83"/>
  <c r="D83"/>
  <c r="E83"/>
  <c r="K83"/>
  <c r="M83"/>
  <c r="N83" s="1"/>
  <c r="AF83"/>
  <c r="AI83"/>
  <c r="AM84"/>
  <c r="AM85"/>
  <c r="AM86"/>
  <c r="A87"/>
  <c r="B87"/>
  <c r="C87"/>
  <c r="D87"/>
  <c r="E87"/>
  <c r="K87"/>
  <c r="M87"/>
  <c r="AI87" s="1"/>
  <c r="AF87"/>
  <c r="A88"/>
  <c r="B88"/>
  <c r="C88"/>
  <c r="D88"/>
  <c r="E88"/>
  <c r="K88"/>
  <c r="M88"/>
  <c r="AF88"/>
  <c r="A89"/>
  <c r="B89"/>
  <c r="C89"/>
  <c r="D89"/>
  <c r="E89"/>
  <c r="K89"/>
  <c r="M89"/>
  <c r="AI89" s="1"/>
  <c r="AF89"/>
  <c r="A90"/>
  <c r="B90"/>
  <c r="C90"/>
  <c r="D90"/>
  <c r="E90"/>
  <c r="F90" s="1"/>
  <c r="AD90" s="1"/>
  <c r="K90"/>
  <c r="M90"/>
  <c r="AI90" s="1"/>
  <c r="AF90"/>
  <c r="AM91"/>
  <c r="AM92"/>
  <c r="AM93"/>
  <c r="A94"/>
  <c r="B94"/>
  <c r="C94"/>
  <c r="D94"/>
  <c r="E94"/>
  <c r="K94"/>
  <c r="M94"/>
  <c r="N94" s="1"/>
  <c r="AF94"/>
  <c r="AI94"/>
  <c r="A95"/>
  <c r="B95"/>
  <c r="C95"/>
  <c r="D95"/>
  <c r="E95"/>
  <c r="K95"/>
  <c r="M95"/>
  <c r="N95" s="1"/>
  <c r="AF95"/>
  <c r="AI95"/>
  <c r="AM96"/>
  <c r="AM97"/>
  <c r="AF98"/>
  <c r="AM98"/>
  <c r="A99"/>
  <c r="B99"/>
  <c r="C99"/>
  <c r="D99"/>
  <c r="E99"/>
  <c r="K99"/>
  <c r="M99"/>
  <c r="AI99" s="1"/>
  <c r="AM100"/>
  <c r="AF101"/>
  <c r="AM101"/>
  <c r="AM102"/>
  <c r="A103"/>
  <c r="B103"/>
  <c r="C103"/>
  <c r="D103"/>
  <c r="E103"/>
  <c r="K103"/>
  <c r="M103"/>
  <c r="AG101" s="1"/>
  <c r="B3" i="9"/>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16"/>
  <c r="D3"/>
  <c r="G3"/>
  <c r="J3"/>
  <c r="B4"/>
  <c r="D4"/>
  <c r="G4"/>
  <c r="J4"/>
  <c r="B5"/>
  <c r="D5"/>
  <c r="G5"/>
  <c r="J5"/>
  <c r="B6"/>
  <c r="D6"/>
  <c r="G6"/>
  <c r="J6"/>
  <c r="B7"/>
  <c r="D7"/>
  <c r="G7"/>
  <c r="B8"/>
  <c r="D8"/>
  <c r="G8"/>
  <c r="B9"/>
  <c r="D9"/>
  <c r="G9"/>
  <c r="J9"/>
  <c r="B10"/>
  <c r="D10"/>
  <c r="G10"/>
  <c r="J10"/>
  <c r="F12"/>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18"/>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4"/>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13"/>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1"/>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6"/>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17"/>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19"/>
  <c r="D3"/>
  <c r="G3"/>
  <c r="J3"/>
  <c r="B4"/>
  <c r="D4"/>
  <c r="G4"/>
  <c r="J4"/>
  <c r="B5"/>
  <c r="D5"/>
  <c r="G5"/>
  <c r="J5"/>
  <c r="B6"/>
  <c r="D6"/>
  <c r="G6"/>
  <c r="J6"/>
  <c r="B7"/>
  <c r="D7"/>
  <c r="G7"/>
  <c r="B8"/>
  <c r="D8"/>
  <c r="G8"/>
  <c r="B9"/>
  <c r="D9"/>
  <c r="G9"/>
  <c r="J9"/>
  <c r="B10"/>
  <c r="D10"/>
  <c r="G10"/>
  <c r="J10"/>
  <c r="E12"/>
  <c r="F12" s="1"/>
  <c r="K14"/>
  <c r="L14"/>
  <c r="M14" s="1"/>
  <c r="K15"/>
  <c r="L15"/>
  <c r="M15" s="1"/>
  <c r="K16"/>
  <c r="L16"/>
  <c r="M16" s="1"/>
  <c r="K17"/>
  <c r="L17"/>
  <c r="M17" s="1"/>
  <c r="K18"/>
  <c r="L18"/>
  <c r="M18" s="1"/>
  <c r="K19"/>
  <c r="L19"/>
  <c r="M19" s="1"/>
  <c r="K20"/>
  <c r="M20"/>
  <c r="O20"/>
  <c r="K21"/>
  <c r="K22"/>
  <c r="K23"/>
  <c r="K24"/>
  <c r="K25"/>
  <c r="K26"/>
  <c r="K27"/>
  <c r="M27"/>
  <c r="O27"/>
  <c r="K28"/>
  <c r="L28"/>
  <c r="M28" s="1"/>
  <c r="K29"/>
  <c r="L29"/>
  <c r="M29" s="1"/>
  <c r="K30"/>
  <c r="L30"/>
  <c r="M30" s="1"/>
  <c r="K31"/>
  <c r="L31"/>
  <c r="M31" s="1"/>
  <c r="K32"/>
  <c r="L32"/>
  <c r="K33"/>
  <c r="L33"/>
  <c r="M33" s="1"/>
  <c r="K34"/>
  <c r="M34"/>
  <c r="O34"/>
  <c r="K35"/>
  <c r="K36"/>
  <c r="K37"/>
  <c r="K38"/>
  <c r="K39"/>
  <c r="K40"/>
  <c r="K41"/>
  <c r="M41"/>
  <c r="O41"/>
  <c r="K42"/>
  <c r="L42"/>
  <c r="K43"/>
  <c r="L43"/>
  <c r="M43" s="1"/>
  <c r="K44"/>
  <c r="L44"/>
  <c r="K45"/>
  <c r="L45"/>
  <c r="M45" s="1"/>
  <c r="K46"/>
  <c r="L46"/>
  <c r="K47"/>
  <c r="L47"/>
  <c r="M47" s="1"/>
  <c r="K48"/>
  <c r="M48"/>
  <c r="O48"/>
  <c r="K49"/>
  <c r="K50"/>
  <c r="K51"/>
  <c r="K52"/>
  <c r="K53"/>
  <c r="K54"/>
  <c r="K55"/>
  <c r="M55"/>
  <c r="O55"/>
  <c r="K56"/>
  <c r="L56"/>
  <c r="K57"/>
  <c r="L57"/>
  <c r="M57" s="1"/>
  <c r="K58"/>
  <c r="L58"/>
  <c r="K59"/>
  <c r="L59"/>
  <c r="M59" s="1"/>
  <c r="K60"/>
  <c r="L60"/>
  <c r="K61"/>
  <c r="L61"/>
  <c r="M61" s="1"/>
  <c r="K62"/>
  <c r="M62"/>
  <c r="O62"/>
  <c r="K63"/>
  <c r="K64"/>
  <c r="K65"/>
  <c r="K66"/>
  <c r="K67"/>
  <c r="K68"/>
  <c r="K69"/>
  <c r="M69"/>
  <c r="O69"/>
  <c r="K70"/>
  <c r="L70"/>
  <c r="K71"/>
  <c r="L71"/>
  <c r="M71" s="1"/>
  <c r="K72"/>
  <c r="L72"/>
  <c r="K73"/>
  <c r="L73"/>
  <c r="M73" s="1"/>
  <c r="K74"/>
  <c r="L74"/>
  <c r="K75"/>
  <c r="L75"/>
  <c r="M75" s="1"/>
  <c r="K76"/>
  <c r="L76"/>
  <c r="K77"/>
  <c r="L77"/>
  <c r="M77" s="1"/>
  <c r="K78"/>
  <c r="M78"/>
  <c r="O78"/>
  <c r="K79"/>
  <c r="K80"/>
  <c r="K81"/>
  <c r="K82"/>
  <c r="K83"/>
  <c r="M83"/>
  <c r="O83"/>
  <c r="K84"/>
  <c r="L84"/>
  <c r="K85"/>
  <c r="L85"/>
  <c r="O85" s="1"/>
  <c r="K86"/>
  <c r="M86"/>
  <c r="O86"/>
  <c r="K87"/>
  <c r="K88"/>
  <c r="M88"/>
  <c r="O88"/>
  <c r="K89"/>
  <c r="B3" i="10"/>
  <c r="D3"/>
  <c r="G3"/>
  <c r="J3"/>
  <c r="B4"/>
  <c r="D4"/>
  <c r="G4"/>
  <c r="J4"/>
  <c r="B5"/>
  <c r="G5"/>
  <c r="J5"/>
  <c r="B6"/>
  <c r="D6"/>
  <c r="G6"/>
  <c r="J6"/>
  <c r="B7"/>
  <c r="D7"/>
  <c r="G7"/>
  <c r="B8"/>
  <c r="D8"/>
  <c r="G8"/>
  <c r="B9"/>
  <c r="D9"/>
  <c r="G9"/>
  <c r="J9"/>
  <c r="B10"/>
  <c r="D10"/>
  <c r="G10"/>
  <c r="J10"/>
  <c r="F12"/>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B3" i="23"/>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L89"/>
  <c r="B3" i="15"/>
  <c r="D3"/>
  <c r="G3"/>
  <c r="J3"/>
  <c r="B4"/>
  <c r="D4"/>
  <c r="G4"/>
  <c r="J4"/>
  <c r="B5"/>
  <c r="D5"/>
  <c r="G5"/>
  <c r="J5"/>
  <c r="B6"/>
  <c r="D6"/>
  <c r="G6"/>
  <c r="J6"/>
  <c r="B7"/>
  <c r="D7"/>
  <c r="G7"/>
  <c r="B8"/>
  <c r="D8"/>
  <c r="G8"/>
  <c r="B9"/>
  <c r="D9"/>
  <c r="G9"/>
  <c r="J9"/>
  <c r="B10"/>
  <c r="D10"/>
  <c r="G10"/>
  <c r="J10"/>
  <c r="E12"/>
  <c r="F12" s="1"/>
  <c r="K14"/>
  <c r="L14"/>
  <c r="O14" s="1"/>
  <c r="K15"/>
  <c r="L15"/>
  <c r="M15" s="1"/>
  <c r="K16"/>
  <c r="L16"/>
  <c r="O16" s="1"/>
  <c r="K17"/>
  <c r="L17"/>
  <c r="M17" s="1"/>
  <c r="K18"/>
  <c r="L18"/>
  <c r="O18" s="1"/>
  <c r="K19"/>
  <c r="L19"/>
  <c r="M19" s="1"/>
  <c r="K20"/>
  <c r="M20"/>
  <c r="O20"/>
  <c r="K21"/>
  <c r="K22"/>
  <c r="K23"/>
  <c r="K24"/>
  <c r="K25"/>
  <c r="K26"/>
  <c r="K27"/>
  <c r="M27"/>
  <c r="O27"/>
  <c r="K28"/>
  <c r="L28"/>
  <c r="O28" s="1"/>
  <c r="K29"/>
  <c r="L29"/>
  <c r="M29" s="1"/>
  <c r="K30"/>
  <c r="L30"/>
  <c r="O30" s="1"/>
  <c r="K31"/>
  <c r="L31"/>
  <c r="M31" s="1"/>
  <c r="K32"/>
  <c r="L32"/>
  <c r="O32" s="1"/>
  <c r="K33"/>
  <c r="L33"/>
  <c r="M33" s="1"/>
  <c r="K34"/>
  <c r="M34"/>
  <c r="O34"/>
  <c r="K35"/>
  <c r="K36"/>
  <c r="K37"/>
  <c r="K38"/>
  <c r="K39"/>
  <c r="K40"/>
  <c r="K41"/>
  <c r="M41"/>
  <c r="O41"/>
  <c r="K42"/>
  <c r="L42"/>
  <c r="O42" s="1"/>
  <c r="K43"/>
  <c r="L43"/>
  <c r="M43" s="1"/>
  <c r="K44"/>
  <c r="L44"/>
  <c r="O44" s="1"/>
  <c r="K45"/>
  <c r="L45"/>
  <c r="M45" s="1"/>
  <c r="K46"/>
  <c r="L46"/>
  <c r="O46" s="1"/>
  <c r="K47"/>
  <c r="L47"/>
  <c r="M47" s="1"/>
  <c r="K48"/>
  <c r="M48"/>
  <c r="O48"/>
  <c r="K49"/>
  <c r="K50"/>
  <c r="K51"/>
  <c r="K52"/>
  <c r="K53"/>
  <c r="K54"/>
  <c r="K55"/>
  <c r="M55"/>
  <c r="O55"/>
  <c r="K56"/>
  <c r="L56"/>
  <c r="O56" s="1"/>
  <c r="K57"/>
  <c r="L57"/>
  <c r="M57" s="1"/>
  <c r="K58"/>
  <c r="L58"/>
  <c r="O58" s="1"/>
  <c r="K59"/>
  <c r="L59"/>
  <c r="M59" s="1"/>
  <c r="K60"/>
  <c r="L60"/>
  <c r="O60" s="1"/>
  <c r="K61"/>
  <c r="L61"/>
  <c r="M61" s="1"/>
  <c r="K62"/>
  <c r="M62"/>
  <c r="O62"/>
  <c r="K63"/>
  <c r="K64"/>
  <c r="K65"/>
  <c r="K66"/>
  <c r="K67"/>
  <c r="K68"/>
  <c r="K69"/>
  <c r="M69"/>
  <c r="O69"/>
  <c r="K70"/>
  <c r="L70"/>
  <c r="O70" s="1"/>
  <c r="K71"/>
  <c r="L71"/>
  <c r="M71" s="1"/>
  <c r="K72"/>
  <c r="L72"/>
  <c r="O72" s="1"/>
  <c r="K73"/>
  <c r="L73"/>
  <c r="M73" s="1"/>
  <c r="K74"/>
  <c r="L74"/>
  <c r="O74" s="1"/>
  <c r="K75"/>
  <c r="L75"/>
  <c r="M75" s="1"/>
  <c r="K76"/>
  <c r="L76"/>
  <c r="O76" s="1"/>
  <c r="K77"/>
  <c r="L77"/>
  <c r="M77" s="1"/>
  <c r="K78"/>
  <c r="M78"/>
  <c r="O78"/>
  <c r="K79"/>
  <c r="K80"/>
  <c r="K81"/>
  <c r="K82"/>
  <c r="K83"/>
  <c r="M83"/>
  <c r="O83"/>
  <c r="K84"/>
  <c r="L84"/>
  <c r="O84" s="1"/>
  <c r="K85"/>
  <c r="L85"/>
  <c r="M85" s="1"/>
  <c r="K86"/>
  <c r="M86"/>
  <c r="O86"/>
  <c r="K87"/>
  <c r="K88"/>
  <c r="M88"/>
  <c r="O88"/>
  <c r="K89"/>
  <c r="B3" i="14"/>
  <c r="D3"/>
  <c r="G3"/>
  <c r="J3"/>
  <c r="B4"/>
  <c r="D4"/>
  <c r="G4"/>
  <c r="J4"/>
  <c r="B5"/>
  <c r="D5"/>
  <c r="G5"/>
  <c r="J5"/>
  <c r="B6"/>
  <c r="D6"/>
  <c r="G6"/>
  <c r="J6"/>
  <c r="B7"/>
  <c r="D7"/>
  <c r="G7"/>
  <c r="B8"/>
  <c r="D8"/>
  <c r="G8"/>
  <c r="B9"/>
  <c r="D9"/>
  <c r="G9"/>
  <c r="J9"/>
  <c r="B10"/>
  <c r="D10"/>
  <c r="G10"/>
  <c r="J10"/>
  <c r="E12"/>
  <c r="F12" s="1"/>
  <c r="K14"/>
  <c r="L14"/>
  <c r="M14" s="1"/>
  <c r="K15"/>
  <c r="L15"/>
  <c r="O15" s="1"/>
  <c r="K16"/>
  <c r="L16"/>
  <c r="M16" s="1"/>
  <c r="K17"/>
  <c r="L17"/>
  <c r="O17" s="1"/>
  <c r="K18"/>
  <c r="L18"/>
  <c r="M18" s="1"/>
  <c r="K19"/>
  <c r="L19"/>
  <c r="O19" s="1"/>
  <c r="K20"/>
  <c r="M20"/>
  <c r="O20"/>
  <c r="K21"/>
  <c r="K22"/>
  <c r="K23"/>
  <c r="K24"/>
  <c r="K25"/>
  <c r="K26"/>
  <c r="K27"/>
  <c r="M27"/>
  <c r="O27"/>
  <c r="K28"/>
  <c r="L28"/>
  <c r="M28" s="1"/>
  <c r="K29"/>
  <c r="L29"/>
  <c r="O29" s="1"/>
  <c r="K30"/>
  <c r="L30"/>
  <c r="M30" s="1"/>
  <c r="K31"/>
  <c r="L31"/>
  <c r="O31" s="1"/>
  <c r="K32"/>
  <c r="L32"/>
  <c r="M32" s="1"/>
  <c r="K33"/>
  <c r="L33"/>
  <c r="O33" s="1"/>
  <c r="K34"/>
  <c r="M34"/>
  <c r="O34"/>
  <c r="K35"/>
  <c r="K36"/>
  <c r="K37"/>
  <c r="K38"/>
  <c r="K39"/>
  <c r="K40"/>
  <c r="K41"/>
  <c r="M41"/>
  <c r="O41"/>
  <c r="K42"/>
  <c r="L42"/>
  <c r="M42" s="1"/>
  <c r="K43"/>
  <c r="L43"/>
  <c r="O43" s="1"/>
  <c r="K44"/>
  <c r="L44"/>
  <c r="M44" s="1"/>
  <c r="K45"/>
  <c r="L45"/>
  <c r="O45" s="1"/>
  <c r="K46"/>
  <c r="L46"/>
  <c r="M46" s="1"/>
  <c r="K47"/>
  <c r="L47"/>
  <c r="O47" s="1"/>
  <c r="K48"/>
  <c r="M48"/>
  <c r="O48"/>
  <c r="K49"/>
  <c r="K50"/>
  <c r="K51"/>
  <c r="K52"/>
  <c r="K53"/>
  <c r="K54"/>
  <c r="K55"/>
  <c r="M55"/>
  <c r="O55"/>
  <c r="K56"/>
  <c r="L56"/>
  <c r="M56" s="1"/>
  <c r="K57"/>
  <c r="L57"/>
  <c r="O57" s="1"/>
  <c r="K58"/>
  <c r="L58"/>
  <c r="M58" s="1"/>
  <c r="K59"/>
  <c r="L59"/>
  <c r="O59" s="1"/>
  <c r="K60"/>
  <c r="L60"/>
  <c r="M60" s="1"/>
  <c r="K61"/>
  <c r="L61"/>
  <c r="O61" s="1"/>
  <c r="K62"/>
  <c r="M62"/>
  <c r="O62"/>
  <c r="K63"/>
  <c r="K64"/>
  <c r="K65"/>
  <c r="K66"/>
  <c r="K67"/>
  <c r="K68"/>
  <c r="K69"/>
  <c r="M69"/>
  <c r="O69"/>
  <c r="K70"/>
  <c r="L70"/>
  <c r="M70" s="1"/>
  <c r="K71"/>
  <c r="L71"/>
  <c r="O71" s="1"/>
  <c r="K72"/>
  <c r="L72"/>
  <c r="M72" s="1"/>
  <c r="K73"/>
  <c r="L73"/>
  <c r="K74"/>
  <c r="L74"/>
  <c r="M74" s="1"/>
  <c r="K75"/>
  <c r="L75"/>
  <c r="K76"/>
  <c r="L76"/>
  <c r="M76" s="1"/>
  <c r="K77"/>
  <c r="L77"/>
  <c r="K78"/>
  <c r="M78"/>
  <c r="O78"/>
  <c r="K79"/>
  <c r="K80"/>
  <c r="K81"/>
  <c r="K82"/>
  <c r="K83"/>
  <c r="M83"/>
  <c r="O83"/>
  <c r="K84"/>
  <c r="L84"/>
  <c r="M84" s="1"/>
  <c r="K85"/>
  <c r="L85"/>
  <c r="M85" s="1"/>
  <c r="K86"/>
  <c r="M86"/>
  <c r="O86"/>
  <c r="K87"/>
  <c r="K88"/>
  <c r="M88"/>
  <c r="O88"/>
  <c r="K89"/>
  <c r="Q16" i="30"/>
  <c r="AE16"/>
  <c r="AF16"/>
  <c r="AH16"/>
  <c r="AH17" s="1"/>
  <c r="AI16"/>
  <c r="AK16"/>
  <c r="AM16"/>
  <c r="AO16"/>
  <c r="B17"/>
  <c r="BE17" s="1"/>
  <c r="C17"/>
  <c r="AD17"/>
  <c r="AE17"/>
  <c r="AF17"/>
  <c r="AI17"/>
  <c r="AK17"/>
  <c r="AM17"/>
  <c r="AO17"/>
  <c r="AQ17"/>
  <c r="AQ17" a="1"/>
  <c r="AR17"/>
  <c r="AS17"/>
  <c r="AT17"/>
  <c r="AU17"/>
  <c r="AV17"/>
  <c r="AW17"/>
  <c r="AX17"/>
  <c r="AY17"/>
  <c r="AZ17"/>
  <c r="BA17"/>
  <c r="BB17"/>
  <c r="BC17"/>
  <c r="B18"/>
  <c r="BE18" s="1"/>
  <c r="C18"/>
  <c r="AE18"/>
  <c r="AF18"/>
  <c r="AI18"/>
  <c r="AK18"/>
  <c r="AM18"/>
  <c r="AO18"/>
  <c r="AQ18"/>
  <c r="AR18"/>
  <c r="AS18"/>
  <c r="AT18"/>
  <c r="AU18"/>
  <c r="AV18"/>
  <c r="AW18"/>
  <c r="AX18"/>
  <c r="AY18"/>
  <c r="AZ18"/>
  <c r="BA18"/>
  <c r="BB18"/>
  <c r="BC18"/>
  <c r="BF18"/>
  <c r="B19"/>
  <c r="C19"/>
  <c r="AD19"/>
  <c r="AE19"/>
  <c r="AF19"/>
  <c r="AI19"/>
  <c r="AK19"/>
  <c r="AM19"/>
  <c r="AO19"/>
  <c r="AQ19"/>
  <c r="AR19"/>
  <c r="AS19"/>
  <c r="AT19"/>
  <c r="AU19"/>
  <c r="AV19"/>
  <c r="AW19"/>
  <c r="AX19"/>
  <c r="AY19"/>
  <c r="AZ19"/>
  <c r="BA19"/>
  <c r="BB19"/>
  <c r="BC19"/>
  <c r="BE19"/>
  <c r="BF19"/>
  <c r="B20"/>
  <c r="C20"/>
  <c r="BF20" s="1"/>
  <c r="AE20"/>
  <c r="AF20"/>
  <c r="AI20"/>
  <c r="AK20"/>
  <c r="AM20"/>
  <c r="AO20"/>
  <c r="AQ20"/>
  <c r="AR20"/>
  <c r="BG19" s="1"/>
  <c r="BH19" s="1"/>
  <c r="AS20"/>
  <c r="AT20"/>
  <c r="AU20"/>
  <c r="AV20"/>
  <c r="AW20"/>
  <c r="AX20"/>
  <c r="AY20"/>
  <c r="AZ20"/>
  <c r="BA20"/>
  <c r="BB20"/>
  <c r="BC20"/>
  <c r="BE20"/>
  <c r="BG20"/>
  <c r="BH20" s="1"/>
  <c r="AD21"/>
  <c r="AE21"/>
  <c r="AF21"/>
  <c r="AI21"/>
  <c r="AK21"/>
  <c r="AM21"/>
  <c r="AO21"/>
  <c r="AH24"/>
  <c r="AI24"/>
  <c r="AI25"/>
  <c r="AI26"/>
  <c r="AI27"/>
  <c r="Q31"/>
  <c r="AD31"/>
  <c r="AE31"/>
  <c r="AF31"/>
  <c r="AH31"/>
  <c r="AH32" s="1"/>
  <c r="AI31"/>
  <c r="AK31"/>
  <c r="AM31"/>
  <c r="AO31"/>
  <c r="B32"/>
  <c r="C32"/>
  <c r="AE32"/>
  <c r="AF32"/>
  <c r="AI32"/>
  <c r="AK32"/>
  <c r="AM32"/>
  <c r="AO32"/>
  <c r="AQ32"/>
  <c r="AQ32" a="1"/>
  <c r="AR32"/>
  <c r="AS32"/>
  <c r="AT32"/>
  <c r="AU32"/>
  <c r="AV32"/>
  <c r="AW32"/>
  <c r="AX32"/>
  <c r="AY32"/>
  <c r="AZ32"/>
  <c r="BA32"/>
  <c r="BB32"/>
  <c r="BC32"/>
  <c r="BE32"/>
  <c r="B33"/>
  <c r="C33"/>
  <c r="AD33"/>
  <c r="AE33"/>
  <c r="AF33"/>
  <c r="AI33"/>
  <c r="AK33"/>
  <c r="AM33"/>
  <c r="AO33"/>
  <c r="AQ33"/>
  <c r="AR33"/>
  <c r="AS33"/>
  <c r="AT33"/>
  <c r="AU33"/>
  <c r="AV33"/>
  <c r="AW33"/>
  <c r="AX33"/>
  <c r="AY33"/>
  <c r="AZ33"/>
  <c r="BA33"/>
  <c r="BB33"/>
  <c r="BC33"/>
  <c r="BE33"/>
  <c r="BF33"/>
  <c r="B34"/>
  <c r="C34"/>
  <c r="BF34" s="1"/>
  <c r="AE34"/>
  <c r="AF34"/>
  <c r="AI34"/>
  <c r="AK34"/>
  <c r="AM34"/>
  <c r="AO34"/>
  <c r="AQ34"/>
  <c r="AR34"/>
  <c r="BG33" s="1"/>
  <c r="BH33" s="1"/>
  <c r="AS34"/>
  <c r="AT34"/>
  <c r="AU34"/>
  <c r="AV34"/>
  <c r="AW34"/>
  <c r="AX34"/>
  <c r="AY34"/>
  <c r="AZ34"/>
  <c r="BA34"/>
  <c r="BB34"/>
  <c r="BC34"/>
  <c r="BE34"/>
  <c r="B35"/>
  <c r="C35"/>
  <c r="AD35"/>
  <c r="AE35"/>
  <c r="AF35"/>
  <c r="AI35"/>
  <c r="AK35"/>
  <c r="AM35"/>
  <c r="AO35"/>
  <c r="AQ35"/>
  <c r="AR35"/>
  <c r="BG34" s="1"/>
  <c r="BH34" s="1"/>
  <c r="AS35"/>
  <c r="AT35"/>
  <c r="AU35"/>
  <c r="AV35"/>
  <c r="AW35"/>
  <c r="AX35"/>
  <c r="AY35"/>
  <c r="AZ35"/>
  <c r="BA35"/>
  <c r="BB35"/>
  <c r="BC35"/>
  <c r="BE35"/>
  <c r="BF35"/>
  <c r="BG35"/>
  <c r="BH35" s="1"/>
  <c r="AE36"/>
  <c r="AF36"/>
  <c r="AI36"/>
  <c r="AK36"/>
  <c r="AM36"/>
  <c r="AO36"/>
  <c r="AH39"/>
  <c r="AI39"/>
  <c r="AI40"/>
  <c r="AI41"/>
  <c r="AI42"/>
  <c r="Q46"/>
  <c r="AD46"/>
  <c r="AE46"/>
  <c r="AF46"/>
  <c r="AH46"/>
  <c r="AH47" s="1"/>
  <c r="AI46"/>
  <c r="AK46"/>
  <c r="AM46"/>
  <c r="AO46"/>
  <c r="B47"/>
  <c r="C47"/>
  <c r="BF47" s="1"/>
  <c r="AD47"/>
  <c r="AE47"/>
  <c r="AF47"/>
  <c r="AI47"/>
  <c r="AK47"/>
  <c r="AM47"/>
  <c r="AO47"/>
  <c r="AQ47"/>
  <c r="AQ47" a="1"/>
  <c r="AR47"/>
  <c r="AS47"/>
  <c r="AT47"/>
  <c r="AU47"/>
  <c r="AV47"/>
  <c r="AW47"/>
  <c r="AX47"/>
  <c r="AY47"/>
  <c r="AZ47"/>
  <c r="BA47"/>
  <c r="BB47"/>
  <c r="BC47"/>
  <c r="BE47"/>
  <c r="B48"/>
  <c r="BE48" s="1"/>
  <c r="BG48" s="1"/>
  <c r="BH48" s="1"/>
  <c r="AD48"/>
  <c r="AE48"/>
  <c r="AF48"/>
  <c r="AI48"/>
  <c r="AK48"/>
  <c r="AM48"/>
  <c r="AO48"/>
  <c r="AQ48"/>
  <c r="AR48"/>
  <c r="AS48"/>
  <c r="AT48"/>
  <c r="AU48"/>
  <c r="AV48"/>
  <c r="AW48"/>
  <c r="AX48"/>
  <c r="AY48"/>
  <c r="AZ48"/>
  <c r="BA48"/>
  <c r="BB48"/>
  <c r="BC48"/>
  <c r="BF48"/>
  <c r="B49"/>
  <c r="C49"/>
  <c r="AD49"/>
  <c r="AE49"/>
  <c r="AF49"/>
  <c r="AI49"/>
  <c r="AK49"/>
  <c r="AM49"/>
  <c r="AO49"/>
  <c r="AQ49"/>
  <c r="AR49"/>
  <c r="AS49"/>
  <c r="AT49"/>
  <c r="AU49"/>
  <c r="AV49"/>
  <c r="AW49"/>
  <c r="AX49"/>
  <c r="AY49"/>
  <c r="AZ49"/>
  <c r="BA49"/>
  <c r="BB49"/>
  <c r="BC49"/>
  <c r="BE49"/>
  <c r="BF49"/>
  <c r="B50"/>
  <c r="C50"/>
  <c r="AD50"/>
  <c r="AE50"/>
  <c r="AF50"/>
  <c r="AI50"/>
  <c r="AK50"/>
  <c r="AM50"/>
  <c r="AO50"/>
  <c r="AQ50"/>
  <c r="AR50"/>
  <c r="BG49" s="1"/>
  <c r="BH49" s="1"/>
  <c r="AS50"/>
  <c r="AT50"/>
  <c r="AU50"/>
  <c r="AV50"/>
  <c r="AW50"/>
  <c r="AX50"/>
  <c r="AY50"/>
  <c r="AZ50"/>
  <c r="BA50"/>
  <c r="BB50"/>
  <c r="BC50"/>
  <c r="BE50"/>
  <c r="BF50"/>
  <c r="BG50"/>
  <c r="BH50" s="1"/>
  <c r="AD51"/>
  <c r="AE51"/>
  <c r="AF51"/>
  <c r="AI51"/>
  <c r="AK51"/>
  <c r="AM51"/>
  <c r="AO51"/>
  <c r="AH54"/>
  <c r="AI54"/>
  <c r="AI55"/>
  <c r="AI56"/>
  <c r="AI57"/>
  <c r="Q61"/>
  <c r="AD61"/>
  <c r="AE61"/>
  <c r="AF61"/>
  <c r="AH61"/>
  <c r="AI61"/>
  <c r="AK61"/>
  <c r="AM61"/>
  <c r="AO61"/>
  <c r="B62"/>
  <c r="BE62" s="1"/>
  <c r="C62"/>
  <c r="AD62"/>
  <c r="AE62"/>
  <c r="AF62"/>
  <c r="AH62"/>
  <c r="AH63" s="1"/>
  <c r="AI62"/>
  <c r="AK62"/>
  <c r="AM62"/>
  <c r="AO62"/>
  <c r="AQ62" a="1"/>
  <c r="AQ62" s="1"/>
  <c r="AS62"/>
  <c r="AU62"/>
  <c r="AW62"/>
  <c r="AY62"/>
  <c r="BA62"/>
  <c r="BC62"/>
  <c r="BF62"/>
  <c r="B63"/>
  <c r="C63"/>
  <c r="AD63"/>
  <c r="AE63"/>
  <c r="AF63"/>
  <c r="AI63"/>
  <c r="AK63"/>
  <c r="AM63"/>
  <c r="AO63"/>
  <c r="AQ63"/>
  <c r="AS63"/>
  <c r="AU63"/>
  <c r="AW63"/>
  <c r="AY63"/>
  <c r="BA63"/>
  <c r="BC63"/>
  <c r="BE63"/>
  <c r="BF63"/>
  <c r="B64"/>
  <c r="C64"/>
  <c r="AD64"/>
  <c r="AE64"/>
  <c r="AF64"/>
  <c r="AI64"/>
  <c r="AK64"/>
  <c r="AM64"/>
  <c r="AO64"/>
  <c r="AQ64"/>
  <c r="AS64"/>
  <c r="AU64"/>
  <c r="AW64"/>
  <c r="AY64"/>
  <c r="BA64"/>
  <c r="BC64"/>
  <c r="BE64"/>
  <c r="BF64"/>
  <c r="B65"/>
  <c r="C65"/>
  <c r="AD65"/>
  <c r="AE65"/>
  <c r="AF65"/>
  <c r="AI65"/>
  <c r="AK65"/>
  <c r="AM65"/>
  <c r="AO65"/>
  <c r="AQ65"/>
  <c r="AS65"/>
  <c r="AU65"/>
  <c r="AW65"/>
  <c r="AY65"/>
  <c r="BA65"/>
  <c r="BC65"/>
  <c r="BE65"/>
  <c r="BF65"/>
  <c r="AD66"/>
  <c r="AE66"/>
  <c r="AF66"/>
  <c r="AI66"/>
  <c r="AK66"/>
  <c r="AM66"/>
  <c r="AO66"/>
  <c r="AH69"/>
  <c r="AI69"/>
  <c r="AI70"/>
  <c r="AI71"/>
  <c r="AI72"/>
  <c r="Q76"/>
  <c r="AD76"/>
  <c r="AE76"/>
  <c r="AF76"/>
  <c r="AH76"/>
  <c r="AI76"/>
  <c r="AK76"/>
  <c r="AM76"/>
  <c r="AO76"/>
  <c r="B77"/>
  <c r="BE77" s="1"/>
  <c r="C77"/>
  <c r="AD77"/>
  <c r="AE77"/>
  <c r="AF77"/>
  <c r="AH77"/>
  <c r="AH78" s="1"/>
  <c r="AI77"/>
  <c r="AK77"/>
  <c r="AM77"/>
  <c r="AO77"/>
  <c r="AQ77" a="1"/>
  <c r="AQ77" s="1"/>
  <c r="AS77"/>
  <c r="AU77"/>
  <c r="AW77"/>
  <c r="AY77"/>
  <c r="BA77"/>
  <c r="BC77"/>
  <c r="BF77"/>
  <c r="B78"/>
  <c r="C78"/>
  <c r="AD78"/>
  <c r="AE78"/>
  <c r="AF78"/>
  <c r="AI78"/>
  <c r="AK78"/>
  <c r="AM78"/>
  <c r="AO78"/>
  <c r="AQ78"/>
  <c r="AS78"/>
  <c r="AU78"/>
  <c r="AW78"/>
  <c r="AY78"/>
  <c r="BA78"/>
  <c r="BC78"/>
  <c r="BE78"/>
  <c r="BF78"/>
  <c r="B79"/>
  <c r="C79"/>
  <c r="AD79"/>
  <c r="AE79"/>
  <c r="AF79"/>
  <c r="AI79"/>
  <c r="AK79"/>
  <c r="AM79"/>
  <c r="AO79"/>
  <c r="AQ79"/>
  <c r="AS79"/>
  <c r="AU79"/>
  <c r="AW79"/>
  <c r="AY79"/>
  <c r="BA79"/>
  <c r="BC79"/>
  <c r="BE79"/>
  <c r="BF79"/>
  <c r="B80"/>
  <c r="C80"/>
  <c r="AD80"/>
  <c r="AE80"/>
  <c r="AF80"/>
  <c r="AI80"/>
  <c r="AK80"/>
  <c r="AM80"/>
  <c r="AO80"/>
  <c r="AQ80"/>
  <c r="AS80"/>
  <c r="AU80"/>
  <c r="AW80"/>
  <c r="AY80"/>
  <c r="BA80"/>
  <c r="BC80"/>
  <c r="BE80"/>
  <c r="BF80"/>
  <c r="AD81"/>
  <c r="AE81"/>
  <c r="AF81"/>
  <c r="AI81"/>
  <c r="AK81"/>
  <c r="AM81"/>
  <c r="AO81"/>
  <c r="AH84"/>
  <c r="AI84"/>
  <c r="AI85"/>
  <c r="AI86"/>
  <c r="AI87"/>
  <c r="Q91"/>
  <c r="AD91"/>
  <c r="AE91"/>
  <c r="AF91"/>
  <c r="AH91"/>
  <c r="AI91"/>
  <c r="AK91"/>
  <c r="AM91"/>
  <c r="AO91"/>
  <c r="B92"/>
  <c r="BE92" s="1"/>
  <c r="C92"/>
  <c r="AD92"/>
  <c r="AE92"/>
  <c r="AF92"/>
  <c r="AH92"/>
  <c r="AH93" s="1"/>
  <c r="AI92"/>
  <c r="AK92"/>
  <c r="AM92"/>
  <c r="AO92"/>
  <c r="AQ92" a="1"/>
  <c r="AQ92" s="1"/>
  <c r="AS92"/>
  <c r="AU92"/>
  <c r="AW92"/>
  <c r="AY92"/>
  <c r="BA92"/>
  <c r="BC92"/>
  <c r="BF92"/>
  <c r="B93"/>
  <c r="C93"/>
  <c r="AD93"/>
  <c r="AE93"/>
  <c r="AF93"/>
  <c r="AI93"/>
  <c r="AK93"/>
  <c r="AM93"/>
  <c r="AO93"/>
  <c r="AQ93"/>
  <c r="AS93"/>
  <c r="AU93"/>
  <c r="AW93"/>
  <c r="AY93"/>
  <c r="BA93"/>
  <c r="BC93"/>
  <c r="BE93"/>
  <c r="BF93"/>
  <c r="B94"/>
  <c r="C94"/>
  <c r="AD94"/>
  <c r="AE94"/>
  <c r="AF94"/>
  <c r="AI94"/>
  <c r="AK94"/>
  <c r="AM94"/>
  <c r="AO94"/>
  <c r="AQ94"/>
  <c r="AS94"/>
  <c r="AU94"/>
  <c r="AW94"/>
  <c r="AY94"/>
  <c r="BA94"/>
  <c r="BC94"/>
  <c r="BE94"/>
  <c r="BF94"/>
  <c r="B95"/>
  <c r="C95"/>
  <c r="AD95"/>
  <c r="AE95"/>
  <c r="AF95"/>
  <c r="AI95"/>
  <c r="AK95"/>
  <c r="AM95"/>
  <c r="AO95"/>
  <c r="AQ95"/>
  <c r="AS95"/>
  <c r="AU95"/>
  <c r="AW95"/>
  <c r="AY95"/>
  <c r="BA95"/>
  <c r="BC95"/>
  <c r="BE95"/>
  <c r="BF95"/>
  <c r="AD96"/>
  <c r="AE96"/>
  <c r="AF96"/>
  <c r="AI96"/>
  <c r="AK96"/>
  <c r="AM96"/>
  <c r="AO96"/>
  <c r="AH99"/>
  <c r="AI99"/>
  <c r="AI100"/>
  <c r="AI101"/>
  <c r="AI102"/>
  <c r="Q106"/>
  <c r="AD106"/>
  <c r="AE106"/>
  <c r="AF106"/>
  <c r="AH106"/>
  <c r="AI106"/>
  <c r="AK106"/>
  <c r="AM106"/>
  <c r="AO106"/>
  <c r="B107"/>
  <c r="BE107" s="1"/>
  <c r="C107"/>
  <c r="AD107"/>
  <c r="AE107"/>
  <c r="AF107"/>
  <c r="AH107"/>
  <c r="AH108" s="1"/>
  <c r="AI107"/>
  <c r="AK107"/>
  <c r="AM107"/>
  <c r="AO107"/>
  <c r="AQ107" a="1"/>
  <c r="AQ107" s="1"/>
  <c r="AS107"/>
  <c r="AU107"/>
  <c r="AW107"/>
  <c r="AY107"/>
  <c r="BA107"/>
  <c r="BC107"/>
  <c r="BF107"/>
  <c r="B108"/>
  <c r="C108"/>
  <c r="AD108"/>
  <c r="AE108"/>
  <c r="AF108"/>
  <c r="AI108"/>
  <c r="AK108"/>
  <c r="AM108"/>
  <c r="AO108"/>
  <c r="AQ108"/>
  <c r="AS108"/>
  <c r="AU108"/>
  <c r="AW108"/>
  <c r="AY108"/>
  <c r="BA108"/>
  <c r="BC108"/>
  <c r="BE108"/>
  <c r="BF108"/>
  <c r="B109"/>
  <c r="C109"/>
  <c r="AD109"/>
  <c r="AE109"/>
  <c r="AF109"/>
  <c r="AI109"/>
  <c r="AK109"/>
  <c r="AM109"/>
  <c r="AO109"/>
  <c r="AQ109"/>
  <c r="AS109"/>
  <c r="AU109"/>
  <c r="AW109"/>
  <c r="AY109"/>
  <c r="BA109"/>
  <c r="BC109"/>
  <c r="BE109"/>
  <c r="BF109"/>
  <c r="B110"/>
  <c r="C110"/>
  <c r="AD110"/>
  <c r="AE110"/>
  <c r="AF110"/>
  <c r="AI110"/>
  <c r="AK110"/>
  <c r="AM110"/>
  <c r="AO110"/>
  <c r="AQ110"/>
  <c r="AS110"/>
  <c r="AU110"/>
  <c r="AW110"/>
  <c r="AY110"/>
  <c r="BA110"/>
  <c r="BC110"/>
  <c r="BE110"/>
  <c r="BF110"/>
  <c r="AD111"/>
  <c r="AE111"/>
  <c r="AF111"/>
  <c r="AI111"/>
  <c r="AK111"/>
  <c r="AM111"/>
  <c r="AO111"/>
  <c r="AH114"/>
  <c r="AI114"/>
  <c r="AI115"/>
  <c r="AI116"/>
  <c r="AI117"/>
  <c r="Q121"/>
  <c r="AD121"/>
  <c r="AE121"/>
  <c r="AF121"/>
  <c r="AH121"/>
  <c r="AI121"/>
  <c r="AK121"/>
  <c r="AM121"/>
  <c r="AO121"/>
  <c r="B122"/>
  <c r="BE122" s="1"/>
  <c r="C122"/>
  <c r="AD122"/>
  <c r="AE122"/>
  <c r="AF122"/>
  <c r="AH122"/>
  <c r="AH123" s="1"/>
  <c r="AI122"/>
  <c r="AK122"/>
  <c r="AM122"/>
  <c r="AO122"/>
  <c r="AQ122" a="1"/>
  <c r="AQ122" s="1"/>
  <c r="AS122"/>
  <c r="AU122"/>
  <c r="AW122"/>
  <c r="AY122"/>
  <c r="BA122"/>
  <c r="BC122"/>
  <c r="BF122"/>
  <c r="B123"/>
  <c r="C123"/>
  <c r="AD123"/>
  <c r="AE123"/>
  <c r="AF123"/>
  <c r="AI123"/>
  <c r="AK123"/>
  <c r="AM123"/>
  <c r="AO123"/>
  <c r="AQ123"/>
  <c r="AS123"/>
  <c r="AU123"/>
  <c r="AW123"/>
  <c r="AY123"/>
  <c r="BA123"/>
  <c r="BC123"/>
  <c r="BE123"/>
  <c r="BF123"/>
  <c r="B124"/>
  <c r="C124"/>
  <c r="AD124"/>
  <c r="AE124"/>
  <c r="AF124"/>
  <c r="AI124"/>
  <c r="AK124"/>
  <c r="AM124"/>
  <c r="AO124"/>
  <c r="AQ124"/>
  <c r="AS124"/>
  <c r="AU124"/>
  <c r="AW124"/>
  <c r="AY124"/>
  <c r="BA124"/>
  <c r="BC124"/>
  <c r="BE124"/>
  <c r="BF124"/>
  <c r="B125"/>
  <c r="C125"/>
  <c r="AD125"/>
  <c r="AE125"/>
  <c r="AF125"/>
  <c r="AI125"/>
  <c r="AK125"/>
  <c r="AM125"/>
  <c r="AO125"/>
  <c r="AQ125"/>
  <c r="AS125"/>
  <c r="AU125"/>
  <c r="AW125"/>
  <c r="AY125"/>
  <c r="BA125"/>
  <c r="BC125"/>
  <c r="BE125"/>
  <c r="BF125"/>
  <c r="AD126"/>
  <c r="AE126"/>
  <c r="AF126"/>
  <c r="AI126"/>
  <c r="AK126"/>
  <c r="AM126"/>
  <c r="AO126"/>
  <c r="AH129"/>
  <c r="AI129"/>
  <c r="AI130"/>
  <c r="AI131"/>
  <c r="AI132"/>
  <c r="B2" i="3"/>
  <c r="B3"/>
  <c r="B4"/>
  <c r="B5"/>
  <c r="B6"/>
  <c r="B7"/>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8"/>
  <c r="B49"/>
  <c r="AA1" i="4"/>
  <c r="AB1"/>
  <c r="AC1"/>
  <c r="AD1"/>
  <c r="AE1"/>
  <c r="AF1"/>
  <c r="AG1"/>
  <c r="AH1"/>
  <c r="AI1"/>
  <c r="AJ1"/>
  <c r="AK1"/>
  <c r="AL1"/>
  <c r="AM1"/>
  <c r="AN1"/>
  <c r="AO1"/>
  <c r="AP1"/>
  <c r="AQ1"/>
  <c r="AR1"/>
  <c r="AS1"/>
  <c r="AT1"/>
  <c r="AU1"/>
  <c r="AV1"/>
  <c r="B2"/>
  <c r="B3"/>
  <c r="B4"/>
  <c r="B5"/>
  <c r="B6"/>
  <c r="B7"/>
  <c r="B8"/>
  <c r="B9"/>
  <c r="B10"/>
  <c r="B11"/>
  <c r="B12"/>
  <c r="B13"/>
  <c r="B14"/>
  <c r="B15"/>
  <c r="B16"/>
  <c r="B17"/>
  <c r="B18"/>
  <c r="B19"/>
  <c r="B20"/>
  <c r="B21"/>
  <c r="B22"/>
  <c r="B23"/>
  <c r="B24"/>
  <c r="B25"/>
  <c r="B26"/>
  <c r="B27"/>
  <c r="B28"/>
  <c r="B29"/>
  <c r="B30"/>
  <c r="B31"/>
  <c r="B32"/>
  <c r="B33"/>
  <c r="B34"/>
  <c r="B35"/>
  <c r="B37"/>
  <c r="B38"/>
  <c r="B40"/>
  <c r="B41"/>
  <c r="B43"/>
  <c r="B44"/>
  <c r="B46"/>
  <c r="B47"/>
  <c r="B49"/>
  <c r="B50"/>
  <c r="B52"/>
  <c r="B53"/>
  <c r="B55"/>
  <c r="B56"/>
  <c r="A66"/>
  <c r="A71"/>
  <c r="A74"/>
  <c r="B3" i="12"/>
  <c r="D3"/>
  <c r="G3"/>
  <c r="J3"/>
  <c r="B4"/>
  <c r="D4"/>
  <c r="G4"/>
  <c r="J4"/>
  <c r="B5"/>
  <c r="D5"/>
  <c r="G5"/>
  <c r="J5"/>
  <c r="B6"/>
  <c r="D6"/>
  <c r="G6"/>
  <c r="J6"/>
  <c r="B7"/>
  <c r="D7"/>
  <c r="G7"/>
  <c r="B8"/>
  <c r="D8"/>
  <c r="G8"/>
  <c r="B9"/>
  <c r="D9"/>
  <c r="G9"/>
  <c r="J9"/>
  <c r="B10"/>
  <c r="D10"/>
  <c r="G10"/>
  <c r="J10"/>
  <c r="E12"/>
  <c r="F12" s="1"/>
  <c r="K14"/>
  <c r="K15"/>
  <c r="K16"/>
  <c r="K17"/>
  <c r="K18"/>
  <c r="K19"/>
  <c r="K20"/>
  <c r="M20"/>
  <c r="O20"/>
  <c r="K21"/>
  <c r="K22"/>
  <c r="K23"/>
  <c r="K24"/>
  <c r="K25"/>
  <c r="K26"/>
  <c r="K27"/>
  <c r="M27"/>
  <c r="O27"/>
  <c r="K28"/>
  <c r="K29"/>
  <c r="K30"/>
  <c r="K31"/>
  <c r="K32"/>
  <c r="K33"/>
  <c r="K34"/>
  <c r="M34"/>
  <c r="O34"/>
  <c r="K35"/>
  <c r="K36"/>
  <c r="K37"/>
  <c r="K38"/>
  <c r="K39"/>
  <c r="K40"/>
  <c r="K41"/>
  <c r="M41"/>
  <c r="O41"/>
  <c r="K42"/>
  <c r="K43"/>
  <c r="K44"/>
  <c r="K45"/>
  <c r="K46"/>
  <c r="K47"/>
  <c r="K48"/>
  <c r="M48"/>
  <c r="O48"/>
  <c r="K49"/>
  <c r="K50"/>
  <c r="K51"/>
  <c r="K52"/>
  <c r="K53"/>
  <c r="K54"/>
  <c r="K55"/>
  <c r="M55"/>
  <c r="O55"/>
  <c r="K56"/>
  <c r="K57"/>
  <c r="K58"/>
  <c r="K59"/>
  <c r="K60"/>
  <c r="K61"/>
  <c r="K62"/>
  <c r="M62"/>
  <c r="O62"/>
  <c r="K63"/>
  <c r="K64"/>
  <c r="K65"/>
  <c r="K66"/>
  <c r="K67"/>
  <c r="K68"/>
  <c r="K69"/>
  <c r="M69"/>
  <c r="O69"/>
  <c r="K70"/>
  <c r="K71"/>
  <c r="K72"/>
  <c r="K73"/>
  <c r="K74"/>
  <c r="K75"/>
  <c r="K76"/>
  <c r="K77"/>
  <c r="K78"/>
  <c r="M78"/>
  <c r="O78"/>
  <c r="K79"/>
  <c r="K80"/>
  <c r="K81"/>
  <c r="K82"/>
  <c r="K83"/>
  <c r="M83"/>
  <c r="O83"/>
  <c r="K84"/>
  <c r="K85"/>
  <c r="K86"/>
  <c r="M86"/>
  <c r="O86"/>
  <c r="K87"/>
  <c r="K88"/>
  <c r="M88"/>
  <c r="O88"/>
  <c r="K89"/>
  <c r="L89"/>
  <c r="M89" s="1"/>
  <c r="G4" i="31"/>
  <c r="F11" i="2" s="1"/>
  <c r="I4" i="31"/>
  <c r="J11" i="2" s="1"/>
  <c r="G5" i="31"/>
  <c r="F12" i="2" s="1"/>
  <c r="I5" i="31"/>
  <c r="J12" i="2" s="1"/>
  <c r="G6" i="31"/>
  <c r="F13" i="2" s="1"/>
  <c r="I6" i="31"/>
  <c r="J13" i="2" s="1"/>
  <c r="G7" i="31"/>
  <c r="F14" i="2" s="1"/>
  <c r="I7" i="31"/>
  <c r="J14" i="2" s="1"/>
  <c r="G8" i="31"/>
  <c r="F15" i="2" s="1"/>
  <c r="I8" i="31"/>
  <c r="J15" i="2" s="1"/>
  <c r="G9" i="31"/>
  <c r="F16" i="2" s="1"/>
  <c r="I9" i="31"/>
  <c r="J16" i="2" s="1"/>
  <c r="G12" i="31"/>
  <c r="F19" i="2" s="1"/>
  <c r="I12" i="31"/>
  <c r="J19" i="2" s="1"/>
  <c r="G13" i="31"/>
  <c r="F20" i="2" s="1"/>
  <c r="I13" i="31"/>
  <c r="J20" i="2" s="1"/>
  <c r="G14" i="31"/>
  <c r="F21" i="2" s="1"/>
  <c r="I14" i="31"/>
  <c r="J21" i="2" s="1"/>
  <c r="G15" i="31"/>
  <c r="F22" i="2" s="1"/>
  <c r="I15" i="31"/>
  <c r="J22" i="2" s="1"/>
  <c r="G16" i="31"/>
  <c r="F23" i="2" s="1"/>
  <c r="I16" i="31"/>
  <c r="J23" i="2" s="1"/>
  <c r="G17" i="31"/>
  <c r="F24" i="2" s="1"/>
  <c r="I17" i="31"/>
  <c r="J24" i="2" s="1"/>
  <c r="G20" i="31"/>
  <c r="F27" i="2" s="1"/>
  <c r="G21" i="31"/>
  <c r="F28" i="2" s="1"/>
  <c r="I21" i="31"/>
  <c r="J28" i="2" s="1"/>
  <c r="G22" i="31"/>
  <c r="F29" i="2" s="1"/>
  <c r="G23" i="31"/>
  <c r="F30" i="2" s="1"/>
  <c r="I23" i="31"/>
  <c r="J30" i="2" s="1"/>
  <c r="G24" i="31"/>
  <c r="F31" i="2" s="1"/>
  <c r="I24" i="31"/>
  <c r="J31" i="2" s="1"/>
  <c r="I25" i="31"/>
  <c r="J32" i="2" s="1"/>
  <c r="G28" i="31"/>
  <c r="F35" i="2" s="1"/>
  <c r="I28" i="31"/>
  <c r="J35" i="2" s="1"/>
  <c r="G29" i="31"/>
  <c r="F36" i="2" s="1"/>
  <c r="I29" i="31"/>
  <c r="J36" i="2" s="1"/>
  <c r="G30" i="31"/>
  <c r="F37" i="2" s="1"/>
  <c r="I30" i="31"/>
  <c r="J37" i="2" s="1"/>
  <c r="G31" i="31"/>
  <c r="F38" i="2" s="1"/>
  <c r="I31" i="31"/>
  <c r="J38" i="2" s="1"/>
  <c r="G32" i="31"/>
  <c r="F39" i="2" s="1"/>
  <c r="I32" i="31"/>
  <c r="J39" i="2" s="1"/>
  <c r="G33" i="31"/>
  <c r="F40" i="2" s="1"/>
  <c r="I33" i="31"/>
  <c r="J40" i="2" s="1"/>
  <c r="G36" i="31"/>
  <c r="F43" i="2" s="1"/>
  <c r="I36" i="31"/>
  <c r="J43" i="2" s="1"/>
  <c r="G37" i="31"/>
  <c r="F44" i="2" s="1"/>
  <c r="I37" i="31"/>
  <c r="J44" i="2" s="1"/>
  <c r="G38" i="31"/>
  <c r="F45" i="2" s="1"/>
  <c r="I38" i="31"/>
  <c r="J45" i="2" s="1"/>
  <c r="G39" i="31"/>
  <c r="F46" i="2" s="1"/>
  <c r="I39" i="31"/>
  <c r="J46" i="2" s="1"/>
  <c r="G40" i="31"/>
  <c r="F47" i="2" s="1"/>
  <c r="I40" i="31"/>
  <c r="J47" i="2" s="1"/>
  <c r="G41" i="31"/>
  <c r="F48" i="2" s="1"/>
  <c r="I41" i="31"/>
  <c r="J48" i="2" s="1"/>
  <c r="G44" i="31"/>
  <c r="F51" i="2" s="1"/>
  <c r="I44" i="31"/>
  <c r="J51" i="2" s="1"/>
  <c r="G45" i="31"/>
  <c r="F52" i="2" s="1"/>
  <c r="I45" i="31"/>
  <c r="J52" i="2" s="1"/>
  <c r="G46" i="31"/>
  <c r="F53" i="2" s="1"/>
  <c r="I46" i="31"/>
  <c r="J53" i="2" s="1"/>
  <c r="G47" i="31"/>
  <c r="F54" i="2" s="1"/>
  <c r="I47" i="31"/>
  <c r="J54" i="2" s="1"/>
  <c r="G48" i="31"/>
  <c r="F55" i="2" s="1"/>
  <c r="I48" i="31"/>
  <c r="J55" i="2" s="1"/>
  <c r="G49" i="31"/>
  <c r="F56" i="2" s="1"/>
  <c r="I49" i="31"/>
  <c r="J56" i="2" s="1"/>
  <c r="G52" i="31"/>
  <c r="F59" i="2" s="1"/>
  <c r="I52" i="31"/>
  <c r="J59" i="2" s="1"/>
  <c r="G53" i="31"/>
  <c r="F60" i="2" s="1"/>
  <c r="I53" i="31"/>
  <c r="J60" i="2" s="1"/>
  <c r="G54" i="31"/>
  <c r="F61" i="2" s="1"/>
  <c r="I54" i="31"/>
  <c r="J61" i="2" s="1"/>
  <c r="G55" i="31"/>
  <c r="F62" i="2" s="1"/>
  <c r="I55" i="31"/>
  <c r="J62" i="2" s="1"/>
  <c r="G56" i="31"/>
  <c r="F63" i="2" s="1"/>
  <c r="I56" i="31"/>
  <c r="J63" i="2" s="1"/>
  <c r="G57" i="31"/>
  <c r="F64" i="2" s="1"/>
  <c r="I57" i="31"/>
  <c r="J64" i="2" s="1"/>
  <c r="G60" i="31"/>
  <c r="F67" i="2" s="1"/>
  <c r="I60" i="31"/>
  <c r="J67" i="2" s="1"/>
  <c r="G61" i="31"/>
  <c r="F68" i="2" s="1"/>
  <c r="I61" i="31"/>
  <c r="J68" i="2" s="1"/>
  <c r="G62" i="31"/>
  <c r="F69" i="2" s="1"/>
  <c r="I62" i="31"/>
  <c r="J69" i="2" s="1"/>
  <c r="G63" i="31"/>
  <c r="F70" i="2" s="1"/>
  <c r="I63" i="31"/>
  <c r="J70" i="2" s="1"/>
  <c r="G64" i="31"/>
  <c r="F71" i="2" s="1"/>
  <c r="I64" i="31"/>
  <c r="J71" i="2" s="1"/>
  <c r="G65" i="31"/>
  <c r="F72" i="2" s="1"/>
  <c r="I65" i="31"/>
  <c r="J72" i="2" s="1"/>
  <c r="G69" i="31"/>
  <c r="I69"/>
  <c r="G70"/>
  <c r="I70"/>
  <c r="G71"/>
  <c r="I71"/>
  <c r="G72"/>
  <c r="I72"/>
  <c r="G73"/>
  <c r="I73"/>
  <c r="G74"/>
  <c r="I74"/>
  <c r="G75"/>
  <c r="I75"/>
  <c r="G76"/>
  <c r="I76"/>
  <c r="G80"/>
  <c r="I80"/>
  <c r="G81"/>
  <c r="I81"/>
  <c r="G82"/>
  <c r="I82"/>
  <c r="G83"/>
  <c r="I83"/>
  <c r="G87"/>
  <c r="I87"/>
  <c r="G88"/>
  <c r="I88"/>
  <c r="G92"/>
  <c r="I92"/>
  <c r="G96"/>
  <c r="I96"/>
  <c r="B3" i="22"/>
  <c r="D3"/>
  <c r="G3"/>
  <c r="J3"/>
  <c r="B4"/>
  <c r="D4"/>
  <c r="G4"/>
  <c r="J4"/>
  <c r="B5"/>
  <c r="D5"/>
  <c r="G5"/>
  <c r="J5"/>
  <c r="B6"/>
  <c r="D6"/>
  <c r="G6"/>
  <c r="J6"/>
  <c r="B7"/>
  <c r="D7"/>
  <c r="G7"/>
  <c r="B8"/>
  <c r="D8"/>
  <c r="G8"/>
  <c r="B9"/>
  <c r="D9"/>
  <c r="G9"/>
  <c r="J9"/>
  <c r="B10"/>
  <c r="D10"/>
  <c r="G10"/>
  <c r="J10"/>
  <c r="E12"/>
  <c r="F12" s="1"/>
  <c r="K14"/>
  <c r="L14"/>
  <c r="M14" s="1"/>
  <c r="K15"/>
  <c r="L15"/>
  <c r="M15" s="1"/>
  <c r="K16"/>
  <c r="L16"/>
  <c r="M16" s="1"/>
  <c r="K17"/>
  <c r="L17"/>
  <c r="M17" s="1"/>
  <c r="K18"/>
  <c r="L18"/>
  <c r="M18" s="1"/>
  <c r="K19"/>
  <c r="L19"/>
  <c r="K20"/>
  <c r="M20"/>
  <c r="O20"/>
  <c r="K21"/>
  <c r="K22"/>
  <c r="K23"/>
  <c r="K24"/>
  <c r="K25"/>
  <c r="K26"/>
  <c r="K27"/>
  <c r="M27"/>
  <c r="O27"/>
  <c r="K28"/>
  <c r="L28"/>
  <c r="M28" s="1"/>
  <c r="K29"/>
  <c r="L29"/>
  <c r="M29" s="1"/>
  <c r="K30"/>
  <c r="L30"/>
  <c r="M30" s="1"/>
  <c r="K31"/>
  <c r="L31"/>
  <c r="M31" s="1"/>
  <c r="K32"/>
  <c r="L32"/>
  <c r="K33"/>
  <c r="L33"/>
  <c r="M33" s="1"/>
  <c r="K34"/>
  <c r="M34"/>
  <c r="O34"/>
  <c r="K35"/>
  <c r="K36"/>
  <c r="K37"/>
  <c r="K38"/>
  <c r="K39"/>
  <c r="K40"/>
  <c r="K41"/>
  <c r="M41"/>
  <c r="O41"/>
  <c r="K42"/>
  <c r="L42"/>
  <c r="M42" s="1"/>
  <c r="K43"/>
  <c r="L43"/>
  <c r="M43" s="1"/>
  <c r="K44"/>
  <c r="L44"/>
  <c r="M44" s="1"/>
  <c r="K45"/>
  <c r="L45"/>
  <c r="M45" s="1"/>
  <c r="K46"/>
  <c r="L46"/>
  <c r="M46" s="1"/>
  <c r="K47"/>
  <c r="L47"/>
  <c r="K48"/>
  <c r="M48"/>
  <c r="O48"/>
  <c r="K49"/>
  <c r="K50"/>
  <c r="K51"/>
  <c r="K52"/>
  <c r="K53"/>
  <c r="K54"/>
  <c r="K55"/>
  <c r="M55"/>
  <c r="O55"/>
  <c r="K56"/>
  <c r="L56"/>
  <c r="M56" s="1"/>
  <c r="K57"/>
  <c r="L57"/>
  <c r="M57" s="1"/>
  <c r="K58"/>
  <c r="L58"/>
  <c r="K59"/>
  <c r="L59"/>
  <c r="M59" s="1"/>
  <c r="K60"/>
  <c r="L60"/>
  <c r="M60" s="1"/>
  <c r="K61"/>
  <c r="L61"/>
  <c r="M61" s="1"/>
  <c r="K62"/>
  <c r="M62"/>
  <c r="O62"/>
  <c r="K63"/>
  <c r="K64"/>
  <c r="K65"/>
  <c r="K66"/>
  <c r="K67"/>
  <c r="K68"/>
  <c r="K69"/>
  <c r="M69"/>
  <c r="O69"/>
  <c r="K70"/>
  <c r="L70"/>
  <c r="M70" s="1"/>
  <c r="K71"/>
  <c r="L71"/>
  <c r="M71" s="1"/>
  <c r="K72"/>
  <c r="L72"/>
  <c r="M72" s="1"/>
  <c r="K73"/>
  <c r="L73"/>
  <c r="M73" s="1"/>
  <c r="K74"/>
  <c r="L74"/>
  <c r="M74" s="1"/>
  <c r="K75"/>
  <c r="L75"/>
  <c r="M75" s="1"/>
  <c r="K76"/>
  <c r="L76"/>
  <c r="M76" s="1"/>
  <c r="K77"/>
  <c r="L77"/>
  <c r="M77" s="1"/>
  <c r="K78"/>
  <c r="M78"/>
  <c r="O78"/>
  <c r="K79"/>
  <c r="K80"/>
  <c r="K81"/>
  <c r="K82"/>
  <c r="K83"/>
  <c r="M83"/>
  <c r="O83"/>
  <c r="K84"/>
  <c r="L84"/>
  <c r="M84" s="1"/>
  <c r="K85"/>
  <c r="L85"/>
  <c r="M85" s="1"/>
  <c r="K86"/>
  <c r="M86"/>
  <c r="O86"/>
  <c r="K87"/>
  <c r="K88"/>
  <c r="M88"/>
  <c r="O88"/>
  <c r="K89"/>
  <c r="BG47" i="30" l="1"/>
  <c r="BH47" s="1"/>
  <c r="BG18"/>
  <c r="BH18" s="1"/>
  <c r="Q70" i="2"/>
  <c r="O70" s="1"/>
  <c r="Q45"/>
  <c r="O45" s="1"/>
  <c r="L89" i="22"/>
  <c r="M89" s="1"/>
  <c r="L85" i="12"/>
  <c r="M85" s="1"/>
  <c r="L84"/>
  <c r="O84" s="1"/>
  <c r="L77"/>
  <c r="M77" s="1"/>
  <c r="L76"/>
  <c r="O76" s="1"/>
  <c r="L75"/>
  <c r="M75" s="1"/>
  <c r="L74"/>
  <c r="O74" s="1"/>
  <c r="L73"/>
  <c r="M73" s="1"/>
  <c r="L72"/>
  <c r="M72" s="1"/>
  <c r="L71"/>
  <c r="M71" s="1"/>
  <c r="L70"/>
  <c r="M70" s="1"/>
  <c r="L61"/>
  <c r="M61" s="1"/>
  <c r="L60"/>
  <c r="M60" s="1"/>
  <c r="L59"/>
  <c r="M59" s="1"/>
  <c r="L58"/>
  <c r="M58" s="1"/>
  <c r="L57"/>
  <c r="M57" s="1"/>
  <c r="L56"/>
  <c r="M56" s="1"/>
  <c r="L47"/>
  <c r="M47" s="1"/>
  <c r="L46"/>
  <c r="M46" s="1"/>
  <c r="L45"/>
  <c r="M45" s="1"/>
  <c r="L44"/>
  <c r="M44" s="1"/>
  <c r="L43"/>
  <c r="M43" s="1"/>
  <c r="L42"/>
  <c r="M42" s="1"/>
  <c r="L33"/>
  <c r="M33" s="1"/>
  <c r="L32"/>
  <c r="M32" s="1"/>
  <c r="L31"/>
  <c r="M31" s="1"/>
  <c r="L30"/>
  <c r="M30" s="1"/>
  <c r="L29"/>
  <c r="M29" s="1"/>
  <c r="L28"/>
  <c r="M28" s="1"/>
  <c r="L19"/>
  <c r="M19" s="1"/>
  <c r="L18"/>
  <c r="M18" s="1"/>
  <c r="L17"/>
  <c r="M17" s="1"/>
  <c r="L16"/>
  <c r="M16" s="1"/>
  <c r="L15"/>
  <c r="M15" s="1"/>
  <c r="L14"/>
  <c r="M14" s="1"/>
  <c r="AD16" i="30"/>
  <c r="L89" i="14"/>
  <c r="M89" s="1"/>
  <c r="L89" i="15"/>
  <c r="M89" s="1"/>
  <c r="L89" i="17"/>
  <c r="M89" s="1"/>
  <c r="L89" i="26"/>
  <c r="O89" s="1"/>
  <c r="J103" i="2"/>
  <c r="AD104" s="1"/>
  <c r="AI103"/>
  <c r="AJ103"/>
  <c r="N103"/>
  <c r="O103" s="1"/>
  <c r="AG98"/>
  <c r="L85" i="13"/>
  <c r="L84"/>
  <c r="M84" s="1"/>
  <c r="L77"/>
  <c r="L76"/>
  <c r="M76" s="1"/>
  <c r="L75"/>
  <c r="L74"/>
  <c r="M74" s="1"/>
  <c r="L73"/>
  <c r="L72"/>
  <c r="M72" s="1"/>
  <c r="L71"/>
  <c r="L70"/>
  <c r="M70" s="1"/>
  <c r="L61"/>
  <c r="L60"/>
  <c r="M60" s="1"/>
  <c r="L59"/>
  <c r="L58"/>
  <c r="M58" s="1"/>
  <c r="L57"/>
  <c r="L56"/>
  <c r="M56" s="1"/>
  <c r="L47"/>
  <c r="L46"/>
  <c r="M46" s="1"/>
  <c r="L45"/>
  <c r="L44"/>
  <c r="M44" s="1"/>
  <c r="L43"/>
  <c r="L42"/>
  <c r="M42" s="1"/>
  <c r="L33"/>
  <c r="L32"/>
  <c r="M32" s="1"/>
  <c r="L31"/>
  <c r="L30"/>
  <c r="M30" s="1"/>
  <c r="L29"/>
  <c r="L28"/>
  <c r="M28" s="1"/>
  <c r="L19"/>
  <c r="L18"/>
  <c r="M18" s="1"/>
  <c r="L17"/>
  <c r="L16"/>
  <c r="M16" s="1"/>
  <c r="L15"/>
  <c r="AJ95" i="2"/>
  <c r="AG95"/>
  <c r="AJ94"/>
  <c r="AG94"/>
  <c r="L33" i="9"/>
  <c r="O33" s="1"/>
  <c r="L31"/>
  <c r="O31" s="1"/>
  <c r="L30"/>
  <c r="M30" s="1"/>
  <c r="L29"/>
  <c r="O29" s="1"/>
  <c r="L32"/>
  <c r="M32" s="1"/>
  <c r="AJ83" i="2"/>
  <c r="AG83"/>
  <c r="AG82"/>
  <c r="AJ81"/>
  <c r="AG81"/>
  <c r="AJ80"/>
  <c r="AG80"/>
  <c r="AJ79"/>
  <c r="AG79"/>
  <c r="AJ78"/>
  <c r="AG78"/>
  <c r="AJ77"/>
  <c r="AG77"/>
  <c r="L15" i="9"/>
  <c r="O15" s="1"/>
  <c r="L16"/>
  <c r="M16" s="1"/>
  <c r="L17"/>
  <c r="O17" s="1"/>
  <c r="L18"/>
  <c r="M18" s="1"/>
  <c r="L19"/>
  <c r="O19" s="1"/>
  <c r="L85"/>
  <c r="O85" s="1"/>
  <c r="L21" i="24"/>
  <c r="M21" s="1"/>
  <c r="L22"/>
  <c r="M22" s="1"/>
  <c r="L23"/>
  <c r="M23" s="1"/>
  <c r="L24"/>
  <c r="M24" s="1"/>
  <c r="L25"/>
  <c r="M25" s="1"/>
  <c r="L26"/>
  <c r="M26" s="1"/>
  <c r="L35"/>
  <c r="M35" s="1"/>
  <c r="L36"/>
  <c r="M36" s="1"/>
  <c r="L37"/>
  <c r="M37" s="1"/>
  <c r="L38"/>
  <c r="M38" s="1"/>
  <c r="L39"/>
  <c r="M39" s="1"/>
  <c r="L40"/>
  <c r="M40" s="1"/>
  <c r="L49"/>
  <c r="M49" s="1"/>
  <c r="L50"/>
  <c r="M50" s="1"/>
  <c r="L51"/>
  <c r="M51" s="1"/>
  <c r="L52"/>
  <c r="M52" s="1"/>
  <c r="L53"/>
  <c r="M53" s="1"/>
  <c r="L54"/>
  <c r="M54" s="1"/>
  <c r="L63"/>
  <c r="M63" s="1"/>
  <c r="L64"/>
  <c r="M64" s="1"/>
  <c r="L65"/>
  <c r="M65" s="1"/>
  <c r="L66"/>
  <c r="M66" s="1"/>
  <c r="L67"/>
  <c r="L68"/>
  <c r="M68" s="1"/>
  <c r="L79"/>
  <c r="L80"/>
  <c r="M80" s="1"/>
  <c r="L81"/>
  <c r="L82"/>
  <c r="M82" s="1"/>
  <c r="L87"/>
  <c r="L89" i="13"/>
  <c r="M89" s="1"/>
  <c r="L89" i="21"/>
  <c r="M89" s="1"/>
  <c r="L21" i="26"/>
  <c r="M21" s="1"/>
  <c r="L22"/>
  <c r="M22" s="1"/>
  <c r="L23"/>
  <c r="M23" s="1"/>
  <c r="L24"/>
  <c r="M24" s="1"/>
  <c r="L25"/>
  <c r="M25" s="1"/>
  <c r="L26"/>
  <c r="M26" s="1"/>
  <c r="L35"/>
  <c r="M35" s="1"/>
  <c r="L36"/>
  <c r="M36" s="1"/>
  <c r="L37"/>
  <c r="M37" s="1"/>
  <c r="L38"/>
  <c r="M38" s="1"/>
  <c r="L39"/>
  <c r="M39" s="1"/>
  <c r="L40"/>
  <c r="M40" s="1"/>
  <c r="L49"/>
  <c r="M49" s="1"/>
  <c r="L50"/>
  <c r="M50" s="1"/>
  <c r="L51"/>
  <c r="M51" s="1"/>
  <c r="L52"/>
  <c r="M52" s="1"/>
  <c r="L53"/>
  <c r="O53" s="1"/>
  <c r="L54"/>
  <c r="M54" s="1"/>
  <c r="L63"/>
  <c r="O63" s="1"/>
  <c r="L64"/>
  <c r="M64" s="1"/>
  <c r="L65"/>
  <c r="M65" s="1"/>
  <c r="L66"/>
  <c r="M66" s="1"/>
  <c r="L67"/>
  <c r="O67" s="1"/>
  <c r="L68"/>
  <c r="M68" s="1"/>
  <c r="L79"/>
  <c r="M79" s="1"/>
  <c r="L80"/>
  <c r="M80" s="1"/>
  <c r="L81"/>
  <c r="O81" s="1"/>
  <c r="L82"/>
  <c r="M82" s="1"/>
  <c r="L87"/>
  <c r="O87" s="1"/>
  <c r="L21" i="17"/>
  <c r="L22"/>
  <c r="M22" s="1"/>
  <c r="L23"/>
  <c r="L24"/>
  <c r="M24" s="1"/>
  <c r="L25"/>
  <c r="L26"/>
  <c r="M26" s="1"/>
  <c r="L35"/>
  <c r="L36"/>
  <c r="M36" s="1"/>
  <c r="L37"/>
  <c r="L38"/>
  <c r="M38" s="1"/>
  <c r="L39"/>
  <c r="L40"/>
  <c r="M40" s="1"/>
  <c r="L49"/>
  <c r="L50"/>
  <c r="M50" s="1"/>
  <c r="L51"/>
  <c r="L52"/>
  <c r="M52" s="1"/>
  <c r="L53"/>
  <c r="L54"/>
  <c r="M54" s="1"/>
  <c r="L63"/>
  <c r="L64"/>
  <c r="M64" s="1"/>
  <c r="L65"/>
  <c r="L66"/>
  <c r="M66" s="1"/>
  <c r="L67"/>
  <c r="L68"/>
  <c r="M68" s="1"/>
  <c r="L79"/>
  <c r="M79" s="1"/>
  <c r="L80"/>
  <c r="M80" s="1"/>
  <c r="L81"/>
  <c r="M81" s="1"/>
  <c r="L82"/>
  <c r="M82" s="1"/>
  <c r="L87"/>
  <c r="M87" s="1"/>
  <c r="L21" i="19"/>
  <c r="M21" s="1"/>
  <c r="L22"/>
  <c r="M22" s="1"/>
  <c r="L23"/>
  <c r="M23" s="1"/>
  <c r="L24"/>
  <c r="M24" s="1"/>
  <c r="L25"/>
  <c r="M25" s="1"/>
  <c r="L26"/>
  <c r="M26" s="1"/>
  <c r="L35"/>
  <c r="M35" s="1"/>
  <c r="L36"/>
  <c r="L37"/>
  <c r="M37" s="1"/>
  <c r="L38"/>
  <c r="L39"/>
  <c r="M39" s="1"/>
  <c r="L40"/>
  <c r="L49"/>
  <c r="M49" s="1"/>
  <c r="L50"/>
  <c r="L51"/>
  <c r="M51" s="1"/>
  <c r="L52"/>
  <c r="L53"/>
  <c r="M53" s="1"/>
  <c r="L54"/>
  <c r="L63"/>
  <c r="M63" s="1"/>
  <c r="L64"/>
  <c r="L65"/>
  <c r="M65" s="1"/>
  <c r="L66"/>
  <c r="L67"/>
  <c r="M67" s="1"/>
  <c r="L68"/>
  <c r="L79"/>
  <c r="M79" s="1"/>
  <c r="L80"/>
  <c r="L81"/>
  <c r="O81" s="1"/>
  <c r="L82"/>
  <c r="L87"/>
  <c r="M87" s="1"/>
  <c r="L14" i="10"/>
  <c r="M14" s="1"/>
  <c r="L15"/>
  <c r="O15" s="1"/>
  <c r="L16"/>
  <c r="M16" s="1"/>
  <c r="L17"/>
  <c r="O17" s="1"/>
  <c r="L18"/>
  <c r="M18" s="1"/>
  <c r="L19"/>
  <c r="O19" s="1"/>
  <c r="L28"/>
  <c r="M28" s="1"/>
  <c r="L29"/>
  <c r="M29" s="1"/>
  <c r="L30"/>
  <c r="M30" s="1"/>
  <c r="L31"/>
  <c r="L32"/>
  <c r="M32" s="1"/>
  <c r="L33"/>
  <c r="M33" s="1"/>
  <c r="L42"/>
  <c r="M42" s="1"/>
  <c r="L43"/>
  <c r="M43" s="1"/>
  <c r="L44"/>
  <c r="M44" s="1"/>
  <c r="L45"/>
  <c r="L46"/>
  <c r="M46" s="1"/>
  <c r="L47"/>
  <c r="M47" s="1"/>
  <c r="L56"/>
  <c r="M56" s="1"/>
  <c r="L57"/>
  <c r="M57" s="1"/>
  <c r="L58"/>
  <c r="M58" s="1"/>
  <c r="L59"/>
  <c r="L60"/>
  <c r="M60" s="1"/>
  <c r="L61"/>
  <c r="M61" s="1"/>
  <c r="L70"/>
  <c r="M70" s="1"/>
  <c r="L71"/>
  <c r="L72"/>
  <c r="O72" s="1"/>
  <c r="L73"/>
  <c r="M73" s="1"/>
  <c r="L74"/>
  <c r="O74" s="1"/>
  <c r="L75"/>
  <c r="L76"/>
  <c r="O76" s="1"/>
  <c r="L77"/>
  <c r="O77" s="1"/>
  <c r="L84"/>
  <c r="O84" s="1"/>
  <c r="L85"/>
  <c r="M85" s="1"/>
  <c r="L89"/>
  <c r="M89" s="1"/>
  <c r="L21" i="23"/>
  <c r="O21" s="1"/>
  <c r="L22"/>
  <c r="M22" s="1"/>
  <c r="L23"/>
  <c r="O23" s="1"/>
  <c r="L24"/>
  <c r="M24" s="1"/>
  <c r="L25"/>
  <c r="O25" s="1"/>
  <c r="L26"/>
  <c r="M26" s="1"/>
  <c r="L35"/>
  <c r="O35" s="1"/>
  <c r="L36"/>
  <c r="M36" s="1"/>
  <c r="L37"/>
  <c r="O37" s="1"/>
  <c r="L38"/>
  <c r="M38" s="1"/>
  <c r="L39"/>
  <c r="O39" s="1"/>
  <c r="L40"/>
  <c r="M40" s="1"/>
  <c r="L49"/>
  <c r="O49" s="1"/>
  <c r="L50"/>
  <c r="M50" s="1"/>
  <c r="L51"/>
  <c r="O51" s="1"/>
  <c r="L52"/>
  <c r="M52" s="1"/>
  <c r="L53"/>
  <c r="O53" s="1"/>
  <c r="L54"/>
  <c r="M54" s="1"/>
  <c r="L63"/>
  <c r="O63" s="1"/>
  <c r="L64"/>
  <c r="M64" s="1"/>
  <c r="L65"/>
  <c r="O65" s="1"/>
  <c r="L66"/>
  <c r="M66" s="1"/>
  <c r="L67"/>
  <c r="O67" s="1"/>
  <c r="L68"/>
  <c r="M68" s="1"/>
  <c r="L79"/>
  <c r="L80"/>
  <c r="M80" s="1"/>
  <c r="L81"/>
  <c r="L82"/>
  <c r="M82" s="1"/>
  <c r="L87"/>
  <c r="L21" i="15"/>
  <c r="M21" s="1"/>
  <c r="L22"/>
  <c r="O22" s="1"/>
  <c r="L23"/>
  <c r="M23" s="1"/>
  <c r="L24"/>
  <c r="O24" s="1"/>
  <c r="L25"/>
  <c r="M25" s="1"/>
  <c r="L26"/>
  <c r="O26" s="1"/>
  <c r="L35"/>
  <c r="M35" s="1"/>
  <c r="L36"/>
  <c r="O36" s="1"/>
  <c r="L37"/>
  <c r="M37" s="1"/>
  <c r="L38"/>
  <c r="O38" s="1"/>
  <c r="L39"/>
  <c r="M39" s="1"/>
  <c r="L40"/>
  <c r="O40" s="1"/>
  <c r="L49"/>
  <c r="M49" s="1"/>
  <c r="L50"/>
  <c r="O50" s="1"/>
  <c r="L87" i="22"/>
  <c r="M87" s="1"/>
  <c r="L82"/>
  <c r="M82" s="1"/>
  <c r="L81"/>
  <c r="M81" s="1"/>
  <c r="L80"/>
  <c r="M80" s="1"/>
  <c r="L79"/>
  <c r="M79" s="1"/>
  <c r="L68"/>
  <c r="M68" s="1"/>
  <c r="L67"/>
  <c r="M67" s="1"/>
  <c r="L66"/>
  <c r="O66" s="1"/>
  <c r="L65"/>
  <c r="M65" s="1"/>
  <c r="L64"/>
  <c r="M64" s="1"/>
  <c r="L63"/>
  <c r="M63" s="1"/>
  <c r="L54"/>
  <c r="O54" s="1"/>
  <c r="L53"/>
  <c r="M53" s="1"/>
  <c r="L52"/>
  <c r="M52" s="1"/>
  <c r="L51"/>
  <c r="M51" s="1"/>
  <c r="L50"/>
  <c r="M50" s="1"/>
  <c r="L49"/>
  <c r="L40"/>
  <c r="M40" s="1"/>
  <c r="L39"/>
  <c r="M39" s="1"/>
  <c r="L38"/>
  <c r="M38" s="1"/>
  <c r="L37"/>
  <c r="L36"/>
  <c r="M36" s="1"/>
  <c r="L35"/>
  <c r="M35" s="1"/>
  <c r="L26"/>
  <c r="M26" s="1"/>
  <c r="L25"/>
  <c r="M25" s="1"/>
  <c r="L24"/>
  <c r="M24" s="1"/>
  <c r="L23"/>
  <c r="M23" s="1"/>
  <c r="L22"/>
  <c r="M22" s="1"/>
  <c r="L21"/>
  <c r="L87" i="12"/>
  <c r="M87" s="1"/>
  <c r="L82"/>
  <c r="O82" s="1"/>
  <c r="L81"/>
  <c r="M81" s="1"/>
  <c r="L80"/>
  <c r="O80" s="1"/>
  <c r="L79"/>
  <c r="M79" s="1"/>
  <c r="L68"/>
  <c r="M68" s="1"/>
  <c r="L67"/>
  <c r="M67" s="1"/>
  <c r="L66"/>
  <c r="M66" s="1"/>
  <c r="L65"/>
  <c r="M65" s="1"/>
  <c r="L64"/>
  <c r="M64" s="1"/>
  <c r="L63"/>
  <c r="M63" s="1"/>
  <c r="L54"/>
  <c r="M54" s="1"/>
  <c r="L53"/>
  <c r="M53" s="1"/>
  <c r="L52"/>
  <c r="M52" s="1"/>
  <c r="L51"/>
  <c r="M51" s="1"/>
  <c r="L50"/>
  <c r="M50" s="1"/>
  <c r="L49"/>
  <c r="M49" s="1"/>
  <c r="L40"/>
  <c r="M40" s="1"/>
  <c r="L39"/>
  <c r="M39" s="1"/>
  <c r="L38"/>
  <c r="M38" s="1"/>
  <c r="L37"/>
  <c r="M37" s="1"/>
  <c r="L36"/>
  <c r="M36" s="1"/>
  <c r="L35"/>
  <c r="M35" s="1"/>
  <c r="L26"/>
  <c r="M26" s="1"/>
  <c r="L25"/>
  <c r="M25" s="1"/>
  <c r="L24"/>
  <c r="M24" s="1"/>
  <c r="L23"/>
  <c r="M23" s="1"/>
  <c r="L22"/>
  <c r="M22" s="1"/>
  <c r="L21"/>
  <c r="M21" s="1"/>
  <c r="L87" i="14"/>
  <c r="M87" s="1"/>
  <c r="L82"/>
  <c r="M82" s="1"/>
  <c r="L81"/>
  <c r="L80"/>
  <c r="M80" s="1"/>
  <c r="L79"/>
  <c r="L68"/>
  <c r="M68" s="1"/>
  <c r="L67"/>
  <c r="O67" s="1"/>
  <c r="L66"/>
  <c r="M66" s="1"/>
  <c r="L65"/>
  <c r="O65" s="1"/>
  <c r="L64"/>
  <c r="M64" s="1"/>
  <c r="L63"/>
  <c r="O63" s="1"/>
  <c r="L54"/>
  <c r="M54" s="1"/>
  <c r="L53"/>
  <c r="O53" s="1"/>
  <c r="L52"/>
  <c r="M52" s="1"/>
  <c r="L51"/>
  <c r="O51" s="1"/>
  <c r="L50"/>
  <c r="M50" s="1"/>
  <c r="L49"/>
  <c r="O49" s="1"/>
  <c r="L40"/>
  <c r="M40" s="1"/>
  <c r="L39"/>
  <c r="O39" s="1"/>
  <c r="L38"/>
  <c r="M38" s="1"/>
  <c r="L37"/>
  <c r="O37" s="1"/>
  <c r="L36"/>
  <c r="M36" s="1"/>
  <c r="L35"/>
  <c r="O35" s="1"/>
  <c r="L26"/>
  <c r="M26" s="1"/>
  <c r="L25"/>
  <c r="O25" s="1"/>
  <c r="L24"/>
  <c r="M24" s="1"/>
  <c r="L23"/>
  <c r="O23" s="1"/>
  <c r="L22"/>
  <c r="M22" s="1"/>
  <c r="L21"/>
  <c r="O21" s="1"/>
  <c r="L87" i="15"/>
  <c r="M87" s="1"/>
  <c r="L82"/>
  <c r="O82" s="1"/>
  <c r="L81"/>
  <c r="M81" s="1"/>
  <c r="L80"/>
  <c r="O80" s="1"/>
  <c r="L79"/>
  <c r="M79" s="1"/>
  <c r="L68"/>
  <c r="O68" s="1"/>
  <c r="L67"/>
  <c r="M67" s="1"/>
  <c r="L66"/>
  <c r="O66" s="1"/>
  <c r="L65"/>
  <c r="M65" s="1"/>
  <c r="L64"/>
  <c r="O64" s="1"/>
  <c r="L63"/>
  <c r="M63" s="1"/>
  <c r="L54"/>
  <c r="O54" s="1"/>
  <c r="L53"/>
  <c r="O53" s="1"/>
  <c r="L52"/>
  <c r="O52" s="1"/>
  <c r="L51"/>
  <c r="M51" s="1"/>
  <c r="L85" i="23"/>
  <c r="L84"/>
  <c r="M84" s="1"/>
  <c r="L77"/>
  <c r="L76"/>
  <c r="M76" s="1"/>
  <c r="L75"/>
  <c r="L74"/>
  <c r="M74" s="1"/>
  <c r="L73"/>
  <c r="L72"/>
  <c r="M72" s="1"/>
  <c r="L71"/>
  <c r="O71" s="1"/>
  <c r="L70"/>
  <c r="M70" s="1"/>
  <c r="L61"/>
  <c r="O61" s="1"/>
  <c r="L60"/>
  <c r="M60" s="1"/>
  <c r="L59"/>
  <c r="O59" s="1"/>
  <c r="L58"/>
  <c r="M58" s="1"/>
  <c r="L57"/>
  <c r="O57" s="1"/>
  <c r="L56"/>
  <c r="M56" s="1"/>
  <c r="L47"/>
  <c r="O47" s="1"/>
  <c r="L46"/>
  <c r="M46" s="1"/>
  <c r="L45"/>
  <c r="O45" s="1"/>
  <c r="L44"/>
  <c r="M44" s="1"/>
  <c r="L43"/>
  <c r="O43" s="1"/>
  <c r="L42"/>
  <c r="M42" s="1"/>
  <c r="L33"/>
  <c r="O33" s="1"/>
  <c r="L32"/>
  <c r="M32" s="1"/>
  <c r="L31"/>
  <c r="O31" s="1"/>
  <c r="L30"/>
  <c r="M30" s="1"/>
  <c r="L29"/>
  <c r="O29" s="1"/>
  <c r="L28"/>
  <c r="M28" s="1"/>
  <c r="L19"/>
  <c r="O19" s="1"/>
  <c r="L18"/>
  <c r="M18" s="1"/>
  <c r="L17"/>
  <c r="O17" s="1"/>
  <c r="L16"/>
  <c r="M16" s="1"/>
  <c r="L15"/>
  <c r="O15" s="1"/>
  <c r="L14"/>
  <c r="M14" s="1"/>
  <c r="L87" i="10"/>
  <c r="M87" s="1"/>
  <c r="L82"/>
  <c r="O82" s="1"/>
  <c r="L81"/>
  <c r="M81" s="1"/>
  <c r="L80"/>
  <c r="O80" s="1"/>
  <c r="L79"/>
  <c r="M79" s="1"/>
  <c r="L68"/>
  <c r="M68" s="1"/>
  <c r="L67"/>
  <c r="L66"/>
  <c r="M66" s="1"/>
  <c r="L65"/>
  <c r="M65" s="1"/>
  <c r="L64"/>
  <c r="M64" s="1"/>
  <c r="L63"/>
  <c r="L54"/>
  <c r="M54" s="1"/>
  <c r="L53"/>
  <c r="L52"/>
  <c r="M52" s="1"/>
  <c r="L51"/>
  <c r="M51" s="1"/>
  <c r="L50"/>
  <c r="M50" s="1"/>
  <c r="L49"/>
  <c r="L40"/>
  <c r="M40" s="1"/>
  <c r="L39"/>
  <c r="L38"/>
  <c r="M38" s="1"/>
  <c r="L37"/>
  <c r="M37" s="1"/>
  <c r="L36"/>
  <c r="M36" s="1"/>
  <c r="L35"/>
  <c r="L26"/>
  <c r="M26" s="1"/>
  <c r="L25"/>
  <c r="L24"/>
  <c r="M24" s="1"/>
  <c r="L23"/>
  <c r="M23" s="1"/>
  <c r="L22"/>
  <c r="M22" s="1"/>
  <c r="L21"/>
  <c r="L89" i="19"/>
  <c r="O89" s="1"/>
  <c r="L85" i="17"/>
  <c r="M85" s="1"/>
  <c r="L84"/>
  <c r="M84" s="1"/>
  <c r="L77"/>
  <c r="M77" s="1"/>
  <c r="L76"/>
  <c r="M76" s="1"/>
  <c r="L75"/>
  <c r="M75" s="1"/>
  <c r="L74"/>
  <c r="M74" s="1"/>
  <c r="L73"/>
  <c r="M73" s="1"/>
  <c r="L72"/>
  <c r="M72" s="1"/>
  <c r="L71"/>
  <c r="O71" s="1"/>
  <c r="L70"/>
  <c r="M70" s="1"/>
  <c r="L61"/>
  <c r="O61" s="1"/>
  <c r="L60"/>
  <c r="M60" s="1"/>
  <c r="L59"/>
  <c r="M59" s="1"/>
  <c r="L58"/>
  <c r="M58" s="1"/>
  <c r="L57"/>
  <c r="O57" s="1"/>
  <c r="L56"/>
  <c r="M56" s="1"/>
  <c r="L47"/>
  <c r="O47" s="1"/>
  <c r="L46"/>
  <c r="M46" s="1"/>
  <c r="L45"/>
  <c r="M45" s="1"/>
  <c r="L44"/>
  <c r="M44" s="1"/>
  <c r="L43"/>
  <c r="O43" s="1"/>
  <c r="L42"/>
  <c r="M42" s="1"/>
  <c r="L33"/>
  <c r="O33" s="1"/>
  <c r="L32"/>
  <c r="M32" s="1"/>
  <c r="L31"/>
  <c r="M31" s="1"/>
  <c r="L30"/>
  <c r="M30" s="1"/>
  <c r="L29"/>
  <c r="O29" s="1"/>
  <c r="L28"/>
  <c r="M28" s="1"/>
  <c r="L19"/>
  <c r="O19" s="1"/>
  <c r="L18"/>
  <c r="M18" s="1"/>
  <c r="L17"/>
  <c r="M17" s="1"/>
  <c r="L16"/>
  <c r="M16" s="1"/>
  <c r="L15"/>
  <c r="O15" s="1"/>
  <c r="L14"/>
  <c r="M14" s="1"/>
  <c r="L85" i="26"/>
  <c r="O85" s="1"/>
  <c r="L84"/>
  <c r="M84" s="1"/>
  <c r="L77"/>
  <c r="M77" s="1"/>
  <c r="L76"/>
  <c r="M76" s="1"/>
  <c r="L75"/>
  <c r="O75" s="1"/>
  <c r="L74"/>
  <c r="M74" s="1"/>
  <c r="L73"/>
  <c r="M73" s="1"/>
  <c r="L72"/>
  <c r="M72" s="1"/>
  <c r="L71"/>
  <c r="O71" s="1"/>
  <c r="L70"/>
  <c r="M70" s="1"/>
  <c r="L85" i="21"/>
  <c r="M85" s="1"/>
  <c r="L84"/>
  <c r="M84" s="1"/>
  <c r="L77"/>
  <c r="M77" s="1"/>
  <c r="L76"/>
  <c r="M76" s="1"/>
  <c r="L75"/>
  <c r="M75" s="1"/>
  <c r="L74"/>
  <c r="M74" s="1"/>
  <c r="L73"/>
  <c r="M73" s="1"/>
  <c r="L72"/>
  <c r="M72" s="1"/>
  <c r="L71"/>
  <c r="M71" s="1"/>
  <c r="L70"/>
  <c r="M70" s="1"/>
  <c r="L61"/>
  <c r="M61" s="1"/>
  <c r="L60"/>
  <c r="M60" s="1"/>
  <c r="L59"/>
  <c r="M59" s="1"/>
  <c r="L58"/>
  <c r="M58" s="1"/>
  <c r="L57"/>
  <c r="M57" s="1"/>
  <c r="L56"/>
  <c r="M56" s="1"/>
  <c r="L47"/>
  <c r="M47" s="1"/>
  <c r="L46"/>
  <c r="M46" s="1"/>
  <c r="L45"/>
  <c r="M45" s="1"/>
  <c r="L44"/>
  <c r="M44" s="1"/>
  <c r="L43"/>
  <c r="M43" s="1"/>
  <c r="L42"/>
  <c r="M42" s="1"/>
  <c r="L33"/>
  <c r="M33" s="1"/>
  <c r="L32"/>
  <c r="M32" s="1"/>
  <c r="L31"/>
  <c r="O31" s="1"/>
  <c r="L30"/>
  <c r="M30" s="1"/>
  <c r="L29"/>
  <c r="M29" s="1"/>
  <c r="L28"/>
  <c r="M28" s="1"/>
  <c r="L19"/>
  <c r="M19" s="1"/>
  <c r="L18"/>
  <c r="M18" s="1"/>
  <c r="L17"/>
  <c r="O17" s="1"/>
  <c r="L16"/>
  <c r="M16" s="1"/>
  <c r="L15"/>
  <c r="M15" s="1"/>
  <c r="L14"/>
  <c r="M14" s="1"/>
  <c r="L85" i="16"/>
  <c r="M85" s="1"/>
  <c r="L84"/>
  <c r="M84" s="1"/>
  <c r="L77"/>
  <c r="M77" s="1"/>
  <c r="L76"/>
  <c r="M76" s="1"/>
  <c r="L75"/>
  <c r="M75" s="1"/>
  <c r="L74"/>
  <c r="M74" s="1"/>
  <c r="L73"/>
  <c r="M73" s="1"/>
  <c r="L72"/>
  <c r="M72" s="1"/>
  <c r="L71"/>
  <c r="M71" s="1"/>
  <c r="L70"/>
  <c r="M70" s="1"/>
  <c r="L61"/>
  <c r="M61" s="1"/>
  <c r="L60"/>
  <c r="M60" s="1"/>
  <c r="L59"/>
  <c r="M59" s="1"/>
  <c r="L58"/>
  <c r="M58" s="1"/>
  <c r="L57"/>
  <c r="M57" s="1"/>
  <c r="L56"/>
  <c r="M56" s="1"/>
  <c r="L47"/>
  <c r="M47" s="1"/>
  <c r="L46"/>
  <c r="M46" s="1"/>
  <c r="L45"/>
  <c r="M45" s="1"/>
  <c r="L44"/>
  <c r="M44" s="1"/>
  <c r="L43"/>
  <c r="M43" s="1"/>
  <c r="L42"/>
  <c r="M42" s="1"/>
  <c r="L33"/>
  <c r="M33" s="1"/>
  <c r="L32"/>
  <c r="M32" s="1"/>
  <c r="L31"/>
  <c r="M31" s="1"/>
  <c r="L30"/>
  <c r="M30" s="1"/>
  <c r="L29"/>
  <c r="M29" s="1"/>
  <c r="L28"/>
  <c r="M28" s="1"/>
  <c r="L19"/>
  <c r="M19" s="1"/>
  <c r="L18"/>
  <c r="M18" s="1"/>
  <c r="L17"/>
  <c r="M17" s="1"/>
  <c r="L16"/>
  <c r="M16" s="1"/>
  <c r="L15"/>
  <c r="M15" s="1"/>
  <c r="L14"/>
  <c r="M14" s="1"/>
  <c r="L87" i="9"/>
  <c r="AJ76" i="2"/>
  <c r="AG76"/>
  <c r="AM63"/>
  <c r="AM71"/>
  <c r="AM56"/>
  <c r="AM48"/>
  <c r="L43" i="9"/>
  <c r="O43" s="1"/>
  <c r="L86" i="6"/>
  <c r="L85"/>
  <c r="L81"/>
  <c r="L80"/>
  <c r="L76"/>
  <c r="L75"/>
  <c r="L72"/>
  <c r="L71"/>
  <c r="L67"/>
  <c r="L66"/>
  <c r="L62"/>
  <c r="L61"/>
  <c r="L58"/>
  <c r="L57"/>
  <c r="L53"/>
  <c r="L52"/>
  <c r="L48"/>
  <c r="L47"/>
  <c r="L44"/>
  <c r="L43"/>
  <c r="L39"/>
  <c r="L38"/>
  <c r="L34"/>
  <c r="L33"/>
  <c r="L30"/>
  <c r="L29"/>
  <c r="L25"/>
  <c r="L24"/>
  <c r="L20"/>
  <c r="L19"/>
  <c r="L16"/>
  <c r="L15"/>
  <c r="L90"/>
  <c r="L88"/>
  <c r="L83"/>
  <c r="L82"/>
  <c r="L78"/>
  <c r="L77"/>
  <c r="L74"/>
  <c r="L73"/>
  <c r="L69"/>
  <c r="L68"/>
  <c r="L65"/>
  <c r="L64"/>
  <c r="L60"/>
  <c r="L59"/>
  <c r="L55"/>
  <c r="L54"/>
  <c r="L51"/>
  <c r="L50"/>
  <c r="L46"/>
  <c r="L45"/>
  <c r="L41"/>
  <c r="L40"/>
  <c r="L37"/>
  <c r="L36"/>
  <c r="L32"/>
  <c r="L31"/>
  <c r="L27"/>
  <c r="L26"/>
  <c r="L23"/>
  <c r="L22"/>
  <c r="L18"/>
  <c r="L17"/>
  <c r="L87" i="18"/>
  <c r="M87" s="1"/>
  <c r="L80"/>
  <c r="M80" s="1"/>
  <c r="L66"/>
  <c r="M66" s="1"/>
  <c r="L50"/>
  <c r="M50" s="1"/>
  <c r="Q67" i="2"/>
  <c r="O67" s="1"/>
  <c r="Q69"/>
  <c r="O69" s="1"/>
  <c r="BG32" i="30"/>
  <c r="BH32" s="1"/>
  <c r="BG17"/>
  <c r="BH17" s="1"/>
  <c r="L82" i="18"/>
  <c r="M82" s="1"/>
  <c r="L81"/>
  <c r="M81" s="1"/>
  <c r="L79"/>
  <c r="M79" s="1"/>
  <c r="L68"/>
  <c r="M68" s="1"/>
  <c r="L67"/>
  <c r="M67" s="1"/>
  <c r="L65"/>
  <c r="M65" s="1"/>
  <c r="L64"/>
  <c r="M64" s="1"/>
  <c r="L63"/>
  <c r="M63" s="1"/>
  <c r="L54"/>
  <c r="M54" s="1"/>
  <c r="L53"/>
  <c r="M53" s="1"/>
  <c r="L52"/>
  <c r="M52" s="1"/>
  <c r="L51"/>
  <c r="M51" s="1"/>
  <c r="L49"/>
  <c r="M49" s="1"/>
  <c r="L40"/>
  <c r="M40" s="1"/>
  <c r="L39"/>
  <c r="M39" s="1"/>
  <c r="L38"/>
  <c r="M38" s="1"/>
  <c r="L37"/>
  <c r="M37" s="1"/>
  <c r="L36"/>
  <c r="M36" s="1"/>
  <c r="L35"/>
  <c r="M35" s="1"/>
  <c r="L26"/>
  <c r="M26" s="1"/>
  <c r="L25"/>
  <c r="M25" s="1"/>
  <c r="L24"/>
  <c r="M24" s="1"/>
  <c r="L23"/>
  <c r="M23" s="1"/>
  <c r="L22"/>
  <c r="M22" s="1"/>
  <c r="L21"/>
  <c r="M21" s="1"/>
  <c r="L89" i="16"/>
  <c r="M89" s="1"/>
  <c r="L77" i="9"/>
  <c r="O77" s="1"/>
  <c r="L76"/>
  <c r="M76" s="1"/>
  <c r="L75"/>
  <c r="O75" s="1"/>
  <c r="L74"/>
  <c r="M74" s="1"/>
  <c r="L73"/>
  <c r="O73" s="1"/>
  <c r="L72"/>
  <c r="M72" s="1"/>
  <c r="L71"/>
  <c r="O71" s="1"/>
  <c r="L70"/>
  <c r="M70" s="1"/>
  <c r="L61"/>
  <c r="O61" s="1"/>
  <c r="L60"/>
  <c r="M60" s="1"/>
  <c r="L59"/>
  <c r="O59" s="1"/>
  <c r="L58"/>
  <c r="M58" s="1"/>
  <c r="L57"/>
  <c r="O57" s="1"/>
  <c r="L56"/>
  <c r="M56" s="1"/>
  <c r="L47"/>
  <c r="O47" s="1"/>
  <c r="L46"/>
  <c r="M46" s="1"/>
  <c r="L45"/>
  <c r="O45" s="1"/>
  <c r="L44"/>
  <c r="M44" s="1"/>
  <c r="Q59" i="2"/>
  <c r="O59" s="1"/>
  <c r="Q61"/>
  <c r="O61" s="1"/>
  <c r="Q27"/>
  <c r="O27" s="1"/>
  <c r="Q28"/>
  <c r="O28" s="1"/>
  <c r="Q29"/>
  <c r="O29" s="1"/>
  <c r="L14" i="9"/>
  <c r="L21"/>
  <c r="O21" s="1"/>
  <c r="L22"/>
  <c r="M22" s="1"/>
  <c r="L23"/>
  <c r="O23" s="1"/>
  <c r="L24"/>
  <c r="M24" s="1"/>
  <c r="L25"/>
  <c r="O25" s="1"/>
  <c r="L26"/>
  <c r="L28"/>
  <c r="L35"/>
  <c r="O35" s="1"/>
  <c r="L36"/>
  <c r="M36" s="1"/>
  <c r="L37"/>
  <c r="O37" s="1"/>
  <c r="L38"/>
  <c r="M38" s="1"/>
  <c r="L39"/>
  <c r="O39" s="1"/>
  <c r="L40"/>
  <c r="L42"/>
  <c r="L49"/>
  <c r="O49" s="1"/>
  <c r="L50"/>
  <c r="M50" s="1"/>
  <c r="L51"/>
  <c r="O51" s="1"/>
  <c r="L52"/>
  <c r="M52" s="1"/>
  <c r="L53"/>
  <c r="O53" s="1"/>
  <c r="L54"/>
  <c r="M54" s="1"/>
  <c r="L63"/>
  <c r="O63" s="1"/>
  <c r="L64"/>
  <c r="M64" s="1"/>
  <c r="L65"/>
  <c r="O65" s="1"/>
  <c r="L66"/>
  <c r="M66" s="1"/>
  <c r="L67"/>
  <c r="O67" s="1"/>
  <c r="L68"/>
  <c r="M68" s="1"/>
  <c r="L79"/>
  <c r="O79" s="1"/>
  <c r="L21" i="16"/>
  <c r="M21" s="1"/>
  <c r="L22"/>
  <c r="M22" s="1"/>
  <c r="L23"/>
  <c r="M23" s="1"/>
  <c r="L24"/>
  <c r="M24" s="1"/>
  <c r="L25"/>
  <c r="M25" s="1"/>
  <c r="L26"/>
  <c r="M26" s="1"/>
  <c r="L35"/>
  <c r="M35" s="1"/>
  <c r="L36"/>
  <c r="M36" s="1"/>
  <c r="L37"/>
  <c r="M37" s="1"/>
  <c r="L38"/>
  <c r="M38" s="1"/>
  <c r="L39"/>
  <c r="M39" s="1"/>
  <c r="L40"/>
  <c r="M40" s="1"/>
  <c r="L49"/>
  <c r="M49" s="1"/>
  <c r="L50"/>
  <c r="M50" s="1"/>
  <c r="L51"/>
  <c r="M51" s="1"/>
  <c r="L52"/>
  <c r="M52" s="1"/>
  <c r="L53"/>
  <c r="M53" s="1"/>
  <c r="L54"/>
  <c r="M54" s="1"/>
  <c r="L63"/>
  <c r="M63" s="1"/>
  <c r="L64"/>
  <c r="M64" s="1"/>
  <c r="L65"/>
  <c r="M65" s="1"/>
  <c r="L66"/>
  <c r="M66" s="1"/>
  <c r="L67"/>
  <c r="M67" s="1"/>
  <c r="L68"/>
  <c r="M68" s="1"/>
  <c r="L79"/>
  <c r="M79" s="1"/>
  <c r="L80"/>
  <c r="M80" s="1"/>
  <c r="L81"/>
  <c r="M81" s="1"/>
  <c r="L82"/>
  <c r="M82" s="1"/>
  <c r="L87"/>
  <c r="M87" s="1"/>
  <c r="L14" i="18"/>
  <c r="M14" s="1"/>
  <c r="L15"/>
  <c r="M15" s="1"/>
  <c r="L16"/>
  <c r="M16" s="1"/>
  <c r="L17"/>
  <c r="M17" s="1"/>
  <c r="L18"/>
  <c r="M18" s="1"/>
  <c r="L19"/>
  <c r="M19" s="1"/>
  <c r="L28"/>
  <c r="M28" s="1"/>
  <c r="L29"/>
  <c r="M29" s="1"/>
  <c r="L30"/>
  <c r="M30" s="1"/>
  <c r="L31"/>
  <c r="M31" s="1"/>
  <c r="L32"/>
  <c r="M32" s="1"/>
  <c r="L33"/>
  <c r="M33" s="1"/>
  <c r="L42"/>
  <c r="M42" s="1"/>
  <c r="L43"/>
  <c r="M43" s="1"/>
  <c r="L44"/>
  <c r="M44" s="1"/>
  <c r="L45"/>
  <c r="M45" s="1"/>
  <c r="L46"/>
  <c r="M46" s="1"/>
  <c r="L47"/>
  <c r="M47" s="1"/>
  <c r="L56"/>
  <c r="M56" s="1"/>
  <c r="L57"/>
  <c r="M57" s="1"/>
  <c r="L58"/>
  <c r="M58" s="1"/>
  <c r="L59"/>
  <c r="M59" s="1"/>
  <c r="L60"/>
  <c r="M60" s="1"/>
  <c r="L61"/>
  <c r="M61" s="1"/>
  <c r="L70"/>
  <c r="M70" s="1"/>
  <c r="L71"/>
  <c r="M71" s="1"/>
  <c r="L72"/>
  <c r="M72" s="1"/>
  <c r="L73"/>
  <c r="M73" s="1"/>
  <c r="L74"/>
  <c r="M74" s="1"/>
  <c r="L75"/>
  <c r="M75" s="1"/>
  <c r="L76"/>
  <c r="M76" s="1"/>
  <c r="L77"/>
  <c r="M77" s="1"/>
  <c r="L84"/>
  <c r="M84" s="1"/>
  <c r="L85"/>
  <c r="M85" s="1"/>
  <c r="L89"/>
  <c r="M89" s="1"/>
  <c r="L14" i="24"/>
  <c r="M14" s="1"/>
  <c r="L15"/>
  <c r="M15" s="1"/>
  <c r="L16"/>
  <c r="M16" s="1"/>
  <c r="L17"/>
  <c r="M17" s="1"/>
  <c r="L18"/>
  <c r="M18" s="1"/>
  <c r="L19"/>
  <c r="M19" s="1"/>
  <c r="L28"/>
  <c r="M28" s="1"/>
  <c r="L29"/>
  <c r="M29" s="1"/>
  <c r="L30"/>
  <c r="M30" s="1"/>
  <c r="L31"/>
  <c r="M31" s="1"/>
  <c r="L32"/>
  <c r="M32" s="1"/>
  <c r="L33"/>
  <c r="M33" s="1"/>
  <c r="L42"/>
  <c r="M42" s="1"/>
  <c r="L43"/>
  <c r="M43" s="1"/>
  <c r="L44"/>
  <c r="M44" s="1"/>
  <c r="L45"/>
  <c r="M45" s="1"/>
  <c r="L46"/>
  <c r="M46" s="1"/>
  <c r="L47"/>
  <c r="M47" s="1"/>
  <c r="L56"/>
  <c r="M56" s="1"/>
  <c r="L57"/>
  <c r="M57" s="1"/>
  <c r="L58"/>
  <c r="M58" s="1"/>
  <c r="L59"/>
  <c r="M59" s="1"/>
  <c r="L60"/>
  <c r="M60" s="1"/>
  <c r="L61"/>
  <c r="M61" s="1"/>
  <c r="L70"/>
  <c r="M70" s="1"/>
  <c r="L71"/>
  <c r="M71" s="1"/>
  <c r="L72"/>
  <c r="M72" s="1"/>
  <c r="L73"/>
  <c r="O73" s="1"/>
  <c r="L74"/>
  <c r="M74" s="1"/>
  <c r="L75"/>
  <c r="M75" s="1"/>
  <c r="L76"/>
  <c r="M76" s="1"/>
  <c r="L77"/>
  <c r="O77" s="1"/>
  <c r="L84"/>
  <c r="M84" s="1"/>
  <c r="L85"/>
  <c r="M85" s="1"/>
  <c r="L89"/>
  <c r="L21" i="13"/>
  <c r="M21" s="1"/>
  <c r="L22"/>
  <c r="M22" s="1"/>
  <c r="L23"/>
  <c r="O23" s="1"/>
  <c r="L24"/>
  <c r="M24" s="1"/>
  <c r="L25"/>
  <c r="M25" s="1"/>
  <c r="L26"/>
  <c r="M26" s="1"/>
  <c r="L35"/>
  <c r="M35" s="1"/>
  <c r="L36"/>
  <c r="M36" s="1"/>
  <c r="L37"/>
  <c r="O37" s="1"/>
  <c r="L38"/>
  <c r="M38" s="1"/>
  <c r="L39"/>
  <c r="M39" s="1"/>
  <c r="L40"/>
  <c r="M40" s="1"/>
  <c r="L49"/>
  <c r="M49" s="1"/>
  <c r="L50"/>
  <c r="M50" s="1"/>
  <c r="L51"/>
  <c r="O51" s="1"/>
  <c r="L52"/>
  <c r="M52" s="1"/>
  <c r="L53"/>
  <c r="M53" s="1"/>
  <c r="L54"/>
  <c r="M54" s="1"/>
  <c r="L63"/>
  <c r="M63" s="1"/>
  <c r="L64"/>
  <c r="M64" s="1"/>
  <c r="L65"/>
  <c r="O65" s="1"/>
  <c r="L66"/>
  <c r="M66" s="1"/>
  <c r="L67"/>
  <c r="M67" s="1"/>
  <c r="L68"/>
  <c r="M68" s="1"/>
  <c r="L79"/>
  <c r="M79" s="1"/>
  <c r="L80"/>
  <c r="M80" s="1"/>
  <c r="L81"/>
  <c r="M81" s="1"/>
  <c r="L82"/>
  <c r="M82" s="1"/>
  <c r="L87"/>
  <c r="M87" s="1"/>
  <c r="L21" i="21"/>
  <c r="L22"/>
  <c r="M22" s="1"/>
  <c r="L23"/>
  <c r="L24"/>
  <c r="M24" s="1"/>
  <c r="L25"/>
  <c r="L26"/>
  <c r="M26" s="1"/>
  <c r="L35"/>
  <c r="M35" s="1"/>
  <c r="L36"/>
  <c r="M36" s="1"/>
  <c r="L37"/>
  <c r="M37" s="1"/>
  <c r="L38"/>
  <c r="M38" s="1"/>
  <c r="L39"/>
  <c r="M39" s="1"/>
  <c r="L40"/>
  <c r="M40" s="1"/>
  <c r="L49"/>
  <c r="M49" s="1"/>
  <c r="L50"/>
  <c r="M50" s="1"/>
  <c r="L51"/>
  <c r="M51" s="1"/>
  <c r="L52"/>
  <c r="M52" s="1"/>
  <c r="L53"/>
  <c r="M53" s="1"/>
  <c r="L54"/>
  <c r="M54" s="1"/>
  <c r="L63"/>
  <c r="M63" s="1"/>
  <c r="L64"/>
  <c r="M64" s="1"/>
  <c r="L65"/>
  <c r="M65" s="1"/>
  <c r="L66"/>
  <c r="M66" s="1"/>
  <c r="L67"/>
  <c r="M67" s="1"/>
  <c r="L68"/>
  <c r="M68" s="1"/>
  <c r="L79"/>
  <c r="M79" s="1"/>
  <c r="L80"/>
  <c r="M80" s="1"/>
  <c r="L81"/>
  <c r="M81" s="1"/>
  <c r="L82"/>
  <c r="M82" s="1"/>
  <c r="L87"/>
  <c r="M87" s="1"/>
  <c r="L14" i="26"/>
  <c r="M14" s="1"/>
  <c r="L15"/>
  <c r="M15" s="1"/>
  <c r="L16"/>
  <c r="M16" s="1"/>
  <c r="L17"/>
  <c r="M17" s="1"/>
  <c r="L18"/>
  <c r="M18" s="1"/>
  <c r="L19"/>
  <c r="M19" s="1"/>
  <c r="L28"/>
  <c r="M28" s="1"/>
  <c r="L29"/>
  <c r="M29" s="1"/>
  <c r="L30"/>
  <c r="M30" s="1"/>
  <c r="L31"/>
  <c r="M31" s="1"/>
  <c r="L32"/>
  <c r="M32" s="1"/>
  <c r="L33"/>
  <c r="M33" s="1"/>
  <c r="L42"/>
  <c r="M42" s="1"/>
  <c r="L43"/>
  <c r="M43" s="1"/>
  <c r="L44"/>
  <c r="M44" s="1"/>
  <c r="L45"/>
  <c r="M45" s="1"/>
  <c r="L46"/>
  <c r="M46" s="1"/>
  <c r="L47"/>
  <c r="M47" s="1"/>
  <c r="L56"/>
  <c r="M56" s="1"/>
  <c r="L57"/>
  <c r="O57" s="1"/>
  <c r="L58"/>
  <c r="M58" s="1"/>
  <c r="L59"/>
  <c r="M59" s="1"/>
  <c r="L60"/>
  <c r="M60" s="1"/>
  <c r="L61"/>
  <c r="O61" s="1"/>
  <c r="E13" i="6"/>
  <c r="O29" i="22"/>
  <c r="P29" s="1"/>
  <c r="O25"/>
  <c r="P25" s="1"/>
  <c r="O17"/>
  <c r="O44" i="12"/>
  <c r="P44" s="1"/>
  <c r="O30"/>
  <c r="P30" s="1"/>
  <c r="O16"/>
  <c r="P16" s="1"/>
  <c r="O15" i="15"/>
  <c r="P15" s="1"/>
  <c r="O58" i="23"/>
  <c r="P58" s="1"/>
  <c r="O52"/>
  <c r="P52" s="1"/>
  <c r="O44"/>
  <c r="P44" s="1"/>
  <c r="O38"/>
  <c r="P38" s="1"/>
  <c r="O30"/>
  <c r="P30" s="1"/>
  <c r="O24"/>
  <c r="P24" s="1"/>
  <c r="O16"/>
  <c r="O80" i="16"/>
  <c r="O76"/>
  <c r="O71" i="19"/>
  <c r="P71" s="1"/>
  <c r="O57"/>
  <c r="P57" s="1"/>
  <c r="O43"/>
  <c r="P43" s="1"/>
  <c r="O29"/>
  <c r="P29" s="1"/>
  <c r="O15"/>
  <c r="P15" s="1"/>
  <c r="O65" i="26"/>
  <c r="P65" s="1"/>
  <c r="O51"/>
  <c r="P51" s="1"/>
  <c r="O37"/>
  <c r="P37" s="1"/>
  <c r="O23"/>
  <c r="P23" s="1"/>
  <c r="O30" i="21"/>
  <c r="P30" s="1"/>
  <c r="O16"/>
  <c r="P16" s="1"/>
  <c r="P76" i="16"/>
  <c r="O43" i="15"/>
  <c r="P43" s="1"/>
  <c r="O39"/>
  <c r="P39" s="1"/>
  <c r="O29"/>
  <c r="P29" s="1"/>
  <c r="O25"/>
  <c r="P25" s="1"/>
  <c r="O72" i="23"/>
  <c r="O66"/>
  <c r="P66" s="1"/>
  <c r="O89" i="15"/>
  <c r="P89" s="1"/>
  <c r="O85"/>
  <c r="O75"/>
  <c r="P75" s="1"/>
  <c r="O61"/>
  <c r="P61" s="1"/>
  <c r="O75" i="19"/>
  <c r="P75" s="1"/>
  <c r="O63"/>
  <c r="O61"/>
  <c r="P61" s="1"/>
  <c r="O49"/>
  <c r="O47"/>
  <c r="P47" s="1"/>
  <c r="O35"/>
  <c r="O33"/>
  <c r="P33" s="1"/>
  <c r="O21"/>
  <c r="P21" s="1"/>
  <c r="O19"/>
  <c r="P19" s="1"/>
  <c r="O16" i="13"/>
  <c r="P16" s="1"/>
  <c r="O82" i="24"/>
  <c r="O64"/>
  <c r="P64" s="1"/>
  <c r="O50"/>
  <c r="P50" s="1"/>
  <c r="O36"/>
  <c r="P36" s="1"/>
  <c r="O22"/>
  <c r="P22" s="1"/>
  <c r="O44" i="16"/>
  <c r="P44" s="1"/>
  <c r="O30"/>
  <c r="P30" s="1"/>
  <c r="O16"/>
  <c r="P16" s="1"/>
  <c r="O84" i="22"/>
  <c r="O82"/>
  <c r="O74"/>
  <c r="P74" s="1"/>
  <c r="O84" i="14"/>
  <c r="O74"/>
  <c r="P74" s="1"/>
  <c r="O71" i="15"/>
  <c r="P71" s="1"/>
  <c r="O57"/>
  <c r="P57" s="1"/>
  <c r="O49"/>
  <c r="P49" s="1"/>
  <c r="O47"/>
  <c r="P47" s="1"/>
  <c r="O35"/>
  <c r="P35" s="1"/>
  <c r="O33"/>
  <c r="P33" s="1"/>
  <c r="O21"/>
  <c r="P21" s="1"/>
  <c r="O19"/>
  <c r="P19" s="1"/>
  <c r="O70" i="10"/>
  <c r="P70" s="1"/>
  <c r="O68"/>
  <c r="P68" s="1"/>
  <c r="O56"/>
  <c r="P56" s="1"/>
  <c r="O54"/>
  <c r="P54" s="1"/>
  <c r="O42"/>
  <c r="P42" s="1"/>
  <c r="O40"/>
  <c r="P40" s="1"/>
  <c r="O28"/>
  <c r="P28" s="1"/>
  <c r="O26"/>
  <c r="P26" s="1"/>
  <c r="O84" i="17"/>
  <c r="O74"/>
  <c r="O60"/>
  <c r="P60" s="1"/>
  <c r="O46"/>
  <c r="O32"/>
  <c r="P32" s="1"/>
  <c r="O18"/>
  <c r="P18" s="1"/>
  <c r="O77" i="26"/>
  <c r="O72" i="13"/>
  <c r="P72" s="1"/>
  <c r="O66"/>
  <c r="O58"/>
  <c r="P58" s="1"/>
  <c r="O52"/>
  <c r="O44"/>
  <c r="P44" s="1"/>
  <c r="O38"/>
  <c r="O30"/>
  <c r="P30" s="1"/>
  <c r="O24"/>
  <c r="O68" i="9"/>
  <c r="O54"/>
  <c r="P84" i="22"/>
  <c r="O70"/>
  <c r="P70" s="1"/>
  <c r="O64"/>
  <c r="P64" s="1"/>
  <c r="O60"/>
  <c r="P60" s="1"/>
  <c r="O52"/>
  <c r="O43"/>
  <c r="P43" s="1"/>
  <c r="O39"/>
  <c r="P39" s="1"/>
  <c r="O72" i="12"/>
  <c r="P72" s="1"/>
  <c r="O66"/>
  <c r="P66" s="1"/>
  <c r="O58"/>
  <c r="P58" s="1"/>
  <c r="O52"/>
  <c r="P52" s="1"/>
  <c r="O68" i="24"/>
  <c r="O54"/>
  <c r="O40"/>
  <c r="O26"/>
  <c r="O79" i="18"/>
  <c r="O72" i="16"/>
  <c r="P72" s="1"/>
  <c r="O58"/>
  <c r="P58" s="1"/>
  <c r="O22" i="9"/>
  <c r="O18"/>
  <c r="O87" i="19"/>
  <c r="M80" i="12"/>
  <c r="M76"/>
  <c r="P76" s="1"/>
  <c r="O70"/>
  <c r="P70" s="1"/>
  <c r="O68"/>
  <c r="O60"/>
  <c r="P60" s="1"/>
  <c r="O56"/>
  <c r="P56" s="1"/>
  <c r="O54"/>
  <c r="O46"/>
  <c r="P46" s="1"/>
  <c r="O42"/>
  <c r="P42" s="1"/>
  <c r="O40"/>
  <c r="O32"/>
  <c r="P32" s="1"/>
  <c r="O28"/>
  <c r="P28" s="1"/>
  <c r="O26"/>
  <c r="O18"/>
  <c r="P18" s="1"/>
  <c r="O14"/>
  <c r="P14" s="1"/>
  <c r="O45" i="15"/>
  <c r="P45" s="1"/>
  <c r="O37"/>
  <c r="P37" s="1"/>
  <c r="O31"/>
  <c r="P31" s="1"/>
  <c r="O23"/>
  <c r="O17"/>
  <c r="P17" s="1"/>
  <c r="O80" i="23"/>
  <c r="O76"/>
  <c r="P76" s="1"/>
  <c r="O89" i="10"/>
  <c r="O85"/>
  <c r="M85" i="19"/>
  <c r="P85" s="1"/>
  <c r="O70" i="17"/>
  <c r="P70" s="1"/>
  <c r="O68"/>
  <c r="O56"/>
  <c r="P56" s="1"/>
  <c r="O54"/>
  <c r="O42"/>
  <c r="P42" s="1"/>
  <c r="O40"/>
  <c r="O28"/>
  <c r="P28" s="1"/>
  <c r="O26"/>
  <c r="O14"/>
  <c r="P14" s="1"/>
  <c r="O49" i="26"/>
  <c r="O35"/>
  <c r="O21"/>
  <c r="O51" i="21"/>
  <c r="P51" s="1"/>
  <c r="O32"/>
  <c r="O28"/>
  <c r="P28" s="1"/>
  <c r="O18"/>
  <c r="P18" s="1"/>
  <c r="O14"/>
  <c r="P14" s="1"/>
  <c r="O72" i="24"/>
  <c r="O66"/>
  <c r="P66" s="1"/>
  <c r="O58"/>
  <c r="P58" s="1"/>
  <c r="O52"/>
  <c r="O44"/>
  <c r="P44" s="1"/>
  <c r="O38"/>
  <c r="P38" s="1"/>
  <c r="O30"/>
  <c r="P30" s="1"/>
  <c r="O24"/>
  <c r="O16"/>
  <c r="P16" s="1"/>
  <c r="O59" i="18"/>
  <c r="P59" s="1"/>
  <c r="O37"/>
  <c r="P37" s="1"/>
  <c r="O23"/>
  <c r="O74" i="9"/>
  <c r="P74" s="1"/>
  <c r="O64"/>
  <c r="P64" s="1"/>
  <c r="O50"/>
  <c r="P50" s="1"/>
  <c r="O32"/>
  <c r="P32" s="1"/>
  <c r="M58" i="22"/>
  <c r="O58"/>
  <c r="M49"/>
  <c r="O49"/>
  <c r="M37"/>
  <c r="O37"/>
  <c r="M21"/>
  <c r="O21"/>
  <c r="M82" i="12"/>
  <c r="M66" i="22"/>
  <c r="M54"/>
  <c r="M47"/>
  <c r="O47"/>
  <c r="M32"/>
  <c r="O32"/>
  <c r="M19"/>
  <c r="O19"/>
  <c r="P84" i="14"/>
  <c r="P85" i="15"/>
  <c r="O84" i="23"/>
  <c r="P84" s="1"/>
  <c r="O82"/>
  <c r="P82" s="1"/>
  <c r="O74"/>
  <c r="P74" s="1"/>
  <c r="O70"/>
  <c r="P70" s="1"/>
  <c r="O68"/>
  <c r="O64"/>
  <c r="P64" s="1"/>
  <c r="O60"/>
  <c r="P60" s="1"/>
  <c r="O56"/>
  <c r="P56" s="1"/>
  <c r="O54"/>
  <c r="P54" s="1"/>
  <c r="O50"/>
  <c r="P50" s="1"/>
  <c r="O46"/>
  <c r="P46" s="1"/>
  <c r="O42"/>
  <c r="P42" s="1"/>
  <c r="O40"/>
  <c r="P40" s="1"/>
  <c r="O36"/>
  <c r="P36" s="1"/>
  <c r="O32"/>
  <c r="P32" s="1"/>
  <c r="O28"/>
  <c r="O26"/>
  <c r="P26" s="1"/>
  <c r="O22"/>
  <c r="P22" s="1"/>
  <c r="O18"/>
  <c r="P18" s="1"/>
  <c r="O14"/>
  <c r="P14" s="1"/>
  <c r="O73" i="10"/>
  <c r="O64"/>
  <c r="P64" s="1"/>
  <c r="O60"/>
  <c r="P60" s="1"/>
  <c r="O50"/>
  <c r="P50" s="1"/>
  <c r="O46"/>
  <c r="P46" s="1"/>
  <c r="O36"/>
  <c r="P36" s="1"/>
  <c r="O32"/>
  <c r="P32" s="1"/>
  <c r="O22"/>
  <c r="P22" s="1"/>
  <c r="O79" i="19"/>
  <c r="P79" s="1"/>
  <c r="O77"/>
  <c r="P77" s="1"/>
  <c r="O73"/>
  <c r="P73" s="1"/>
  <c r="O59"/>
  <c r="P59" s="1"/>
  <c r="O45"/>
  <c r="P45" s="1"/>
  <c r="O31"/>
  <c r="P31" s="1"/>
  <c r="O17"/>
  <c r="P17" s="1"/>
  <c r="O80" i="17"/>
  <c r="P80" s="1"/>
  <c r="O76"/>
  <c r="P76" s="1"/>
  <c r="O72"/>
  <c r="P72" s="1"/>
  <c r="O58"/>
  <c r="P58" s="1"/>
  <c r="O44"/>
  <c r="P44" s="1"/>
  <c r="O30"/>
  <c r="P30" s="1"/>
  <c r="O16"/>
  <c r="P16" s="1"/>
  <c r="O89" i="21"/>
  <c r="O81"/>
  <c r="O61"/>
  <c r="O39"/>
  <c r="P32"/>
  <c r="O76" i="13"/>
  <c r="O87" i="18"/>
  <c r="O85"/>
  <c r="O71"/>
  <c r="P71" s="1"/>
  <c r="O67"/>
  <c r="P67" s="1"/>
  <c r="O61"/>
  <c r="P61" s="1"/>
  <c r="O49"/>
  <c r="P49" s="1"/>
  <c r="O43"/>
  <c r="P43" s="1"/>
  <c r="O39"/>
  <c r="O35"/>
  <c r="P35" s="1"/>
  <c r="O29"/>
  <c r="P29" s="1"/>
  <c r="O25"/>
  <c r="P25" s="1"/>
  <c r="O21"/>
  <c r="P21" s="1"/>
  <c r="O15"/>
  <c r="P15" s="1"/>
  <c r="O84" i="16"/>
  <c r="O74"/>
  <c r="P74" s="1"/>
  <c r="O70"/>
  <c r="P70" s="1"/>
  <c r="O68"/>
  <c r="O60"/>
  <c r="P60" s="1"/>
  <c r="O56"/>
  <c r="P56" s="1"/>
  <c r="O46"/>
  <c r="P46" s="1"/>
  <c r="O42"/>
  <c r="P42" s="1"/>
  <c r="O32"/>
  <c r="P32" s="1"/>
  <c r="O28"/>
  <c r="P28" s="1"/>
  <c r="O18"/>
  <c r="P18" s="1"/>
  <c r="O76" i="9"/>
  <c r="P76" s="1"/>
  <c r="O72"/>
  <c r="P72" s="1"/>
  <c r="O66"/>
  <c r="P66" s="1"/>
  <c r="O58"/>
  <c r="P58" s="1"/>
  <c r="O52"/>
  <c r="P52" s="1"/>
  <c r="O44"/>
  <c r="P44" s="1"/>
  <c r="O30"/>
  <c r="P30" s="1"/>
  <c r="O24"/>
  <c r="P24" s="1"/>
  <c r="O16"/>
  <c r="P16" s="1"/>
  <c r="O73" i="17"/>
  <c r="P73" s="1"/>
  <c r="M67"/>
  <c r="O67"/>
  <c r="M63"/>
  <c r="O63"/>
  <c r="M53"/>
  <c r="O53"/>
  <c r="M49"/>
  <c r="O49"/>
  <c r="O45"/>
  <c r="M39"/>
  <c r="O39"/>
  <c r="M35"/>
  <c r="O35"/>
  <c r="M25"/>
  <c r="O25"/>
  <c r="M21"/>
  <c r="O21"/>
  <c r="O17"/>
  <c r="O56" i="22"/>
  <c r="P56" s="1"/>
  <c r="O76"/>
  <c r="P76" s="1"/>
  <c r="O72"/>
  <c r="P72" s="1"/>
  <c r="O51"/>
  <c r="O45"/>
  <c r="P45" s="1"/>
  <c r="O38"/>
  <c r="O35"/>
  <c r="P35" s="1"/>
  <c r="O33"/>
  <c r="O31"/>
  <c r="P31" s="1"/>
  <c r="O23"/>
  <c r="O18"/>
  <c r="P18" s="1"/>
  <c r="O15"/>
  <c r="M84" i="12"/>
  <c r="P84" s="1"/>
  <c r="M74"/>
  <c r="P74" s="1"/>
  <c r="O76" i="14"/>
  <c r="P76" s="1"/>
  <c r="O72"/>
  <c r="P72" s="1"/>
  <c r="O70"/>
  <c r="P70" s="1"/>
  <c r="O66"/>
  <c r="P66" s="1"/>
  <c r="O60"/>
  <c r="P60" s="1"/>
  <c r="O58"/>
  <c r="P58" s="1"/>
  <c r="O56"/>
  <c r="P56" s="1"/>
  <c r="O52"/>
  <c r="P52" s="1"/>
  <c r="O46"/>
  <c r="P46" s="1"/>
  <c r="O44"/>
  <c r="P44" s="1"/>
  <c r="O42"/>
  <c r="P42" s="1"/>
  <c r="O38"/>
  <c r="P38" s="1"/>
  <c r="O32"/>
  <c r="P32" s="1"/>
  <c r="O30"/>
  <c r="P30" s="1"/>
  <c r="O28"/>
  <c r="P28" s="1"/>
  <c r="O24"/>
  <c r="P24" s="1"/>
  <c r="O18"/>
  <c r="P18" s="1"/>
  <c r="O16"/>
  <c r="P16" s="1"/>
  <c r="O14"/>
  <c r="P14" s="1"/>
  <c r="O77" i="15"/>
  <c r="P77" s="1"/>
  <c r="O73"/>
  <c r="P73" s="1"/>
  <c r="O65"/>
  <c r="O59"/>
  <c r="P59" s="1"/>
  <c r="O51"/>
  <c r="P23"/>
  <c r="P89" i="10"/>
  <c r="O66"/>
  <c r="P66" s="1"/>
  <c r="O58"/>
  <c r="P58" s="1"/>
  <c r="O52"/>
  <c r="P52" s="1"/>
  <c r="O44"/>
  <c r="O38"/>
  <c r="P38" s="1"/>
  <c r="O30"/>
  <c r="P30" s="1"/>
  <c r="O24"/>
  <c r="P24" s="1"/>
  <c r="O18"/>
  <c r="P18" s="1"/>
  <c r="O16"/>
  <c r="P16" s="1"/>
  <c r="O14"/>
  <c r="P14" s="1"/>
  <c r="O89" i="17"/>
  <c r="O87"/>
  <c r="O81"/>
  <c r="O79"/>
  <c r="O77"/>
  <c r="M65"/>
  <c r="O65"/>
  <c r="M61"/>
  <c r="M51"/>
  <c r="O51"/>
  <c r="M47"/>
  <c r="M37"/>
  <c r="O37"/>
  <c r="M33"/>
  <c r="M23"/>
  <c r="O23"/>
  <c r="M19"/>
  <c r="M89" i="26"/>
  <c r="P89" s="1"/>
  <c r="M87"/>
  <c r="M81"/>
  <c r="M71"/>
  <c r="M67"/>
  <c r="P67" s="1"/>
  <c r="M57"/>
  <c r="P57" s="1"/>
  <c r="M53"/>
  <c r="P53" s="1"/>
  <c r="O84" i="21"/>
  <c r="P84" s="1"/>
  <c r="O76"/>
  <c r="P76" s="1"/>
  <c r="O74"/>
  <c r="P74" s="1"/>
  <c r="O72"/>
  <c r="P72" s="1"/>
  <c r="O70"/>
  <c r="P70" s="1"/>
  <c r="O66"/>
  <c r="O60"/>
  <c r="P60" s="1"/>
  <c r="O58"/>
  <c r="P58" s="1"/>
  <c r="O56"/>
  <c r="P56" s="1"/>
  <c r="O52"/>
  <c r="O46"/>
  <c r="P46" s="1"/>
  <c r="O44"/>
  <c r="P44" s="1"/>
  <c r="O42"/>
  <c r="P42" s="1"/>
  <c r="O38"/>
  <c r="O84" i="13"/>
  <c r="O74"/>
  <c r="P74" s="1"/>
  <c r="O70"/>
  <c r="P70" s="1"/>
  <c r="O68"/>
  <c r="P68" s="1"/>
  <c r="O60"/>
  <c r="P60" s="1"/>
  <c r="O56"/>
  <c r="P56" s="1"/>
  <c r="O54"/>
  <c r="P54" s="1"/>
  <c r="O46"/>
  <c r="O42"/>
  <c r="P42" s="1"/>
  <c r="O40"/>
  <c r="P40" s="1"/>
  <c r="O32"/>
  <c r="P32" s="1"/>
  <c r="O28"/>
  <c r="P28" s="1"/>
  <c r="O26"/>
  <c r="P26" s="1"/>
  <c r="O18"/>
  <c r="O14"/>
  <c r="P14" s="1"/>
  <c r="P82" i="24"/>
  <c r="O82" i="18"/>
  <c r="O76"/>
  <c r="O68"/>
  <c r="O66"/>
  <c r="P66" s="1"/>
  <c r="O64"/>
  <c r="P64" s="1"/>
  <c r="O54"/>
  <c r="P54" s="1"/>
  <c r="O52"/>
  <c r="O50"/>
  <c r="O30"/>
  <c r="P84" i="16"/>
  <c r="M75" i="10"/>
  <c r="M71"/>
  <c r="M67"/>
  <c r="M63"/>
  <c r="M59"/>
  <c r="M53"/>
  <c r="M49"/>
  <c r="M45"/>
  <c r="M39"/>
  <c r="M35"/>
  <c r="M31"/>
  <c r="M25"/>
  <c r="M21"/>
  <c r="M17"/>
  <c r="P17" s="1"/>
  <c r="M84" i="19"/>
  <c r="O84"/>
  <c r="M80"/>
  <c r="O80"/>
  <c r="M74"/>
  <c r="O74"/>
  <c r="M70"/>
  <c r="O70"/>
  <c r="M66"/>
  <c r="O66"/>
  <c r="M60"/>
  <c r="O60"/>
  <c r="M56"/>
  <c r="O56"/>
  <c r="M52"/>
  <c r="O52"/>
  <c r="M46"/>
  <c r="O46"/>
  <c r="M42"/>
  <c r="O42"/>
  <c r="M38"/>
  <c r="O38"/>
  <c r="M32"/>
  <c r="O32"/>
  <c r="O50" i="22"/>
  <c r="P50" s="1"/>
  <c r="O26"/>
  <c r="P26" s="1"/>
  <c r="O22"/>
  <c r="P22" s="1"/>
  <c r="M82" i="19"/>
  <c r="O82"/>
  <c r="M76"/>
  <c r="O76"/>
  <c r="M72"/>
  <c r="O72"/>
  <c r="M68"/>
  <c r="O68"/>
  <c r="M64"/>
  <c r="O64"/>
  <c r="M58"/>
  <c r="O58"/>
  <c r="M54"/>
  <c r="O54"/>
  <c r="M50"/>
  <c r="O50"/>
  <c r="M44"/>
  <c r="O44"/>
  <c r="M40"/>
  <c r="O40"/>
  <c r="M36"/>
  <c r="O36"/>
  <c r="O46" i="22"/>
  <c r="P46" s="1"/>
  <c r="O44"/>
  <c r="P44" s="1"/>
  <c r="O42"/>
  <c r="P42" s="1"/>
  <c r="O30"/>
  <c r="P30" s="1"/>
  <c r="O28"/>
  <c r="P28" s="1"/>
  <c r="O16"/>
  <c r="P16" s="1"/>
  <c r="O14"/>
  <c r="P14" s="1"/>
  <c r="P38"/>
  <c r="O89" i="12"/>
  <c r="P89" s="1"/>
  <c r="O87"/>
  <c r="O85"/>
  <c r="P85" s="1"/>
  <c r="O81"/>
  <c r="P81" s="1"/>
  <c r="O79"/>
  <c r="O77"/>
  <c r="P77" s="1"/>
  <c r="O75"/>
  <c r="P75" s="1"/>
  <c r="O73"/>
  <c r="P73" s="1"/>
  <c r="O71"/>
  <c r="P71" s="1"/>
  <c r="O67"/>
  <c r="P67" s="1"/>
  <c r="O65"/>
  <c r="P65" s="1"/>
  <c r="O63"/>
  <c r="P63" s="1"/>
  <c r="O61"/>
  <c r="P61" s="1"/>
  <c r="O59"/>
  <c r="P59" s="1"/>
  <c r="O57"/>
  <c r="P57" s="1"/>
  <c r="O53"/>
  <c r="O51"/>
  <c r="P51" s="1"/>
  <c r="O49"/>
  <c r="P49" s="1"/>
  <c r="O47"/>
  <c r="P47" s="1"/>
  <c r="O45"/>
  <c r="P45" s="1"/>
  <c r="O43"/>
  <c r="P43" s="1"/>
  <c r="O39"/>
  <c r="P39" s="1"/>
  <c r="O37"/>
  <c r="P37" s="1"/>
  <c r="O35"/>
  <c r="P35" s="1"/>
  <c r="O33"/>
  <c r="P33" s="1"/>
  <c r="O31"/>
  <c r="P31" s="1"/>
  <c r="O29"/>
  <c r="P29" s="1"/>
  <c r="O25"/>
  <c r="P25" s="1"/>
  <c r="O23"/>
  <c r="P23" s="1"/>
  <c r="O21"/>
  <c r="P21" s="1"/>
  <c r="O19"/>
  <c r="P19" s="1"/>
  <c r="O17"/>
  <c r="P17" s="1"/>
  <c r="O15"/>
  <c r="P15" s="1"/>
  <c r="O89" i="14"/>
  <c r="P89" s="1"/>
  <c r="O87"/>
  <c r="O85"/>
  <c r="P85" s="1"/>
  <c r="P80" i="23"/>
  <c r="P72"/>
  <c r="P68"/>
  <c r="P28"/>
  <c r="P16"/>
  <c r="O75" i="10"/>
  <c r="O67"/>
  <c r="O63"/>
  <c r="O59"/>
  <c r="O53"/>
  <c r="O49"/>
  <c r="O45"/>
  <c r="O39"/>
  <c r="O35"/>
  <c r="O31"/>
  <c r="O25"/>
  <c r="O21"/>
  <c r="O33" i="21"/>
  <c r="O29"/>
  <c r="M23"/>
  <c r="O23"/>
  <c r="O19"/>
  <c r="O15"/>
  <c r="M85" i="13"/>
  <c r="M77"/>
  <c r="M75"/>
  <c r="M73"/>
  <c r="M71"/>
  <c r="M61"/>
  <c r="M59"/>
  <c r="M57"/>
  <c r="M47"/>
  <c r="M45"/>
  <c r="M43"/>
  <c r="M33"/>
  <c r="M31"/>
  <c r="M29"/>
  <c r="M19"/>
  <c r="M17"/>
  <c r="M15"/>
  <c r="M89" i="24"/>
  <c r="O89"/>
  <c r="M79"/>
  <c r="O79"/>
  <c r="M31" i="21"/>
  <c r="M25"/>
  <c r="O25"/>
  <c r="M21"/>
  <c r="O21"/>
  <c r="M17"/>
  <c r="P17" s="1"/>
  <c r="M87" i="24"/>
  <c r="O87"/>
  <c r="M81"/>
  <c r="O81"/>
  <c r="M77"/>
  <c r="P77" s="1"/>
  <c r="M67"/>
  <c r="O67"/>
  <c r="O30" i="19"/>
  <c r="P30" s="1"/>
  <c r="O28"/>
  <c r="P28" s="1"/>
  <c r="O26"/>
  <c r="P26" s="1"/>
  <c r="O24"/>
  <c r="P24" s="1"/>
  <c r="O22"/>
  <c r="P22" s="1"/>
  <c r="O18"/>
  <c r="P18" s="1"/>
  <c r="O16"/>
  <c r="P16" s="1"/>
  <c r="O14"/>
  <c r="P14" s="1"/>
  <c r="P84" i="17"/>
  <c r="P74"/>
  <c r="P46"/>
  <c r="O84" i="26"/>
  <c r="P84" s="1"/>
  <c r="O82"/>
  <c r="P82" s="1"/>
  <c r="O80"/>
  <c r="P80" s="1"/>
  <c r="O76"/>
  <c r="P76" s="1"/>
  <c r="O74"/>
  <c r="P74" s="1"/>
  <c r="O72"/>
  <c r="P72" s="1"/>
  <c r="O70"/>
  <c r="P70" s="1"/>
  <c r="O68"/>
  <c r="P68" s="1"/>
  <c r="O66"/>
  <c r="P66" s="1"/>
  <c r="O64"/>
  <c r="P64" s="1"/>
  <c r="O60"/>
  <c r="O54"/>
  <c r="P54" s="1"/>
  <c r="O52"/>
  <c r="P52" s="1"/>
  <c r="O50"/>
  <c r="P50" s="1"/>
  <c r="O42"/>
  <c r="P42" s="1"/>
  <c r="O40"/>
  <c r="P40" s="1"/>
  <c r="O38"/>
  <c r="P38" s="1"/>
  <c r="O36"/>
  <c r="P36" s="1"/>
  <c r="O32"/>
  <c r="P32" s="1"/>
  <c r="O26"/>
  <c r="P26" s="1"/>
  <c r="O24"/>
  <c r="P24" s="1"/>
  <c r="O22"/>
  <c r="P22" s="1"/>
  <c r="O14"/>
  <c r="O85" i="13"/>
  <c r="P85" s="1"/>
  <c r="O77"/>
  <c r="O75"/>
  <c r="O73"/>
  <c r="O71"/>
  <c r="O67"/>
  <c r="O61"/>
  <c r="O59"/>
  <c r="O57"/>
  <c r="O49"/>
  <c r="O47"/>
  <c r="O45"/>
  <c r="O43"/>
  <c r="O39"/>
  <c r="O33"/>
  <c r="O31"/>
  <c r="O29"/>
  <c r="O21"/>
  <c r="O19"/>
  <c r="O17"/>
  <c r="O15"/>
  <c r="O65" i="24"/>
  <c r="P65" s="1"/>
  <c r="O63"/>
  <c r="O61"/>
  <c r="O53"/>
  <c r="P53" s="1"/>
  <c r="O51"/>
  <c r="P51" s="1"/>
  <c r="O49"/>
  <c r="P49" s="1"/>
  <c r="O43"/>
  <c r="O39"/>
  <c r="P39" s="1"/>
  <c r="O37"/>
  <c r="P37" s="1"/>
  <c r="O35"/>
  <c r="P35" s="1"/>
  <c r="O33"/>
  <c r="O25"/>
  <c r="P25" s="1"/>
  <c r="O23"/>
  <c r="P23" s="1"/>
  <c r="O21"/>
  <c r="P21" s="1"/>
  <c r="O15"/>
  <c r="P87" i="18"/>
  <c r="P85"/>
  <c r="P79"/>
  <c r="P39"/>
  <c r="P23"/>
  <c r="O89" i="16"/>
  <c r="P89" s="1"/>
  <c r="O87"/>
  <c r="P87" s="1"/>
  <c r="O85"/>
  <c r="O81"/>
  <c r="P81" s="1"/>
  <c r="O79"/>
  <c r="P79" s="1"/>
  <c r="O75"/>
  <c r="O71"/>
  <c r="O67"/>
  <c r="P67" s="1"/>
  <c r="O65"/>
  <c r="P65" s="1"/>
  <c r="O63"/>
  <c r="P63" s="1"/>
  <c r="O61"/>
  <c r="O57"/>
  <c r="O53"/>
  <c r="P53" s="1"/>
  <c r="O51"/>
  <c r="P51" s="1"/>
  <c r="O49"/>
  <c r="P49" s="1"/>
  <c r="O47"/>
  <c r="O43"/>
  <c r="O39"/>
  <c r="P39" s="1"/>
  <c r="O37"/>
  <c r="P37" s="1"/>
  <c r="O35"/>
  <c r="P35" s="1"/>
  <c r="O33"/>
  <c r="O29"/>
  <c r="O25"/>
  <c r="P25" s="1"/>
  <c r="O23"/>
  <c r="P23" s="1"/>
  <c r="O21"/>
  <c r="P21" s="1"/>
  <c r="O19"/>
  <c r="O15"/>
  <c r="P68" i="9"/>
  <c r="P54"/>
  <c r="I122" i="30"/>
  <c r="H122"/>
  <c r="I123"/>
  <c r="I124"/>
  <c r="I125"/>
  <c r="I107"/>
  <c r="H107"/>
  <c r="I108"/>
  <c r="I109"/>
  <c r="I110"/>
  <c r="I92"/>
  <c r="H92"/>
  <c r="I93"/>
  <c r="I94"/>
  <c r="I95"/>
  <c r="I77"/>
  <c r="H77"/>
  <c r="I78"/>
  <c r="I79"/>
  <c r="I80"/>
  <c r="I62"/>
  <c r="H62"/>
  <c r="I63"/>
  <c r="I64"/>
  <c r="I65"/>
  <c r="H48"/>
  <c r="I47"/>
  <c r="I48"/>
  <c r="I49"/>
  <c r="I50"/>
  <c r="F48"/>
  <c r="E47"/>
  <c r="G47"/>
  <c r="E48"/>
  <c r="G48"/>
  <c r="E49"/>
  <c r="G49"/>
  <c r="E50"/>
  <c r="G50"/>
  <c r="F32"/>
  <c r="E33"/>
  <c r="G33"/>
  <c r="E34"/>
  <c r="G34"/>
  <c r="E35"/>
  <c r="G35"/>
  <c r="E32"/>
  <c r="G32"/>
  <c r="F33"/>
  <c r="F34"/>
  <c r="F35"/>
  <c r="F17"/>
  <c r="E18"/>
  <c r="G18"/>
  <c r="E19"/>
  <c r="G19"/>
  <c r="E20"/>
  <c r="G20"/>
  <c r="E17"/>
  <c r="G17"/>
  <c r="F18"/>
  <c r="F19"/>
  <c r="F20"/>
  <c r="O89" i="22"/>
  <c r="O85"/>
  <c r="P85" s="1"/>
  <c r="O79"/>
  <c r="P79" s="1"/>
  <c r="O75"/>
  <c r="P75" s="1"/>
  <c r="O73"/>
  <c r="P73" s="1"/>
  <c r="O61"/>
  <c r="P61" s="1"/>
  <c r="O59"/>
  <c r="P59" s="1"/>
  <c r="O57"/>
  <c r="P57" s="1"/>
  <c r="O53"/>
  <c r="P53" s="1"/>
  <c r="E122" i="30"/>
  <c r="G122"/>
  <c r="F123"/>
  <c r="F124"/>
  <c r="F125"/>
  <c r="F122"/>
  <c r="E123"/>
  <c r="G123"/>
  <c r="E124"/>
  <c r="G124"/>
  <c r="E125"/>
  <c r="G125"/>
  <c r="E107"/>
  <c r="G107"/>
  <c r="F108"/>
  <c r="F109"/>
  <c r="F110"/>
  <c r="F107"/>
  <c r="E108"/>
  <c r="G108"/>
  <c r="E109"/>
  <c r="G109"/>
  <c r="E110"/>
  <c r="G110"/>
  <c r="E92"/>
  <c r="G92"/>
  <c r="F93"/>
  <c r="F94"/>
  <c r="F95"/>
  <c r="F92"/>
  <c r="E93"/>
  <c r="G93"/>
  <c r="E94"/>
  <c r="G94"/>
  <c r="E95"/>
  <c r="G95"/>
  <c r="E77"/>
  <c r="G77"/>
  <c r="F78"/>
  <c r="F79"/>
  <c r="F80"/>
  <c r="F77"/>
  <c r="E78"/>
  <c r="G78"/>
  <c r="E79"/>
  <c r="G79"/>
  <c r="E80"/>
  <c r="G80"/>
  <c r="E62"/>
  <c r="G62"/>
  <c r="F63"/>
  <c r="F64"/>
  <c r="F65"/>
  <c r="F62"/>
  <c r="E63"/>
  <c r="G63"/>
  <c r="E64"/>
  <c r="G64"/>
  <c r="E65"/>
  <c r="G65"/>
  <c r="I33"/>
  <c r="I34"/>
  <c r="I35"/>
  <c r="I32"/>
  <c r="H33"/>
  <c r="H34"/>
  <c r="H35"/>
  <c r="I18"/>
  <c r="I19"/>
  <c r="I20"/>
  <c r="I17"/>
  <c r="H18"/>
  <c r="H19"/>
  <c r="H20"/>
  <c r="O87" i="22"/>
  <c r="O81"/>
  <c r="P81" s="1"/>
  <c r="O77"/>
  <c r="P77" s="1"/>
  <c r="O71"/>
  <c r="P71" s="1"/>
  <c r="O67"/>
  <c r="P67" s="1"/>
  <c r="O65"/>
  <c r="P65" s="1"/>
  <c r="O63"/>
  <c r="P63" s="1"/>
  <c r="P89"/>
  <c r="P87"/>
  <c r="P51"/>
  <c r="P33"/>
  <c r="P23"/>
  <c r="P17"/>
  <c r="P15"/>
  <c r="P87" i="12"/>
  <c r="P79"/>
  <c r="P53"/>
  <c r="AH109" i="30"/>
  <c r="AH116"/>
  <c r="AH79"/>
  <c r="AH86"/>
  <c r="H110"/>
  <c r="H109"/>
  <c r="H108"/>
  <c r="H80"/>
  <c r="H79"/>
  <c r="H78"/>
  <c r="F50"/>
  <c r="F49"/>
  <c r="AH124"/>
  <c r="AH131"/>
  <c r="AH94"/>
  <c r="AH101"/>
  <c r="AH64"/>
  <c r="AH71"/>
  <c r="AH48"/>
  <c r="AH55"/>
  <c r="AH33"/>
  <c r="AH40"/>
  <c r="AH18"/>
  <c r="AH25"/>
  <c r="H125"/>
  <c r="H124"/>
  <c r="H123"/>
  <c r="H95"/>
  <c r="H94"/>
  <c r="H93"/>
  <c r="H65"/>
  <c r="H64"/>
  <c r="H63"/>
  <c r="F47"/>
  <c r="H32"/>
  <c r="H17"/>
  <c r="M81" i="14"/>
  <c r="M79"/>
  <c r="M77"/>
  <c r="M75"/>
  <c r="M73"/>
  <c r="M71"/>
  <c r="P71" s="1"/>
  <c r="M67"/>
  <c r="P67" s="1"/>
  <c r="M65"/>
  <c r="P65" s="1"/>
  <c r="M63"/>
  <c r="P63" s="1"/>
  <c r="M61"/>
  <c r="P61" s="1"/>
  <c r="M59"/>
  <c r="P59" s="1"/>
  <c r="M57"/>
  <c r="P57" s="1"/>
  <c r="M53"/>
  <c r="P53" s="1"/>
  <c r="M51"/>
  <c r="P51" s="1"/>
  <c r="M49"/>
  <c r="P49" s="1"/>
  <c r="M47"/>
  <c r="P47" s="1"/>
  <c r="M45"/>
  <c r="P45" s="1"/>
  <c r="M43"/>
  <c r="P43" s="1"/>
  <c r="M39"/>
  <c r="P39" s="1"/>
  <c r="M37"/>
  <c r="P37" s="1"/>
  <c r="M35"/>
  <c r="P35" s="1"/>
  <c r="M33"/>
  <c r="P33" s="1"/>
  <c r="M31"/>
  <c r="P31" s="1"/>
  <c r="M29"/>
  <c r="P29" s="1"/>
  <c r="M25"/>
  <c r="P25" s="1"/>
  <c r="M23"/>
  <c r="P23" s="1"/>
  <c r="M21"/>
  <c r="P21" s="1"/>
  <c r="M19"/>
  <c r="P19" s="1"/>
  <c r="M17"/>
  <c r="P17" s="1"/>
  <c r="M15"/>
  <c r="P15" s="1"/>
  <c r="M89" i="23"/>
  <c r="M87"/>
  <c r="M85"/>
  <c r="M81"/>
  <c r="M79"/>
  <c r="M77"/>
  <c r="M75"/>
  <c r="M73"/>
  <c r="M71"/>
  <c r="M67"/>
  <c r="P67" s="1"/>
  <c r="M63"/>
  <c r="P63" s="1"/>
  <c r="M59"/>
  <c r="P59" s="1"/>
  <c r="M53"/>
  <c r="P53" s="1"/>
  <c r="M49"/>
  <c r="P49" s="1"/>
  <c r="M45"/>
  <c r="P45" s="1"/>
  <c r="M39"/>
  <c r="P39" s="1"/>
  <c r="M35"/>
  <c r="P35" s="1"/>
  <c r="M31"/>
  <c r="P31" s="1"/>
  <c r="M25"/>
  <c r="P25" s="1"/>
  <c r="M21"/>
  <c r="P21" s="1"/>
  <c r="M17"/>
  <c r="P17" s="1"/>
  <c r="M87" i="9"/>
  <c r="O87"/>
  <c r="M84" i="15"/>
  <c r="P84" s="1"/>
  <c r="M82"/>
  <c r="P82" s="1"/>
  <c r="M80"/>
  <c r="P80" s="1"/>
  <c r="M76"/>
  <c r="P76" s="1"/>
  <c r="M74"/>
  <c r="P74" s="1"/>
  <c r="M72"/>
  <c r="P72" s="1"/>
  <c r="M70"/>
  <c r="P70" s="1"/>
  <c r="M68"/>
  <c r="P68" s="1"/>
  <c r="M66"/>
  <c r="P66" s="1"/>
  <c r="M64"/>
  <c r="P64" s="1"/>
  <c r="M60"/>
  <c r="P60" s="1"/>
  <c r="M58"/>
  <c r="P58" s="1"/>
  <c r="M56"/>
  <c r="P56" s="1"/>
  <c r="M54"/>
  <c r="P54" s="1"/>
  <c r="M52"/>
  <c r="P52" s="1"/>
  <c r="M50"/>
  <c r="P50" s="1"/>
  <c r="M46"/>
  <c r="P46" s="1"/>
  <c r="M44"/>
  <c r="P44" s="1"/>
  <c r="M42"/>
  <c r="P42" s="1"/>
  <c r="M40"/>
  <c r="P40" s="1"/>
  <c r="M36"/>
  <c r="P36" s="1"/>
  <c r="M32"/>
  <c r="P32" s="1"/>
  <c r="M30"/>
  <c r="P30" s="1"/>
  <c r="M28"/>
  <c r="P28" s="1"/>
  <c r="M26"/>
  <c r="P26" s="1"/>
  <c r="M22"/>
  <c r="P22" s="1"/>
  <c r="M18"/>
  <c r="P18" s="1"/>
  <c r="M16"/>
  <c r="P16" s="1"/>
  <c r="M14"/>
  <c r="P14" s="1"/>
  <c r="M84" i="10"/>
  <c r="P84" s="1"/>
  <c r="M82"/>
  <c r="P82" s="1"/>
  <c r="M80"/>
  <c r="P80" s="1"/>
  <c r="M76"/>
  <c r="P76" s="1"/>
  <c r="M74"/>
  <c r="P74" s="1"/>
  <c r="M72"/>
  <c r="P72" s="1"/>
  <c r="AH130" i="30"/>
  <c r="BB125"/>
  <c r="AZ125"/>
  <c r="AX125"/>
  <c r="AV125"/>
  <c r="AT125"/>
  <c r="AR125"/>
  <c r="BB124"/>
  <c r="AZ124"/>
  <c r="AX124"/>
  <c r="AV124"/>
  <c r="AT124"/>
  <c r="AR124"/>
  <c r="BB123"/>
  <c r="AZ123"/>
  <c r="AX123"/>
  <c r="AV123"/>
  <c r="AT123"/>
  <c r="AR123"/>
  <c r="BG122" s="1"/>
  <c r="BH122" s="1"/>
  <c r="BB122"/>
  <c r="AZ122"/>
  <c r="AX122"/>
  <c r="AV122"/>
  <c r="AT122"/>
  <c r="AR122"/>
  <c r="AH115"/>
  <c r="BB110"/>
  <c r="AZ110"/>
  <c r="AX110"/>
  <c r="AV110"/>
  <c r="AT110"/>
  <c r="AR110"/>
  <c r="BB109"/>
  <c r="AZ109"/>
  <c r="AX109"/>
  <c r="AV109"/>
  <c r="AT109"/>
  <c r="AR109"/>
  <c r="BB108"/>
  <c r="AZ108"/>
  <c r="AX108"/>
  <c r="AV108"/>
  <c r="AT108"/>
  <c r="AR108"/>
  <c r="BG107" s="1"/>
  <c r="BH107" s="1"/>
  <c r="BB107"/>
  <c r="AZ107"/>
  <c r="AX107"/>
  <c r="AV107"/>
  <c r="AT107"/>
  <c r="AR107"/>
  <c r="AH100"/>
  <c r="BB95"/>
  <c r="AZ95"/>
  <c r="AX95"/>
  <c r="AV95"/>
  <c r="AT95"/>
  <c r="AR95"/>
  <c r="BB94"/>
  <c r="AZ94"/>
  <c r="AX94"/>
  <c r="AV94"/>
  <c r="AT94"/>
  <c r="AR94"/>
  <c r="BB93"/>
  <c r="AZ93"/>
  <c r="AX93"/>
  <c r="AV93"/>
  <c r="AT93"/>
  <c r="AR93"/>
  <c r="BG92" s="1"/>
  <c r="BH92" s="1"/>
  <c r="BB92"/>
  <c r="AZ92"/>
  <c r="AX92"/>
  <c r="AV92"/>
  <c r="AT92"/>
  <c r="AR92"/>
  <c r="AH85"/>
  <c r="BB80"/>
  <c r="AZ80"/>
  <c r="AX80"/>
  <c r="AV80"/>
  <c r="AT80"/>
  <c r="AR80"/>
  <c r="BB79"/>
  <c r="AZ79"/>
  <c r="AX79"/>
  <c r="AV79"/>
  <c r="AT79"/>
  <c r="AR79"/>
  <c r="BB78"/>
  <c r="AZ78"/>
  <c r="AX78"/>
  <c r="AV78"/>
  <c r="AT78"/>
  <c r="AR78"/>
  <c r="BG77" s="1"/>
  <c r="BH77" s="1"/>
  <c r="BB77"/>
  <c r="AZ77"/>
  <c r="AX77"/>
  <c r="AV77"/>
  <c r="AT77"/>
  <c r="AR77"/>
  <c r="AH70"/>
  <c r="BB65"/>
  <c r="AZ65"/>
  <c r="AX65"/>
  <c r="AV65"/>
  <c r="AT65"/>
  <c r="AR65"/>
  <c r="BB64"/>
  <c r="AZ64"/>
  <c r="AX64"/>
  <c r="AV64"/>
  <c r="AT64"/>
  <c r="AR64"/>
  <c r="BB63"/>
  <c r="AZ63"/>
  <c r="AX63"/>
  <c r="AV63"/>
  <c r="AT63"/>
  <c r="AR63"/>
  <c r="BB62"/>
  <c r="AZ62"/>
  <c r="AX62"/>
  <c r="AV62"/>
  <c r="AT62"/>
  <c r="AR62"/>
  <c r="H50"/>
  <c r="H49"/>
  <c r="H47"/>
  <c r="BF32"/>
  <c r="BF17"/>
  <c r="P87" i="14"/>
  <c r="O81"/>
  <c r="P81" s="1"/>
  <c r="O79"/>
  <c r="O77"/>
  <c r="O75"/>
  <c r="O73"/>
  <c r="O89" i="23"/>
  <c r="P89" s="1"/>
  <c r="O87"/>
  <c r="O81"/>
  <c r="O77"/>
  <c r="O73"/>
  <c r="M85" i="9"/>
  <c r="M79"/>
  <c r="M77"/>
  <c r="M75"/>
  <c r="M73"/>
  <c r="M71"/>
  <c r="M63"/>
  <c r="P63" s="1"/>
  <c r="M59"/>
  <c r="P59" s="1"/>
  <c r="M53"/>
  <c r="P53" s="1"/>
  <c r="M49"/>
  <c r="P49" s="1"/>
  <c r="M45"/>
  <c r="P45" s="1"/>
  <c r="M39"/>
  <c r="P39" s="1"/>
  <c r="M37"/>
  <c r="P37" s="1"/>
  <c r="M35"/>
  <c r="P35" s="1"/>
  <c r="M33"/>
  <c r="P33" s="1"/>
  <c r="M31"/>
  <c r="P31" s="1"/>
  <c r="M29"/>
  <c r="P29" s="1"/>
  <c r="M25"/>
  <c r="P25" s="1"/>
  <c r="M21"/>
  <c r="P21" s="1"/>
  <c r="M19"/>
  <c r="P19" s="1"/>
  <c r="M17"/>
  <c r="P17" s="1"/>
  <c r="M15"/>
  <c r="P15" s="1"/>
  <c r="N99" i="2"/>
  <c r="AJ99"/>
  <c r="L80" i="9"/>
  <c r="L82"/>
  <c r="L84"/>
  <c r="P44" i="10"/>
  <c r="P84" i="19"/>
  <c r="P82"/>
  <c r="P80"/>
  <c r="P89" i="17"/>
  <c r="P87"/>
  <c r="P81"/>
  <c r="P79"/>
  <c r="P77"/>
  <c r="P67"/>
  <c r="P89" i="21"/>
  <c r="P81"/>
  <c r="P39"/>
  <c r="P84" i="13"/>
  <c r="P76"/>
  <c r="P66"/>
  <c r="P52"/>
  <c r="P46"/>
  <c r="P38"/>
  <c r="P24"/>
  <c r="P18"/>
  <c r="P87" i="24"/>
  <c r="P63"/>
  <c r="P82" i="18"/>
  <c r="P52"/>
  <c r="O14" i="16"/>
  <c r="P14" s="1"/>
  <c r="L89" i="9"/>
  <c r="L81"/>
  <c r="F94" i="2"/>
  <c r="L89" i="20"/>
  <c r="N90" i="2"/>
  <c r="AG90"/>
  <c r="AJ90"/>
  <c r="N89"/>
  <c r="AG89"/>
  <c r="AJ89"/>
  <c r="N88"/>
  <c r="AG88"/>
  <c r="N87"/>
  <c r="AG87"/>
  <c r="AJ87"/>
  <c r="L89" i="7"/>
  <c r="L87"/>
  <c r="L85"/>
  <c r="L81"/>
  <c r="L79"/>
  <c r="L77"/>
  <c r="L75"/>
  <c r="L73"/>
  <c r="L71"/>
  <c r="L15" i="11"/>
  <c r="L17"/>
  <c r="L19"/>
  <c r="L21"/>
  <c r="L23"/>
  <c r="L25"/>
  <c r="L29"/>
  <c r="L31"/>
  <c r="L33"/>
  <c r="L35"/>
  <c r="L37"/>
  <c r="L39"/>
  <c r="L43"/>
  <c r="L45"/>
  <c r="L47"/>
  <c r="L49"/>
  <c r="L51"/>
  <c r="L53"/>
  <c r="L57"/>
  <c r="L59"/>
  <c r="L61"/>
  <c r="L63"/>
  <c r="L65"/>
  <c r="L67"/>
  <c r="L71"/>
  <c r="L73"/>
  <c r="L75"/>
  <c r="L77"/>
  <c r="L79"/>
  <c r="L81"/>
  <c r="L85"/>
  <c r="L87"/>
  <c r="L89"/>
  <c r="L14" i="25"/>
  <c r="L16"/>
  <c r="L18"/>
  <c r="L22"/>
  <c r="L24"/>
  <c r="L26"/>
  <c r="L28"/>
  <c r="L30"/>
  <c r="L32"/>
  <c r="L36"/>
  <c r="L38"/>
  <c r="L40"/>
  <c r="L42"/>
  <c r="L44"/>
  <c r="L46"/>
  <c r="L50"/>
  <c r="L52"/>
  <c r="L54"/>
  <c r="L56"/>
  <c r="L58"/>
  <c r="L60"/>
  <c r="L64"/>
  <c r="L66"/>
  <c r="L14" i="11"/>
  <c r="L16"/>
  <c r="L18"/>
  <c r="L22"/>
  <c r="L24"/>
  <c r="L26"/>
  <c r="L28"/>
  <c r="L30"/>
  <c r="L32"/>
  <c r="L36"/>
  <c r="L38"/>
  <c r="L40"/>
  <c r="L42"/>
  <c r="L44"/>
  <c r="L46"/>
  <c r="L50"/>
  <c r="L52"/>
  <c r="L54"/>
  <c r="L56"/>
  <c r="L58"/>
  <c r="L60"/>
  <c r="L64"/>
  <c r="L66"/>
  <c r="L68"/>
  <c r="L70"/>
  <c r="L72"/>
  <c r="L74"/>
  <c r="L76"/>
  <c r="L80"/>
  <c r="L82"/>
  <c r="L84"/>
  <c r="L15" i="25"/>
  <c r="L17"/>
  <c r="L19"/>
  <c r="L21"/>
  <c r="L23"/>
  <c r="L25"/>
  <c r="L29"/>
  <c r="L31"/>
  <c r="L33"/>
  <c r="L35"/>
  <c r="L37"/>
  <c r="L39"/>
  <c r="L43"/>
  <c r="L45"/>
  <c r="L47"/>
  <c r="L49"/>
  <c r="L51"/>
  <c r="L53"/>
  <c r="L57"/>
  <c r="L59"/>
  <c r="L61"/>
  <c r="L68"/>
  <c r="L70"/>
  <c r="L72"/>
  <c r="L74"/>
  <c r="L76"/>
  <c r="L80"/>
  <c r="L82"/>
  <c r="L84"/>
  <c r="L14" i="8"/>
  <c r="L16"/>
  <c r="L18"/>
  <c r="L22"/>
  <c r="L24"/>
  <c r="L26"/>
  <c r="L28"/>
  <c r="L30"/>
  <c r="L32"/>
  <c r="L36"/>
  <c r="L38"/>
  <c r="L40"/>
  <c r="L42"/>
  <c r="L44"/>
  <c r="L46"/>
  <c r="L50"/>
  <c r="L52"/>
  <c r="L54"/>
  <c r="L56"/>
  <c r="L58"/>
  <c r="L60"/>
  <c r="L64"/>
  <c r="L66"/>
  <c r="L68"/>
  <c r="L70"/>
  <c r="L72"/>
  <c r="L74"/>
  <c r="L76"/>
  <c r="L80"/>
  <c r="L82"/>
  <c r="L84"/>
  <c r="L15" i="27"/>
  <c r="L17"/>
  <c r="L19"/>
  <c r="L21"/>
  <c r="L23"/>
  <c r="L25"/>
  <c r="L29"/>
  <c r="L31"/>
  <c r="L33"/>
  <c r="L35"/>
  <c r="L37"/>
  <c r="L39"/>
  <c r="L63" i="25"/>
  <c r="L65"/>
  <c r="L67"/>
  <c r="L71"/>
  <c r="L73"/>
  <c r="L75"/>
  <c r="L77"/>
  <c r="L79"/>
  <c r="L81"/>
  <c r="L85"/>
  <c r="L87"/>
  <c r="L89"/>
  <c r="L15" i="8"/>
  <c r="L17"/>
  <c r="L19"/>
  <c r="L21"/>
  <c r="L23"/>
  <c r="L25"/>
  <c r="L29"/>
  <c r="L31"/>
  <c r="L33"/>
  <c r="L35"/>
  <c r="L37"/>
  <c r="L39"/>
  <c r="L43"/>
  <c r="L45"/>
  <c r="L47"/>
  <c r="L49"/>
  <c r="L51"/>
  <c r="L53"/>
  <c r="L57"/>
  <c r="L59"/>
  <c r="L61"/>
  <c r="L63"/>
  <c r="L65"/>
  <c r="L67"/>
  <c r="L71"/>
  <c r="L73"/>
  <c r="L75"/>
  <c r="L77"/>
  <c r="L79"/>
  <c r="L81"/>
  <c r="L85"/>
  <c r="L87"/>
  <c r="L89"/>
  <c r="L14" i="27"/>
  <c r="L16"/>
  <c r="L18"/>
  <c r="L22"/>
  <c r="L24"/>
  <c r="L26"/>
  <c r="L28"/>
  <c r="L30"/>
  <c r="L32"/>
  <c r="L36"/>
  <c r="L43"/>
  <c r="L45"/>
  <c r="L47"/>
  <c r="L49"/>
  <c r="L51"/>
  <c r="L53"/>
  <c r="L57"/>
  <c r="L59"/>
  <c r="L61"/>
  <c r="L63"/>
  <c r="L65"/>
  <c r="L67"/>
  <c r="L71"/>
  <c r="L73"/>
  <c r="L75"/>
  <c r="L77"/>
  <c r="L79"/>
  <c r="L81"/>
  <c r="L85"/>
  <c r="L87"/>
  <c r="L89"/>
  <c r="L14" i="28"/>
  <c r="L16"/>
  <c r="L18"/>
  <c r="L22"/>
  <c r="L24"/>
  <c r="L26"/>
  <c r="L28"/>
  <c r="L30"/>
  <c r="L32"/>
  <c r="L36"/>
  <c r="L38"/>
  <c r="L40"/>
  <c r="L42"/>
  <c r="L44"/>
  <c r="L46"/>
  <c r="L50"/>
  <c r="L52"/>
  <c r="L54"/>
  <c r="L56"/>
  <c r="L58"/>
  <c r="L60"/>
  <c r="L64"/>
  <c r="L66"/>
  <c r="L68"/>
  <c r="L70"/>
  <c r="L72"/>
  <c r="L74"/>
  <c r="L76"/>
  <c r="L80"/>
  <c r="L82"/>
  <c r="L84"/>
  <c r="L14" i="20"/>
  <c r="L16"/>
  <c r="L18"/>
  <c r="L22"/>
  <c r="L24"/>
  <c r="L26"/>
  <c r="L28"/>
  <c r="L30"/>
  <c r="L32"/>
  <c r="L36"/>
  <c r="L38"/>
  <c r="L40"/>
  <c r="L42"/>
  <c r="L44"/>
  <c r="L46"/>
  <c r="L50"/>
  <c r="L52"/>
  <c r="L54"/>
  <c r="L56"/>
  <c r="L58"/>
  <c r="L60"/>
  <c r="L64"/>
  <c r="L66"/>
  <c r="L68"/>
  <c r="L70"/>
  <c r="L72"/>
  <c r="L74"/>
  <c r="L76"/>
  <c r="L80"/>
  <c r="L82"/>
  <c r="L84"/>
  <c r="L15" i="7"/>
  <c r="L17"/>
  <c r="L19"/>
  <c r="L21"/>
  <c r="L23"/>
  <c r="L25"/>
  <c r="L29"/>
  <c r="L31"/>
  <c r="L33"/>
  <c r="L35"/>
  <c r="L37"/>
  <c r="L39"/>
  <c r="L43"/>
  <c r="L45"/>
  <c r="L47"/>
  <c r="L49"/>
  <c r="L51"/>
  <c r="L53"/>
  <c r="L57"/>
  <c r="L59"/>
  <c r="L61"/>
  <c r="L63"/>
  <c r="L65"/>
  <c r="L67"/>
  <c r="L38" i="27"/>
  <c r="L40"/>
  <c r="L42"/>
  <c r="L44"/>
  <c r="L46"/>
  <c r="L50"/>
  <c r="L52"/>
  <c r="L54"/>
  <c r="L56"/>
  <c r="L58"/>
  <c r="L60"/>
  <c r="L64"/>
  <c r="L66"/>
  <c r="L68"/>
  <c r="L70"/>
  <c r="L72"/>
  <c r="L74"/>
  <c r="L76"/>
  <c r="L80"/>
  <c r="L82"/>
  <c r="L84"/>
  <c r="L15" i="28"/>
  <c r="L17"/>
  <c r="L19"/>
  <c r="L21"/>
  <c r="L23"/>
  <c r="L25"/>
  <c r="L29"/>
  <c r="L31"/>
  <c r="L33"/>
  <c r="L35"/>
  <c r="L37"/>
  <c r="L39"/>
  <c r="L43"/>
  <c r="L45"/>
  <c r="L47"/>
  <c r="L49"/>
  <c r="L51"/>
  <c r="L53"/>
  <c r="L57"/>
  <c r="L59"/>
  <c r="L61"/>
  <c r="L63"/>
  <c r="L65"/>
  <c r="L67"/>
  <c r="L71"/>
  <c r="L73"/>
  <c r="L75"/>
  <c r="L77"/>
  <c r="L79"/>
  <c r="L81"/>
  <c r="L85"/>
  <c r="L87"/>
  <c r="L89"/>
  <c r="L15" i="20"/>
  <c r="L17"/>
  <c r="L19"/>
  <c r="L21"/>
  <c r="L23"/>
  <c r="L25"/>
  <c r="L29"/>
  <c r="L31"/>
  <c r="L33"/>
  <c r="L35"/>
  <c r="L37"/>
  <c r="L39"/>
  <c r="L43"/>
  <c r="L45"/>
  <c r="L47"/>
  <c r="L49"/>
  <c r="L51"/>
  <c r="L53"/>
  <c r="L57"/>
  <c r="L59"/>
  <c r="L61"/>
  <c r="L63"/>
  <c r="L65"/>
  <c r="L67"/>
  <c r="L71"/>
  <c r="L73"/>
  <c r="L75"/>
  <c r="L77"/>
  <c r="L79"/>
  <c r="L81"/>
  <c r="L85"/>
  <c r="L87"/>
  <c r="Q54" i="2"/>
  <c r="O54" s="1"/>
  <c r="Q53"/>
  <c r="O53" s="1"/>
  <c r="Q52"/>
  <c r="O52" s="1"/>
  <c r="Q38"/>
  <c r="O38" s="1"/>
  <c r="Q37"/>
  <c r="O37" s="1"/>
  <c r="Q36"/>
  <c r="O36" s="1"/>
  <c r="L84" i="7"/>
  <c r="L82"/>
  <c r="L80"/>
  <c r="L76"/>
  <c r="L74"/>
  <c r="L72"/>
  <c r="L70"/>
  <c r="L68"/>
  <c r="L66"/>
  <c r="L64"/>
  <c r="L60"/>
  <c r="L58"/>
  <c r="L56"/>
  <c r="L54"/>
  <c r="L52"/>
  <c r="L50"/>
  <c r="L46"/>
  <c r="L44"/>
  <c r="L42"/>
  <c r="L40"/>
  <c r="L38"/>
  <c r="L36"/>
  <c r="L32"/>
  <c r="L30"/>
  <c r="L28"/>
  <c r="L26"/>
  <c r="L24"/>
  <c r="L22"/>
  <c r="L18"/>
  <c r="L16"/>
  <c r="L14"/>
  <c r="AE101" i="2" l="1"/>
  <c r="F99"/>
  <c r="P21" i="21"/>
  <c r="P81" i="24"/>
  <c r="P89"/>
  <c r="P75" i="14"/>
  <c r="P79"/>
  <c r="P87" i="9"/>
  <c r="P87" i="23"/>
  <c r="P79" i="24"/>
  <c r="P46" i="19"/>
  <c r="P81" i="23"/>
  <c r="P39" i="17"/>
  <c r="P77" i="14"/>
  <c r="P77" i="13"/>
  <c r="P77" i="23"/>
  <c r="P72" i="19"/>
  <c r="P76"/>
  <c r="P32"/>
  <c r="P38"/>
  <c r="P42"/>
  <c r="P52"/>
  <c r="P56"/>
  <c r="P60"/>
  <c r="P66"/>
  <c r="P70"/>
  <c r="P74"/>
  <c r="P75" i="13"/>
  <c r="O75" i="24"/>
  <c r="P75" s="1"/>
  <c r="O22" i="18"/>
  <c r="P22" s="1"/>
  <c r="O40"/>
  <c r="P40" s="1"/>
  <c r="O40" i="16"/>
  <c r="P40" s="1"/>
  <c r="O22" i="13"/>
  <c r="P22" s="1"/>
  <c r="O36"/>
  <c r="P36" s="1"/>
  <c r="O50"/>
  <c r="P50" s="1"/>
  <c r="O64"/>
  <c r="P64" s="1"/>
  <c r="O82"/>
  <c r="P82" s="1"/>
  <c r="O19" i="18"/>
  <c r="P19" s="1"/>
  <c r="O33"/>
  <c r="P33" s="1"/>
  <c r="O47"/>
  <c r="P47" s="1"/>
  <c r="O57"/>
  <c r="P57" s="1"/>
  <c r="O75"/>
  <c r="P75" s="1"/>
  <c r="P72" i="24"/>
  <c r="O80" i="13"/>
  <c r="P80" s="1"/>
  <c r="O35" i="21"/>
  <c r="P35" s="1"/>
  <c r="O53"/>
  <c r="O63"/>
  <c r="P63" s="1"/>
  <c r="P22" i="9"/>
  <c r="O46"/>
  <c r="P46" s="1"/>
  <c r="O60"/>
  <c r="P60" s="1"/>
  <c r="O17" i="18"/>
  <c r="P17" s="1"/>
  <c r="O31"/>
  <c r="P31" s="1"/>
  <c r="O45"/>
  <c r="P45" s="1"/>
  <c r="O73"/>
  <c r="P73" s="1"/>
  <c r="O76" i="24"/>
  <c r="P76" s="1"/>
  <c r="O15" i="26"/>
  <c r="P15" s="1"/>
  <c r="O33"/>
  <c r="P33" s="1"/>
  <c r="O43"/>
  <c r="P43" s="1"/>
  <c r="O77" i="18"/>
  <c r="P77" s="1"/>
  <c r="O14" i="24"/>
  <c r="P14" s="1"/>
  <c r="O28"/>
  <c r="P28" s="1"/>
  <c r="O42"/>
  <c r="P42" s="1"/>
  <c r="O56"/>
  <c r="P56" s="1"/>
  <c r="O70"/>
  <c r="P70" s="1"/>
  <c r="O56" i="9"/>
  <c r="P56" s="1"/>
  <c r="O70"/>
  <c r="P70" s="1"/>
  <c r="O18" i="24"/>
  <c r="P18" s="1"/>
  <c r="O32"/>
  <c r="P32" s="1"/>
  <c r="O46"/>
  <c r="P46" s="1"/>
  <c r="O60"/>
  <c r="P60" s="1"/>
  <c r="O74"/>
  <c r="P74" s="1"/>
  <c r="O84"/>
  <c r="P84" s="1"/>
  <c r="P75" i="10"/>
  <c r="P21" i="17"/>
  <c r="P25"/>
  <c r="P53"/>
  <c r="P63"/>
  <c r="P73" i="14"/>
  <c r="P19" i="22"/>
  <c r="P37"/>
  <c r="P73" i="13"/>
  <c r="P53" i="21"/>
  <c r="M61" i="26"/>
  <c r="P61" s="1"/>
  <c r="P35" i="17"/>
  <c r="P49"/>
  <c r="O49" i="21"/>
  <c r="P49" s="1"/>
  <c r="O67"/>
  <c r="P67" s="1"/>
  <c r="O87"/>
  <c r="P87" s="1"/>
  <c r="P47" i="22"/>
  <c r="O37" i="21"/>
  <c r="P37" s="1"/>
  <c r="O65"/>
  <c r="P65" s="1"/>
  <c r="O19" i="26"/>
  <c r="P19" s="1"/>
  <c r="O29"/>
  <c r="P29" s="1"/>
  <c r="O47"/>
  <c r="P47" s="1"/>
  <c r="O79" i="21"/>
  <c r="P79" s="1"/>
  <c r="O17" i="26"/>
  <c r="P17" s="1"/>
  <c r="O31"/>
  <c r="P31" s="1"/>
  <c r="O45"/>
  <c r="P45" s="1"/>
  <c r="O59"/>
  <c r="P59" s="1"/>
  <c r="P73" i="23"/>
  <c r="P14" i="26"/>
  <c r="P60"/>
  <c r="M67" i="9"/>
  <c r="P67" s="1"/>
  <c r="O19" i="24"/>
  <c r="P19" s="1"/>
  <c r="O29"/>
  <c r="P29" s="1"/>
  <c r="O47"/>
  <c r="P47" s="1"/>
  <c r="O57"/>
  <c r="P57" s="1"/>
  <c r="O25" i="13"/>
  <c r="P25" s="1"/>
  <c r="O35"/>
  <c r="P35" s="1"/>
  <c r="O53"/>
  <c r="P53" s="1"/>
  <c r="O63"/>
  <c r="P63" s="1"/>
  <c r="P71"/>
  <c r="O81"/>
  <c r="P81" s="1"/>
  <c r="O87"/>
  <c r="O18" i="26"/>
  <c r="P18" s="1"/>
  <c r="O28"/>
  <c r="P28" s="1"/>
  <c r="O46"/>
  <c r="P46" s="1"/>
  <c r="O56"/>
  <c r="P56" s="1"/>
  <c r="P67" i="24"/>
  <c r="M73"/>
  <c r="P73" s="1"/>
  <c r="P25" i="21"/>
  <c r="O71" i="24"/>
  <c r="P71" s="1"/>
  <c r="O85"/>
  <c r="M23" i="13"/>
  <c r="P23" s="1"/>
  <c r="M37"/>
  <c r="M51"/>
  <c r="P51" s="1"/>
  <c r="M65"/>
  <c r="P65" s="1"/>
  <c r="P87"/>
  <c r="P68" i="16"/>
  <c r="O16" i="18"/>
  <c r="P16" s="1"/>
  <c r="O26"/>
  <c r="P26" s="1"/>
  <c r="O36"/>
  <c r="P36" s="1"/>
  <c r="O44"/>
  <c r="P44" s="1"/>
  <c r="O58"/>
  <c r="P58" s="1"/>
  <c r="O72"/>
  <c r="P72" s="1"/>
  <c r="O80" i="21"/>
  <c r="P80" s="1"/>
  <c r="M75" i="26"/>
  <c r="P75" s="1"/>
  <c r="M85"/>
  <c r="P85" s="1"/>
  <c r="M15" i="17"/>
  <c r="M29"/>
  <c r="P29" s="1"/>
  <c r="M43"/>
  <c r="P43" s="1"/>
  <c r="M57"/>
  <c r="P57" s="1"/>
  <c r="M71"/>
  <c r="P71" s="1"/>
  <c r="O31"/>
  <c r="P31" s="1"/>
  <c r="O59"/>
  <c r="P59" s="1"/>
  <c r="O26" i="16"/>
  <c r="P26" s="1"/>
  <c r="O54"/>
  <c r="P54" s="1"/>
  <c r="O53" i="18"/>
  <c r="P53" s="1"/>
  <c r="O89"/>
  <c r="O47" i="21"/>
  <c r="P47" s="1"/>
  <c r="O75"/>
  <c r="P75" s="1"/>
  <c r="O85"/>
  <c r="P85" s="1"/>
  <c r="P32" i="22"/>
  <c r="O36" i="9"/>
  <c r="P36" s="1"/>
  <c r="O22" i="21"/>
  <c r="M89" i="19"/>
  <c r="P89" s="1"/>
  <c r="O67" i="15"/>
  <c r="P67" s="1"/>
  <c r="P80" i="16"/>
  <c r="P53" i="10"/>
  <c r="P23" i="21"/>
  <c r="P36" i="19"/>
  <c r="P40"/>
  <c r="P44"/>
  <c r="P50"/>
  <c r="P54"/>
  <c r="P58"/>
  <c r="P64"/>
  <c r="P68"/>
  <c r="P23" i="17"/>
  <c r="P37"/>
  <c r="P51"/>
  <c r="P65"/>
  <c r="P21" i="22"/>
  <c r="P49"/>
  <c r="P31" i="21"/>
  <c r="P17" i="17"/>
  <c r="P45"/>
  <c r="P15" i="16"/>
  <c r="P19"/>
  <c r="P29"/>
  <c r="P33"/>
  <c r="P43"/>
  <c r="P47"/>
  <c r="P57"/>
  <c r="P61"/>
  <c r="P71"/>
  <c r="P75"/>
  <c r="P85"/>
  <c r="P30" i="18"/>
  <c r="P50"/>
  <c r="P68"/>
  <c r="P76"/>
  <c r="P15" i="24"/>
  <c r="P33"/>
  <c r="P43"/>
  <c r="P61"/>
  <c r="P85"/>
  <c r="P15" i="21"/>
  <c r="P19"/>
  <c r="P29"/>
  <c r="P33"/>
  <c r="P61"/>
  <c r="P15" i="17"/>
  <c r="P19"/>
  <c r="P33"/>
  <c r="P47"/>
  <c r="P61"/>
  <c r="M23" i="9"/>
  <c r="P23" s="1"/>
  <c r="M43"/>
  <c r="P43" s="1"/>
  <c r="M47"/>
  <c r="P47" s="1"/>
  <c r="M51"/>
  <c r="P51" s="1"/>
  <c r="M57"/>
  <c r="P57" s="1"/>
  <c r="M61"/>
  <c r="P61" s="1"/>
  <c r="M65"/>
  <c r="P65" s="1"/>
  <c r="P71"/>
  <c r="P73"/>
  <c r="P75"/>
  <c r="P77"/>
  <c r="P79"/>
  <c r="P85"/>
  <c r="O75" i="23"/>
  <c r="P75" s="1"/>
  <c r="O79"/>
  <c r="P79" s="1"/>
  <c r="O85"/>
  <c r="P85" s="1"/>
  <c r="M24" i="15"/>
  <c r="P24" s="1"/>
  <c r="M38"/>
  <c r="P38" s="1"/>
  <c r="M15" i="23"/>
  <c r="P15" s="1"/>
  <c r="M19"/>
  <c r="P19" s="1"/>
  <c r="M23"/>
  <c r="P23" s="1"/>
  <c r="M29"/>
  <c r="P29" s="1"/>
  <c r="M33"/>
  <c r="P33" s="1"/>
  <c r="M37"/>
  <c r="P37" s="1"/>
  <c r="M43"/>
  <c r="P43" s="1"/>
  <c r="M47"/>
  <c r="P47" s="1"/>
  <c r="M51"/>
  <c r="P51" s="1"/>
  <c r="M57"/>
  <c r="P57" s="1"/>
  <c r="M61"/>
  <c r="P61" s="1"/>
  <c r="M65"/>
  <c r="P65" s="1"/>
  <c r="P71"/>
  <c r="O17" i="16"/>
  <c r="P17" s="1"/>
  <c r="O31"/>
  <c r="P31" s="1"/>
  <c r="O45"/>
  <c r="P45" s="1"/>
  <c r="O59"/>
  <c r="P59" s="1"/>
  <c r="O73"/>
  <c r="P73" s="1"/>
  <c r="O77"/>
  <c r="P77" s="1"/>
  <c r="P89" i="18"/>
  <c r="O17" i="24"/>
  <c r="P17" s="1"/>
  <c r="O31"/>
  <c r="P31" s="1"/>
  <c r="O45"/>
  <c r="P45" s="1"/>
  <c r="O59"/>
  <c r="P59" s="1"/>
  <c r="P47" i="13"/>
  <c r="P61"/>
  <c r="O79"/>
  <c r="P79" s="1"/>
  <c r="O89"/>
  <c r="P89" s="1"/>
  <c r="P38" i="21"/>
  <c r="P52"/>
  <c r="P66"/>
  <c r="O16" i="26"/>
  <c r="P16" s="1"/>
  <c r="O30"/>
  <c r="P30" s="1"/>
  <c r="O44"/>
  <c r="P44" s="1"/>
  <c r="O58"/>
  <c r="P58" s="1"/>
  <c r="P26" i="17"/>
  <c r="P40"/>
  <c r="P54"/>
  <c r="P68"/>
  <c r="O23" i="10"/>
  <c r="O29"/>
  <c r="P29" s="1"/>
  <c r="O33"/>
  <c r="P33" s="1"/>
  <c r="O37"/>
  <c r="P37" s="1"/>
  <c r="O43"/>
  <c r="P43" s="1"/>
  <c r="O47"/>
  <c r="P47" s="1"/>
  <c r="O51"/>
  <c r="P51" s="1"/>
  <c r="O57"/>
  <c r="P57" s="1"/>
  <c r="O61"/>
  <c r="P61" s="1"/>
  <c r="O65"/>
  <c r="P65" s="1"/>
  <c r="O71"/>
  <c r="P71" s="1"/>
  <c r="O81"/>
  <c r="P81" s="1"/>
  <c r="P51" i="15"/>
  <c r="P65"/>
  <c r="P52" i="22"/>
  <c r="O36"/>
  <c r="P36" s="1"/>
  <c r="O24"/>
  <c r="P24" s="1"/>
  <c r="O40"/>
  <c r="P40" s="1"/>
  <c r="M15" i="10"/>
  <c r="P15" s="1"/>
  <c r="M19"/>
  <c r="P19" s="1"/>
  <c r="O14" i="18"/>
  <c r="P14" s="1"/>
  <c r="O18"/>
  <c r="P18" s="1"/>
  <c r="O24"/>
  <c r="P24" s="1"/>
  <c r="O28"/>
  <c r="P28" s="1"/>
  <c r="O32"/>
  <c r="P32" s="1"/>
  <c r="O38"/>
  <c r="P38" s="1"/>
  <c r="O42"/>
  <c r="P42" s="1"/>
  <c r="O46"/>
  <c r="P46" s="1"/>
  <c r="O56"/>
  <c r="P56" s="1"/>
  <c r="O60"/>
  <c r="P60" s="1"/>
  <c r="O70"/>
  <c r="P70" s="1"/>
  <c r="O74"/>
  <c r="P74" s="1"/>
  <c r="O80"/>
  <c r="P80" s="1"/>
  <c r="O84"/>
  <c r="P84" s="1"/>
  <c r="P26" i="24"/>
  <c r="P40"/>
  <c r="P54"/>
  <c r="P68"/>
  <c r="O36" i="21"/>
  <c r="P36" s="1"/>
  <c r="O40"/>
  <c r="P40" s="1"/>
  <c r="O50"/>
  <c r="P50" s="1"/>
  <c r="O54"/>
  <c r="P54" s="1"/>
  <c r="O64"/>
  <c r="P64" s="1"/>
  <c r="O68"/>
  <c r="P68" s="1"/>
  <c r="O82"/>
  <c r="P82" s="1"/>
  <c r="P21" i="26"/>
  <c r="P35"/>
  <c r="P49"/>
  <c r="M63"/>
  <c r="P63" s="1"/>
  <c r="P71"/>
  <c r="P81"/>
  <c r="P87"/>
  <c r="O75" i="17"/>
  <c r="P75" s="1"/>
  <c r="O85"/>
  <c r="P85" s="1"/>
  <c r="P73" i="10"/>
  <c r="P85"/>
  <c r="O79" i="15"/>
  <c r="P79" s="1"/>
  <c r="O22" i="14"/>
  <c r="P22" s="1"/>
  <c r="O26"/>
  <c r="P26" s="1"/>
  <c r="O36"/>
  <c r="P36" s="1"/>
  <c r="O40"/>
  <c r="P40" s="1"/>
  <c r="O50"/>
  <c r="P50" s="1"/>
  <c r="O54"/>
  <c r="P54" s="1"/>
  <c r="O64"/>
  <c r="P64" s="1"/>
  <c r="O68"/>
  <c r="P68" s="1"/>
  <c r="O80"/>
  <c r="P80" s="1"/>
  <c r="P26" i="12"/>
  <c r="P40"/>
  <c r="P54"/>
  <c r="P68"/>
  <c r="P82"/>
  <c r="P54" i="22"/>
  <c r="O80"/>
  <c r="P80" s="1"/>
  <c r="O68"/>
  <c r="P68" s="1"/>
  <c r="O38" i="9"/>
  <c r="P38" s="1"/>
  <c r="O22" i="16"/>
  <c r="P22" s="1"/>
  <c r="O36"/>
  <c r="P36" s="1"/>
  <c r="O50"/>
  <c r="P50" s="1"/>
  <c r="O64"/>
  <c r="P64" s="1"/>
  <c r="O82"/>
  <c r="P82" s="1"/>
  <c r="O63" i="18"/>
  <c r="P63" s="1"/>
  <c r="O81"/>
  <c r="P81" s="1"/>
  <c r="P24" i="24"/>
  <c r="P52"/>
  <c r="P22" i="21"/>
  <c r="O43"/>
  <c r="P43" s="1"/>
  <c r="O57"/>
  <c r="P57" s="1"/>
  <c r="O71"/>
  <c r="P71" s="1"/>
  <c r="O24" i="17"/>
  <c r="P24" s="1"/>
  <c r="O38"/>
  <c r="P38" s="1"/>
  <c r="O52"/>
  <c r="P52" s="1"/>
  <c r="O66"/>
  <c r="P66" s="1"/>
  <c r="O23" i="19"/>
  <c r="P23" s="1"/>
  <c r="O37"/>
  <c r="P37" s="1"/>
  <c r="O51"/>
  <c r="P51" s="1"/>
  <c r="O65"/>
  <c r="P65" s="1"/>
  <c r="P18" i="9"/>
  <c r="O51" i="18"/>
  <c r="P51" s="1"/>
  <c r="O65"/>
  <c r="P65" s="1"/>
  <c r="O80" i="24"/>
  <c r="P80" s="1"/>
  <c r="O26" i="21"/>
  <c r="P26" s="1"/>
  <c r="O45"/>
  <c r="P45" s="1"/>
  <c r="O59"/>
  <c r="P59" s="1"/>
  <c r="O73"/>
  <c r="P73" s="1"/>
  <c r="O25" i="26"/>
  <c r="P25" s="1"/>
  <c r="O39"/>
  <c r="P39" s="1"/>
  <c r="P77"/>
  <c r="P35" i="19"/>
  <c r="P49"/>
  <c r="P63"/>
  <c r="M81"/>
  <c r="P81" s="1"/>
  <c r="P87"/>
  <c r="M77" i="10"/>
  <c r="P77" s="1"/>
  <c r="O87"/>
  <c r="P87" s="1"/>
  <c r="M53" i="15"/>
  <c r="P53" s="1"/>
  <c r="O22" i="12"/>
  <c r="P22" s="1"/>
  <c r="O36"/>
  <c r="P36" s="1"/>
  <c r="O50"/>
  <c r="P50" s="1"/>
  <c r="O64"/>
  <c r="P64" s="1"/>
  <c r="P80"/>
  <c r="O79" i="10"/>
  <c r="P79" s="1"/>
  <c r="O52" i="16"/>
  <c r="P52" s="1"/>
  <c r="O66"/>
  <c r="P66" s="1"/>
  <c r="P82" i="22"/>
  <c r="O77" i="21"/>
  <c r="P77" s="1"/>
  <c r="O79" i="26"/>
  <c r="P79" s="1"/>
  <c r="O22" i="17"/>
  <c r="P22" s="1"/>
  <c r="O36"/>
  <c r="P36" s="1"/>
  <c r="O50"/>
  <c r="P50" s="1"/>
  <c r="O64"/>
  <c r="P64" s="1"/>
  <c r="O82"/>
  <c r="P82" s="1"/>
  <c r="O82" i="14"/>
  <c r="P82" s="1"/>
  <c r="O24" i="16"/>
  <c r="P24" s="1"/>
  <c r="O38"/>
  <c r="P38" s="1"/>
  <c r="O63" i="15"/>
  <c r="P63" s="1"/>
  <c r="O81"/>
  <c r="P81" s="1"/>
  <c r="O87"/>
  <c r="P87" s="1"/>
  <c r="O24" i="21"/>
  <c r="P24" s="1"/>
  <c r="O73" i="26"/>
  <c r="P73" s="1"/>
  <c r="O25" i="19"/>
  <c r="P25" s="1"/>
  <c r="O39"/>
  <c r="P39" s="1"/>
  <c r="O53"/>
  <c r="P53" s="1"/>
  <c r="O67"/>
  <c r="P67" s="1"/>
  <c r="O24" i="12"/>
  <c r="P24" s="1"/>
  <c r="O38"/>
  <c r="P38" s="1"/>
  <c r="M18" i="6"/>
  <c r="O18"/>
  <c r="M23"/>
  <c r="O23"/>
  <c r="M27"/>
  <c r="O27"/>
  <c r="M32"/>
  <c r="O32"/>
  <c r="M37"/>
  <c r="O37"/>
  <c r="M41"/>
  <c r="O41"/>
  <c r="M46"/>
  <c r="O46"/>
  <c r="M51"/>
  <c r="O51"/>
  <c r="M55"/>
  <c r="O55"/>
  <c r="M60"/>
  <c r="O60"/>
  <c r="M65"/>
  <c r="O65"/>
  <c r="M69"/>
  <c r="O69"/>
  <c r="M74"/>
  <c r="O74"/>
  <c r="M78"/>
  <c r="O78"/>
  <c r="M83"/>
  <c r="O83"/>
  <c r="M90"/>
  <c r="O90"/>
  <c r="M16"/>
  <c r="O16"/>
  <c r="M20"/>
  <c r="O20"/>
  <c r="M25"/>
  <c r="O25"/>
  <c r="M30"/>
  <c r="O30"/>
  <c r="M34"/>
  <c r="O34"/>
  <c r="M39"/>
  <c r="O39"/>
  <c r="M44"/>
  <c r="O44"/>
  <c r="M48"/>
  <c r="O48"/>
  <c r="M53"/>
  <c r="O53"/>
  <c r="M58"/>
  <c r="O58"/>
  <c r="M62"/>
  <c r="O62"/>
  <c r="M67"/>
  <c r="O67"/>
  <c r="M72"/>
  <c r="O72"/>
  <c r="M76"/>
  <c r="O76"/>
  <c r="M81"/>
  <c r="O81"/>
  <c r="M86"/>
  <c r="O86"/>
  <c r="O17"/>
  <c r="M17"/>
  <c r="O22"/>
  <c r="M22"/>
  <c r="O26"/>
  <c r="M26"/>
  <c r="O31"/>
  <c r="M31"/>
  <c r="O36"/>
  <c r="M36"/>
  <c r="O40"/>
  <c r="M40"/>
  <c r="O45"/>
  <c r="M45"/>
  <c r="O50"/>
  <c r="M50"/>
  <c r="O54"/>
  <c r="M54"/>
  <c r="O59"/>
  <c r="M59"/>
  <c r="O64"/>
  <c r="M64"/>
  <c r="O68"/>
  <c r="M68"/>
  <c r="O73"/>
  <c r="M73"/>
  <c r="O77"/>
  <c r="M77"/>
  <c r="O82"/>
  <c r="M82"/>
  <c r="O88"/>
  <c r="M88"/>
  <c r="O15"/>
  <c r="M15"/>
  <c r="O19"/>
  <c r="M19"/>
  <c r="O24"/>
  <c r="M24"/>
  <c r="O29"/>
  <c r="M29"/>
  <c r="O33"/>
  <c r="M33"/>
  <c r="O38"/>
  <c r="M38"/>
  <c r="O43"/>
  <c r="M43"/>
  <c r="O47"/>
  <c r="M47"/>
  <c r="O52"/>
  <c r="M52"/>
  <c r="O57"/>
  <c r="M57"/>
  <c r="O61"/>
  <c r="M61"/>
  <c r="O66"/>
  <c r="M66"/>
  <c r="O71"/>
  <c r="M71"/>
  <c r="O75"/>
  <c r="M75"/>
  <c r="O80"/>
  <c r="M80"/>
  <c r="O85"/>
  <c r="M85"/>
  <c r="M42" i="9"/>
  <c r="O42"/>
  <c r="O26"/>
  <c r="M26"/>
  <c r="O14"/>
  <c r="M14"/>
  <c r="M40"/>
  <c r="O40"/>
  <c r="M28"/>
  <c r="O28"/>
  <c r="P66" i="22"/>
  <c r="P67" i="13"/>
  <c r="P67" i="10"/>
  <c r="P58" i="22"/>
  <c r="P17" i="13"/>
  <c r="P21"/>
  <c r="P31"/>
  <c r="P39"/>
  <c r="P45"/>
  <c r="P59"/>
  <c r="P21" i="10"/>
  <c r="P25"/>
  <c r="P31"/>
  <c r="P35"/>
  <c r="P39"/>
  <c r="P45"/>
  <c r="P59"/>
  <c r="P15" i="13"/>
  <c r="P19"/>
  <c r="P29"/>
  <c r="P33"/>
  <c r="P37"/>
  <c r="P43"/>
  <c r="P49"/>
  <c r="P57"/>
  <c r="P23" i="10"/>
  <c r="P49"/>
  <c r="P63"/>
  <c r="M14" i="7"/>
  <c r="O14"/>
  <c r="M18"/>
  <c r="O18"/>
  <c r="M24"/>
  <c r="O24"/>
  <c r="M28"/>
  <c r="O28"/>
  <c r="M32"/>
  <c r="O32"/>
  <c r="M38"/>
  <c r="O38"/>
  <c r="M42"/>
  <c r="O42"/>
  <c r="M46"/>
  <c r="O46"/>
  <c r="M52"/>
  <c r="O52"/>
  <c r="M56"/>
  <c r="O56"/>
  <c r="M60"/>
  <c r="O60"/>
  <c r="M66"/>
  <c r="O66"/>
  <c r="M70"/>
  <c r="O70"/>
  <c r="O74"/>
  <c r="M74"/>
  <c r="O80"/>
  <c r="M80"/>
  <c r="O84"/>
  <c r="M84"/>
  <c r="M85" i="20"/>
  <c r="O85"/>
  <c r="M79"/>
  <c r="O79"/>
  <c r="M75"/>
  <c r="O75"/>
  <c r="M71"/>
  <c r="O71"/>
  <c r="M65"/>
  <c r="O65"/>
  <c r="M61"/>
  <c r="O61"/>
  <c r="M57"/>
  <c r="O57"/>
  <c r="M51"/>
  <c r="O51"/>
  <c r="M47"/>
  <c r="O47"/>
  <c r="M43"/>
  <c r="O43"/>
  <c r="M37"/>
  <c r="O37"/>
  <c r="M33"/>
  <c r="O33"/>
  <c r="M29"/>
  <c r="O29"/>
  <c r="M23"/>
  <c r="O23"/>
  <c r="M19"/>
  <c r="O19"/>
  <c r="M16" i="7"/>
  <c r="O16"/>
  <c r="M22"/>
  <c r="O22"/>
  <c r="M26"/>
  <c r="O26"/>
  <c r="M30"/>
  <c r="O30"/>
  <c r="M36"/>
  <c r="O36"/>
  <c r="M40"/>
  <c r="O40"/>
  <c r="M44"/>
  <c r="O44"/>
  <c r="M50"/>
  <c r="O50"/>
  <c r="M54"/>
  <c r="O54"/>
  <c r="M58"/>
  <c r="O58"/>
  <c r="M64"/>
  <c r="O64"/>
  <c r="M68"/>
  <c r="O68"/>
  <c r="O72"/>
  <c r="M72"/>
  <c r="O76"/>
  <c r="M76"/>
  <c r="O82"/>
  <c r="M82"/>
  <c r="M87" i="20"/>
  <c r="O87"/>
  <c r="M81"/>
  <c r="O81"/>
  <c r="M77"/>
  <c r="O77"/>
  <c r="M73"/>
  <c r="O73"/>
  <c r="M67"/>
  <c r="O67"/>
  <c r="M63"/>
  <c r="O63"/>
  <c r="M59"/>
  <c r="O59"/>
  <c r="M53"/>
  <c r="O53"/>
  <c r="M49"/>
  <c r="O49"/>
  <c r="M45"/>
  <c r="O45"/>
  <c r="M39"/>
  <c r="O39"/>
  <c r="M35"/>
  <c r="O35"/>
  <c r="M31"/>
  <c r="O31"/>
  <c r="M25"/>
  <c r="O25"/>
  <c r="M21"/>
  <c r="O21"/>
  <c r="M17"/>
  <c r="O17"/>
  <c r="M89" i="28"/>
  <c r="O89"/>
  <c r="M85"/>
  <c r="O85"/>
  <c r="M79"/>
  <c r="O79"/>
  <c r="M75"/>
  <c r="O75"/>
  <c r="M71"/>
  <c r="O71"/>
  <c r="M65"/>
  <c r="O65"/>
  <c r="M61"/>
  <c r="O61"/>
  <c r="M57"/>
  <c r="O57"/>
  <c r="M51"/>
  <c r="O51"/>
  <c r="M47"/>
  <c r="O47"/>
  <c r="M43"/>
  <c r="O43"/>
  <c r="M37"/>
  <c r="O37"/>
  <c r="M33"/>
  <c r="O33"/>
  <c r="M29"/>
  <c r="O29"/>
  <c r="M23"/>
  <c r="O23"/>
  <c r="M19"/>
  <c r="O19"/>
  <c r="M15"/>
  <c r="O15"/>
  <c r="M82" i="27"/>
  <c r="O82"/>
  <c r="M76"/>
  <c r="O76"/>
  <c r="M72"/>
  <c r="O72"/>
  <c r="M68"/>
  <c r="O68"/>
  <c r="M64"/>
  <c r="O64"/>
  <c r="M58"/>
  <c r="O58"/>
  <c r="M54"/>
  <c r="O54"/>
  <c r="M50"/>
  <c r="O50"/>
  <c r="M44"/>
  <c r="O44"/>
  <c r="M40"/>
  <c r="O40"/>
  <c r="O67" i="7"/>
  <c r="M67"/>
  <c r="O63"/>
  <c r="M63"/>
  <c r="O59"/>
  <c r="M59"/>
  <c r="O53"/>
  <c r="M53"/>
  <c r="O49"/>
  <c r="M49"/>
  <c r="O45"/>
  <c r="M45"/>
  <c r="O39"/>
  <c r="M39"/>
  <c r="O35"/>
  <c r="M35"/>
  <c r="O31"/>
  <c r="M31"/>
  <c r="O25"/>
  <c r="M25"/>
  <c r="O21"/>
  <c r="M21"/>
  <c r="O17"/>
  <c r="M17"/>
  <c r="O84" i="20"/>
  <c r="M84"/>
  <c r="O80"/>
  <c r="M80"/>
  <c r="O74"/>
  <c r="M74"/>
  <c r="O70"/>
  <c r="M70"/>
  <c r="O66"/>
  <c r="M66"/>
  <c r="O60"/>
  <c r="M60"/>
  <c r="O56"/>
  <c r="M56"/>
  <c r="O52"/>
  <c r="M52"/>
  <c r="O46"/>
  <c r="M46"/>
  <c r="O42"/>
  <c r="M42"/>
  <c r="O38"/>
  <c r="M38"/>
  <c r="O32"/>
  <c r="M32"/>
  <c r="O28"/>
  <c r="M28"/>
  <c r="O24"/>
  <c r="M24"/>
  <c r="O18"/>
  <c r="M18"/>
  <c r="O14"/>
  <c r="M14"/>
  <c r="O82" i="28"/>
  <c r="M82"/>
  <c r="O76"/>
  <c r="M76"/>
  <c r="O72"/>
  <c r="M72"/>
  <c r="O68"/>
  <c r="M68"/>
  <c r="O64"/>
  <c r="M64"/>
  <c r="O58"/>
  <c r="M58"/>
  <c r="O54"/>
  <c r="M54"/>
  <c r="O50"/>
  <c r="M50"/>
  <c r="O44"/>
  <c r="M44"/>
  <c r="O40"/>
  <c r="M40"/>
  <c r="O36"/>
  <c r="M36"/>
  <c r="O30"/>
  <c r="M30"/>
  <c r="O26"/>
  <c r="M26"/>
  <c r="O22"/>
  <c r="M22"/>
  <c r="O16"/>
  <c r="M16"/>
  <c r="O89" i="27"/>
  <c r="M89"/>
  <c r="O85"/>
  <c r="M85"/>
  <c r="O79"/>
  <c r="M79"/>
  <c r="O75"/>
  <c r="M75"/>
  <c r="O71"/>
  <c r="M71"/>
  <c r="O65"/>
  <c r="M65"/>
  <c r="O61"/>
  <c r="M61"/>
  <c r="O57"/>
  <c r="M57"/>
  <c r="O51"/>
  <c r="M51"/>
  <c r="O47"/>
  <c r="M47"/>
  <c r="O43"/>
  <c r="M43"/>
  <c r="M32"/>
  <c r="O32"/>
  <c r="M28"/>
  <c r="O28"/>
  <c r="M24"/>
  <c r="O24"/>
  <c r="M18"/>
  <c r="O18"/>
  <c r="M14"/>
  <c r="O14"/>
  <c r="M87" i="8"/>
  <c r="O87"/>
  <c r="M81"/>
  <c r="O81"/>
  <c r="M77"/>
  <c r="O77"/>
  <c r="M73"/>
  <c r="O73"/>
  <c r="M67"/>
  <c r="O67"/>
  <c r="M63"/>
  <c r="O63"/>
  <c r="M59"/>
  <c r="O59"/>
  <c r="M53"/>
  <c r="O53"/>
  <c r="M49"/>
  <c r="O49"/>
  <c r="M45"/>
  <c r="O45"/>
  <c r="M39"/>
  <c r="O39"/>
  <c r="M35"/>
  <c r="O35"/>
  <c r="M31"/>
  <c r="O31"/>
  <c r="M25"/>
  <c r="O25"/>
  <c r="M21"/>
  <c r="O21"/>
  <c r="M17"/>
  <c r="O17"/>
  <c r="M89" i="25"/>
  <c r="O89"/>
  <c r="M85"/>
  <c r="O85"/>
  <c r="M79"/>
  <c r="O79"/>
  <c r="M75"/>
  <c r="O75"/>
  <c r="M71"/>
  <c r="O71"/>
  <c r="M65"/>
  <c r="O65"/>
  <c r="O39" i="27"/>
  <c r="M39"/>
  <c r="O35"/>
  <c r="M35"/>
  <c r="O31"/>
  <c r="M31"/>
  <c r="O25"/>
  <c r="M25"/>
  <c r="O21"/>
  <c r="M21"/>
  <c r="O17"/>
  <c r="M17"/>
  <c r="O84" i="8"/>
  <c r="M84"/>
  <c r="O80"/>
  <c r="M80"/>
  <c r="O74"/>
  <c r="M74"/>
  <c r="O70"/>
  <c r="M70"/>
  <c r="O66"/>
  <c r="M66"/>
  <c r="O60"/>
  <c r="M60"/>
  <c r="O56"/>
  <c r="M56"/>
  <c r="O52"/>
  <c r="M52"/>
  <c r="O46"/>
  <c r="M46"/>
  <c r="O42"/>
  <c r="M42"/>
  <c r="O38"/>
  <c r="M38"/>
  <c r="O32"/>
  <c r="M32"/>
  <c r="O28"/>
  <c r="M28"/>
  <c r="O24"/>
  <c r="M24"/>
  <c r="O18"/>
  <c r="M18"/>
  <c r="O14"/>
  <c r="M14"/>
  <c r="O82" i="25"/>
  <c r="M82"/>
  <c r="O76"/>
  <c r="M76"/>
  <c r="O72"/>
  <c r="M72"/>
  <c r="O68"/>
  <c r="M68"/>
  <c r="M59"/>
  <c r="O59"/>
  <c r="M53"/>
  <c r="O53"/>
  <c r="M49"/>
  <c r="O49"/>
  <c r="M45"/>
  <c r="O45"/>
  <c r="M39"/>
  <c r="O39"/>
  <c r="M35"/>
  <c r="O35"/>
  <c r="M31"/>
  <c r="O31"/>
  <c r="M25"/>
  <c r="O25"/>
  <c r="M21"/>
  <c r="O21"/>
  <c r="M17"/>
  <c r="O17"/>
  <c r="M84" i="11"/>
  <c r="O84"/>
  <c r="M80"/>
  <c r="O80"/>
  <c r="M74"/>
  <c r="O74"/>
  <c r="M70"/>
  <c r="O70"/>
  <c r="M66"/>
  <c r="O66"/>
  <c r="M60"/>
  <c r="O60"/>
  <c r="M56"/>
  <c r="O56"/>
  <c r="M52"/>
  <c r="O52"/>
  <c r="M46"/>
  <c r="O46"/>
  <c r="M42"/>
  <c r="O42"/>
  <c r="M38"/>
  <c r="O38"/>
  <c r="M32"/>
  <c r="O32"/>
  <c r="M28"/>
  <c r="O28"/>
  <c r="M24"/>
  <c r="O24"/>
  <c r="M18"/>
  <c r="O18"/>
  <c r="M14"/>
  <c r="O14"/>
  <c r="O64" i="25"/>
  <c r="M64"/>
  <c r="O58"/>
  <c r="M58"/>
  <c r="O54"/>
  <c r="M54"/>
  <c r="O50"/>
  <c r="M50"/>
  <c r="O44"/>
  <c r="M44"/>
  <c r="O40"/>
  <c r="M40"/>
  <c r="O36"/>
  <c r="M36"/>
  <c r="O30"/>
  <c r="M30"/>
  <c r="O26"/>
  <c r="M26"/>
  <c r="O22"/>
  <c r="M22"/>
  <c r="O16"/>
  <c r="M16"/>
  <c r="O89" i="11"/>
  <c r="M89"/>
  <c r="O85"/>
  <c r="M85"/>
  <c r="O79"/>
  <c r="M79"/>
  <c r="O75"/>
  <c r="M75"/>
  <c r="O71"/>
  <c r="M71"/>
  <c r="O65"/>
  <c r="M65"/>
  <c r="O61"/>
  <c r="M61"/>
  <c r="O57"/>
  <c r="M57"/>
  <c r="O51"/>
  <c r="M51"/>
  <c r="O47"/>
  <c r="M47"/>
  <c r="O43"/>
  <c r="M43"/>
  <c r="O37"/>
  <c r="M37"/>
  <c r="O33"/>
  <c r="M33"/>
  <c r="O29"/>
  <c r="M29"/>
  <c r="O23"/>
  <c r="M23"/>
  <c r="O19"/>
  <c r="M19"/>
  <c r="O15"/>
  <c r="M15"/>
  <c r="M73" i="7"/>
  <c r="O73"/>
  <c r="M77"/>
  <c r="O77"/>
  <c r="M81"/>
  <c r="O81"/>
  <c r="M87"/>
  <c r="O87"/>
  <c r="AD94" i="2"/>
  <c r="M81" i="9"/>
  <c r="O81"/>
  <c r="O84"/>
  <c r="M84"/>
  <c r="O80"/>
  <c r="M80"/>
  <c r="J49" i="30"/>
  <c r="W49" s="1"/>
  <c r="X49"/>
  <c r="BG63"/>
  <c r="BH63" s="1"/>
  <c r="BG64"/>
  <c r="BH64" s="1"/>
  <c r="BG65"/>
  <c r="BH65" s="1"/>
  <c r="BG93"/>
  <c r="BH93" s="1"/>
  <c r="BG94"/>
  <c r="BH94" s="1"/>
  <c r="BG95"/>
  <c r="BH95" s="1"/>
  <c r="BG123"/>
  <c r="BH123" s="1"/>
  <c r="BG124"/>
  <c r="BH124" s="1"/>
  <c r="BG125"/>
  <c r="BH125" s="1"/>
  <c r="J17"/>
  <c r="W17" s="1"/>
  <c r="X17"/>
  <c r="J64"/>
  <c r="W64" s="1"/>
  <c r="X64"/>
  <c r="J94"/>
  <c r="W94" s="1"/>
  <c r="X94"/>
  <c r="J124"/>
  <c r="W124" s="1"/>
  <c r="X124"/>
  <c r="J79"/>
  <c r="W79" s="1"/>
  <c r="X79"/>
  <c r="J109"/>
  <c r="W109" s="1"/>
  <c r="X109"/>
  <c r="AH80"/>
  <c r="AH81" s="1"/>
  <c r="AH87"/>
  <c r="AH110"/>
  <c r="AH111" s="1"/>
  <c r="AH117"/>
  <c r="J19"/>
  <c r="W19" s="1"/>
  <c r="X19"/>
  <c r="J35"/>
  <c r="W35" s="1"/>
  <c r="X35"/>
  <c r="J33"/>
  <c r="W33" s="1"/>
  <c r="X33"/>
  <c r="D65"/>
  <c r="V65" s="1"/>
  <c r="R65"/>
  <c r="U65"/>
  <c r="D64"/>
  <c r="V64" s="1"/>
  <c r="R64"/>
  <c r="U64"/>
  <c r="D63"/>
  <c r="V63" s="1"/>
  <c r="R63"/>
  <c r="U63"/>
  <c r="U62"/>
  <c r="D62"/>
  <c r="V62" s="1"/>
  <c r="R62"/>
  <c r="D80"/>
  <c r="V80" s="1"/>
  <c r="R80"/>
  <c r="U80"/>
  <c r="D79"/>
  <c r="V79" s="1"/>
  <c r="R79"/>
  <c r="U79"/>
  <c r="D78"/>
  <c r="V78" s="1"/>
  <c r="R78"/>
  <c r="U78"/>
  <c r="U77"/>
  <c r="D77"/>
  <c r="V77" s="1"/>
  <c r="R77"/>
  <c r="D95"/>
  <c r="V95" s="1"/>
  <c r="R95"/>
  <c r="U95"/>
  <c r="D94"/>
  <c r="V94" s="1"/>
  <c r="R94"/>
  <c r="U94"/>
  <c r="D93"/>
  <c r="V93" s="1"/>
  <c r="R93"/>
  <c r="U93"/>
  <c r="U92"/>
  <c r="D92"/>
  <c r="V92" s="1"/>
  <c r="R92"/>
  <c r="D110"/>
  <c r="V110" s="1"/>
  <c r="R110"/>
  <c r="U110"/>
  <c r="D109"/>
  <c r="V109" s="1"/>
  <c r="R109"/>
  <c r="U109"/>
  <c r="D108"/>
  <c r="V108" s="1"/>
  <c r="R108"/>
  <c r="U108"/>
  <c r="U107"/>
  <c r="D107"/>
  <c r="V107" s="1"/>
  <c r="R107"/>
  <c r="D125"/>
  <c r="V125" s="1"/>
  <c r="R125"/>
  <c r="U125"/>
  <c r="D124"/>
  <c r="V124" s="1"/>
  <c r="R124"/>
  <c r="U124"/>
  <c r="D123"/>
  <c r="V123" s="1"/>
  <c r="R123"/>
  <c r="U123"/>
  <c r="U122"/>
  <c r="D122"/>
  <c r="V122" s="1"/>
  <c r="R122"/>
  <c r="D17"/>
  <c r="V17" s="1"/>
  <c r="R17"/>
  <c r="U17"/>
  <c r="U20"/>
  <c r="D20"/>
  <c r="V20" s="1"/>
  <c r="R20"/>
  <c r="U19"/>
  <c r="D19"/>
  <c r="V19" s="1"/>
  <c r="R19"/>
  <c r="U18"/>
  <c r="D18"/>
  <c r="V18" s="1"/>
  <c r="R18"/>
  <c r="D32"/>
  <c r="V32" s="1"/>
  <c r="R32"/>
  <c r="U32"/>
  <c r="U35"/>
  <c r="D35"/>
  <c r="V35" s="1"/>
  <c r="R35"/>
  <c r="U34"/>
  <c r="D34"/>
  <c r="V34" s="1"/>
  <c r="R34"/>
  <c r="U33"/>
  <c r="D33"/>
  <c r="V33" s="1"/>
  <c r="R33"/>
  <c r="J77"/>
  <c r="W77" s="1"/>
  <c r="X77"/>
  <c r="J107"/>
  <c r="W107" s="1"/>
  <c r="X107"/>
  <c r="BG62"/>
  <c r="BH62" s="1"/>
  <c r="M15" i="20"/>
  <c r="O15"/>
  <c r="M87" i="28"/>
  <c r="O87"/>
  <c r="M81"/>
  <c r="O81"/>
  <c r="M77"/>
  <c r="O77"/>
  <c r="M73"/>
  <c r="O73"/>
  <c r="M67"/>
  <c r="O67"/>
  <c r="M63"/>
  <c r="O63"/>
  <c r="M59"/>
  <c r="O59"/>
  <c r="M53"/>
  <c r="O53"/>
  <c r="M49"/>
  <c r="O49"/>
  <c r="M45"/>
  <c r="O45"/>
  <c r="M39"/>
  <c r="O39"/>
  <c r="M35"/>
  <c r="O35"/>
  <c r="M31"/>
  <c r="O31"/>
  <c r="M25"/>
  <c r="O25"/>
  <c r="M21"/>
  <c r="O21"/>
  <c r="M17"/>
  <c r="O17"/>
  <c r="M84" i="27"/>
  <c r="O84"/>
  <c r="M80"/>
  <c r="O80"/>
  <c r="M74"/>
  <c r="O74"/>
  <c r="M70"/>
  <c r="O70"/>
  <c r="M66"/>
  <c r="O66"/>
  <c r="M60"/>
  <c r="O60"/>
  <c r="M56"/>
  <c r="O56"/>
  <c r="M52"/>
  <c r="O52"/>
  <c r="M46"/>
  <c r="O46"/>
  <c r="M42"/>
  <c r="O42"/>
  <c r="M38"/>
  <c r="O38"/>
  <c r="O65" i="7"/>
  <c r="M65"/>
  <c r="O61"/>
  <c r="M61"/>
  <c r="O57"/>
  <c r="M57"/>
  <c r="O51"/>
  <c r="M51"/>
  <c r="O47"/>
  <c r="M47"/>
  <c r="O43"/>
  <c r="M43"/>
  <c r="O37"/>
  <c r="M37"/>
  <c r="O33"/>
  <c r="M33"/>
  <c r="O29"/>
  <c r="M29"/>
  <c r="O23"/>
  <c r="M23"/>
  <c r="O19"/>
  <c r="M19"/>
  <c r="O15"/>
  <c r="M15"/>
  <c r="O82" i="20"/>
  <c r="M82"/>
  <c r="O76"/>
  <c r="M76"/>
  <c r="O72"/>
  <c r="M72"/>
  <c r="O68"/>
  <c r="M68"/>
  <c r="O64"/>
  <c r="M64"/>
  <c r="O58"/>
  <c r="M58"/>
  <c r="O54"/>
  <c r="M54"/>
  <c r="O50"/>
  <c r="M50"/>
  <c r="O44"/>
  <c r="M44"/>
  <c r="O40"/>
  <c r="M40"/>
  <c r="O36"/>
  <c r="M36"/>
  <c r="O30"/>
  <c r="M30"/>
  <c r="O26"/>
  <c r="M26"/>
  <c r="O22"/>
  <c r="M22"/>
  <c r="O16"/>
  <c r="M16"/>
  <c r="O84" i="28"/>
  <c r="M84"/>
  <c r="O80"/>
  <c r="M80"/>
  <c r="O74"/>
  <c r="M74"/>
  <c r="O70"/>
  <c r="M70"/>
  <c r="O66"/>
  <c r="M66"/>
  <c r="O60"/>
  <c r="M60"/>
  <c r="O56"/>
  <c r="M56"/>
  <c r="O52"/>
  <c r="M52"/>
  <c r="O46"/>
  <c r="M46"/>
  <c r="O42"/>
  <c r="M42"/>
  <c r="O38"/>
  <c r="M38"/>
  <c r="O32"/>
  <c r="M32"/>
  <c r="O28"/>
  <c r="M28"/>
  <c r="O24"/>
  <c r="M24"/>
  <c r="O18"/>
  <c r="M18"/>
  <c r="O14"/>
  <c r="M14"/>
  <c r="O87" i="27"/>
  <c r="M87"/>
  <c r="O81"/>
  <c r="M81"/>
  <c r="O77"/>
  <c r="M77"/>
  <c r="O73"/>
  <c r="M73"/>
  <c r="O67"/>
  <c r="M67"/>
  <c r="O63"/>
  <c r="M63"/>
  <c r="O59"/>
  <c r="M59"/>
  <c r="O53"/>
  <c r="M53"/>
  <c r="O49"/>
  <c r="M49"/>
  <c r="O45"/>
  <c r="M45"/>
  <c r="M36"/>
  <c r="O36"/>
  <c r="M30"/>
  <c r="O30"/>
  <c r="M26"/>
  <c r="O26"/>
  <c r="M22"/>
  <c r="O22"/>
  <c r="M16"/>
  <c r="O16"/>
  <c r="M89" i="8"/>
  <c r="O89"/>
  <c r="M85"/>
  <c r="O85"/>
  <c r="M79"/>
  <c r="O79"/>
  <c r="M75"/>
  <c r="O75"/>
  <c r="M71"/>
  <c r="O71"/>
  <c r="M65"/>
  <c r="O65"/>
  <c r="M61"/>
  <c r="O61"/>
  <c r="M57"/>
  <c r="O57"/>
  <c r="M51"/>
  <c r="O51"/>
  <c r="M47"/>
  <c r="O47"/>
  <c r="M43"/>
  <c r="O43"/>
  <c r="M37"/>
  <c r="O37"/>
  <c r="M33"/>
  <c r="O33"/>
  <c r="M29"/>
  <c r="O29"/>
  <c r="M23"/>
  <c r="O23"/>
  <c r="M19"/>
  <c r="O19"/>
  <c r="M15"/>
  <c r="O15"/>
  <c r="M87" i="25"/>
  <c r="O87"/>
  <c r="M81"/>
  <c r="O81"/>
  <c r="M77"/>
  <c r="O77"/>
  <c r="M73"/>
  <c r="O73"/>
  <c r="M67"/>
  <c r="O67"/>
  <c r="M63"/>
  <c r="O63"/>
  <c r="O37" i="27"/>
  <c r="M37"/>
  <c r="O33"/>
  <c r="M33"/>
  <c r="O29"/>
  <c r="M29"/>
  <c r="O23"/>
  <c r="M23"/>
  <c r="O19"/>
  <c r="M19"/>
  <c r="O15"/>
  <c r="M15"/>
  <c r="O82" i="8"/>
  <c r="M82"/>
  <c r="O76"/>
  <c r="M76"/>
  <c r="O72"/>
  <c r="M72"/>
  <c r="O68"/>
  <c r="M68"/>
  <c r="O64"/>
  <c r="M64"/>
  <c r="O58"/>
  <c r="M58"/>
  <c r="O54"/>
  <c r="M54"/>
  <c r="O50"/>
  <c r="M50"/>
  <c r="O44"/>
  <c r="M44"/>
  <c r="O40"/>
  <c r="M40"/>
  <c r="O36"/>
  <c r="M36"/>
  <c r="O30"/>
  <c r="M30"/>
  <c r="O26"/>
  <c r="M26"/>
  <c r="O22"/>
  <c r="M22"/>
  <c r="O16"/>
  <c r="M16"/>
  <c r="O84" i="25"/>
  <c r="M84"/>
  <c r="O80"/>
  <c r="M80"/>
  <c r="O74"/>
  <c r="M74"/>
  <c r="O70"/>
  <c r="M70"/>
  <c r="M61"/>
  <c r="O61"/>
  <c r="M57"/>
  <c r="O57"/>
  <c r="M51"/>
  <c r="O51"/>
  <c r="M47"/>
  <c r="O47"/>
  <c r="M43"/>
  <c r="O43"/>
  <c r="M37"/>
  <c r="O37"/>
  <c r="M33"/>
  <c r="O33"/>
  <c r="M29"/>
  <c r="O29"/>
  <c r="M23"/>
  <c r="O23"/>
  <c r="M19"/>
  <c r="O19"/>
  <c r="M15"/>
  <c r="O15"/>
  <c r="M82" i="11"/>
  <c r="O82"/>
  <c r="M76"/>
  <c r="O76"/>
  <c r="M72"/>
  <c r="O72"/>
  <c r="M68"/>
  <c r="O68"/>
  <c r="M64"/>
  <c r="O64"/>
  <c r="M58"/>
  <c r="O58"/>
  <c r="M54"/>
  <c r="O54"/>
  <c r="M50"/>
  <c r="O50"/>
  <c r="M44"/>
  <c r="O44"/>
  <c r="M40"/>
  <c r="O40"/>
  <c r="M36"/>
  <c r="O36"/>
  <c r="M30"/>
  <c r="O30"/>
  <c r="M26"/>
  <c r="O26"/>
  <c r="M22"/>
  <c r="O22"/>
  <c r="M16"/>
  <c r="O16"/>
  <c r="O66" i="25"/>
  <c r="M66"/>
  <c r="O60"/>
  <c r="M60"/>
  <c r="O56"/>
  <c r="M56"/>
  <c r="O52"/>
  <c r="M52"/>
  <c r="O46"/>
  <c r="M46"/>
  <c r="O42"/>
  <c r="M42"/>
  <c r="O38"/>
  <c r="M38"/>
  <c r="O32"/>
  <c r="M32"/>
  <c r="O28"/>
  <c r="M28"/>
  <c r="O24"/>
  <c r="M24"/>
  <c r="O18"/>
  <c r="M18"/>
  <c r="O14"/>
  <c r="M14"/>
  <c r="O87" i="11"/>
  <c r="M87"/>
  <c r="O81"/>
  <c r="M81"/>
  <c r="O77"/>
  <c r="M77"/>
  <c r="O73"/>
  <c r="M73"/>
  <c r="O67"/>
  <c r="M67"/>
  <c r="O63"/>
  <c r="M63"/>
  <c r="O59"/>
  <c r="M59"/>
  <c r="O53"/>
  <c r="M53"/>
  <c r="O49"/>
  <c r="M49"/>
  <c r="O45"/>
  <c r="M45"/>
  <c r="O39"/>
  <c r="M39"/>
  <c r="O35"/>
  <c r="M35"/>
  <c r="O31"/>
  <c r="M31"/>
  <c r="O25"/>
  <c r="M25"/>
  <c r="O21"/>
  <c r="M21"/>
  <c r="O17"/>
  <c r="M17"/>
  <c r="M71" i="7"/>
  <c r="O71"/>
  <c r="M75"/>
  <c r="O75"/>
  <c r="M79"/>
  <c r="O79"/>
  <c r="M85"/>
  <c r="O85"/>
  <c r="M89"/>
  <c r="O89"/>
  <c r="M89" i="20"/>
  <c r="O89"/>
  <c r="M89" i="9"/>
  <c r="O89"/>
  <c r="O82"/>
  <c r="M82"/>
  <c r="J47" i="30"/>
  <c r="W47" s="1"/>
  <c r="X47"/>
  <c r="J50"/>
  <c r="W50" s="1"/>
  <c r="X50"/>
  <c r="BG78"/>
  <c r="BH78" s="1"/>
  <c r="BG79"/>
  <c r="BH79" s="1"/>
  <c r="BG80"/>
  <c r="BH80" s="1"/>
  <c r="BG108"/>
  <c r="BH108" s="1"/>
  <c r="BG109"/>
  <c r="BH109" s="1"/>
  <c r="BG110"/>
  <c r="BH110" s="1"/>
  <c r="J32"/>
  <c r="W32" s="1"/>
  <c r="X32"/>
  <c r="J63"/>
  <c r="W63" s="1"/>
  <c r="X63"/>
  <c r="J65"/>
  <c r="W65" s="1"/>
  <c r="X65"/>
  <c r="J93"/>
  <c r="W93" s="1"/>
  <c r="X93"/>
  <c r="J95"/>
  <c r="W95" s="1"/>
  <c r="X95"/>
  <c r="J123"/>
  <c r="W123" s="1"/>
  <c r="X123"/>
  <c r="J125"/>
  <c r="W125" s="1"/>
  <c r="X125"/>
  <c r="AH19"/>
  <c r="AH26"/>
  <c r="AH34"/>
  <c r="AH41"/>
  <c r="AH49"/>
  <c r="AH56"/>
  <c r="AH65"/>
  <c r="AH66" s="1"/>
  <c r="AH72"/>
  <c r="AH95"/>
  <c r="AH96" s="1"/>
  <c r="AH102"/>
  <c r="AH125"/>
  <c r="AH126" s="1"/>
  <c r="AH132"/>
  <c r="J78"/>
  <c r="W78" s="1"/>
  <c r="X78"/>
  <c r="J80"/>
  <c r="W80" s="1"/>
  <c r="X80"/>
  <c r="J108"/>
  <c r="W108" s="1"/>
  <c r="X108"/>
  <c r="J110"/>
  <c r="W110" s="1"/>
  <c r="X110"/>
  <c r="J20"/>
  <c r="W20" s="1"/>
  <c r="X20"/>
  <c r="J18"/>
  <c r="W18" s="1"/>
  <c r="X18"/>
  <c r="J34"/>
  <c r="W34" s="1"/>
  <c r="X34"/>
  <c r="D50"/>
  <c r="V50" s="1"/>
  <c r="R50"/>
  <c r="U50"/>
  <c r="D49"/>
  <c r="V49" s="1"/>
  <c r="R49"/>
  <c r="U49"/>
  <c r="D48"/>
  <c r="V48" s="1"/>
  <c r="R48"/>
  <c r="U48"/>
  <c r="D47"/>
  <c r="V47" s="1"/>
  <c r="R47"/>
  <c r="U47"/>
  <c r="J48"/>
  <c r="W48" s="1"/>
  <c r="X48"/>
  <c r="J62"/>
  <c r="W62" s="1"/>
  <c r="X62"/>
  <c r="J92"/>
  <c r="W92" s="1"/>
  <c r="X92"/>
  <c r="J122"/>
  <c r="W122" s="1"/>
  <c r="X122"/>
  <c r="P89" i="28" l="1"/>
  <c r="P90" i="6"/>
  <c r="P89" i="9"/>
  <c r="P89" i="7"/>
  <c r="P87" i="11"/>
  <c r="P87" i="27"/>
  <c r="P87" i="28"/>
  <c r="P89" i="11"/>
  <c r="P89" i="27"/>
  <c r="P85" i="20"/>
  <c r="AD98" i="2"/>
  <c r="P89" i="20"/>
  <c r="P89" i="8"/>
  <c r="P89" i="25"/>
  <c r="P85" i="7"/>
  <c r="P82" i="11"/>
  <c r="P87" i="25"/>
  <c r="P85"/>
  <c r="P87" i="7"/>
  <c r="P87" i="8"/>
  <c r="P87" i="20"/>
  <c r="P88" i="6"/>
  <c r="P85" i="8"/>
  <c r="P85" i="27"/>
  <c r="P84" i="20"/>
  <c r="P84" i="25"/>
  <c r="P85" i="11"/>
  <c r="P84"/>
  <c r="P85" i="28"/>
  <c r="P81" i="6"/>
  <c r="P83"/>
  <c r="P82" i="20"/>
  <c r="P84" i="8"/>
  <c r="P82" i="27"/>
  <c r="P84" i="7"/>
  <c r="P80"/>
  <c r="P85" i="6"/>
  <c r="P86"/>
  <c r="P84" i="28"/>
  <c r="P84" i="27"/>
  <c r="P84" i="9"/>
  <c r="P82" i="25"/>
  <c r="P82" i="28"/>
  <c r="P80" i="20"/>
  <c r="P82" i="9"/>
  <c r="P82" i="8"/>
  <c r="P81" i="27"/>
  <c r="P82" i="7"/>
  <c r="P81" i="25"/>
  <c r="P81" i="9"/>
  <c r="P77" i="20"/>
  <c r="P81"/>
  <c r="P81" i="11"/>
  <c r="P80" i="25"/>
  <c r="P80" i="27"/>
  <c r="P81" i="28"/>
  <c r="P81" i="7"/>
  <c r="P81" i="8"/>
  <c r="P79" i="28"/>
  <c r="P80"/>
  <c r="P77"/>
  <c r="P80" i="11"/>
  <c r="P82" i="6"/>
  <c r="P79" i="8"/>
  <c r="P80" i="9"/>
  <c r="P80" i="8"/>
  <c r="P79" i="25"/>
  <c r="P77" i="8"/>
  <c r="P79" i="7"/>
  <c r="P76" i="11"/>
  <c r="P77" i="25"/>
  <c r="P79" i="11"/>
  <c r="P79" i="27"/>
  <c r="P76" i="28"/>
  <c r="P76" i="27"/>
  <c r="P79" i="20"/>
  <c r="P74" i="7"/>
  <c r="P80" i="6"/>
  <c r="P77" i="11"/>
  <c r="P77" i="27"/>
  <c r="P77" i="7"/>
  <c r="P76" i="25"/>
  <c r="P75" i="20"/>
  <c r="P78" i="6"/>
  <c r="P75" i="28"/>
  <c r="P76" i="7"/>
  <c r="P72"/>
  <c r="P77" i="6"/>
  <c r="P76" i="20"/>
  <c r="P75" i="27"/>
  <c r="P74" i="20"/>
  <c r="P76" i="8"/>
  <c r="P74" i="28"/>
  <c r="P72" i="20"/>
  <c r="P75" i="25"/>
  <c r="P72" i="28"/>
  <c r="P75" i="7"/>
  <c r="P75" i="8"/>
  <c r="P75" i="11"/>
  <c r="P74"/>
  <c r="P74" i="25"/>
  <c r="P76" i="6"/>
  <c r="P73" i="25"/>
  <c r="P73" i="27"/>
  <c r="P74"/>
  <c r="P71" i="11"/>
  <c r="P74" i="8"/>
  <c r="P73" i="7"/>
  <c r="P72" i="25"/>
  <c r="P73" i="8"/>
  <c r="P71" i="27"/>
  <c r="P75" i="6"/>
  <c r="P73" i="11"/>
  <c r="P72" i="8"/>
  <c r="P73" i="28"/>
  <c r="P73" i="20"/>
  <c r="P71" i="6"/>
  <c r="P72"/>
  <c r="P74"/>
  <c r="P71" i="8"/>
  <c r="P70" i="28"/>
  <c r="P72" i="27"/>
  <c r="P71" i="20"/>
  <c r="P72" i="11"/>
  <c r="P71" i="7"/>
  <c r="P71" i="28"/>
  <c r="P61" i="20"/>
  <c r="P71" i="25"/>
  <c r="P73" i="6"/>
  <c r="P70" i="8"/>
  <c r="P70" i="20"/>
  <c r="P61" i="25"/>
  <c r="P70" i="11"/>
  <c r="P70" i="25"/>
  <c r="P70" i="27"/>
  <c r="P60" i="8"/>
  <c r="P70" i="7"/>
  <c r="P68" i="6"/>
  <c r="P54"/>
  <c r="P61" i="8"/>
  <c r="P61" i="11"/>
  <c r="P61" i="28"/>
  <c r="P61" i="7"/>
  <c r="P53" i="6"/>
  <c r="P39"/>
  <c r="P55"/>
  <c r="P46"/>
  <c r="P23"/>
  <c r="P61" i="27"/>
  <c r="P62" i="6"/>
  <c r="P60" i="28"/>
  <c r="P60" i="11"/>
  <c r="P68" i="28"/>
  <c r="P60" i="7"/>
  <c r="P60" i="25"/>
  <c r="P60" i="27"/>
  <c r="P60" i="20"/>
  <c r="P61" i="6"/>
  <c r="P54" i="11"/>
  <c r="P41" i="6"/>
  <c r="P37"/>
  <c r="P68" i="11"/>
  <c r="P53" i="8"/>
  <c r="P69" i="6"/>
  <c r="P54" i="20"/>
  <c r="P53" i="28"/>
  <c r="P67"/>
  <c r="P54" i="25"/>
  <c r="P53"/>
  <c r="P38" i="8"/>
  <c r="P46"/>
  <c r="P54" i="28"/>
  <c r="P53" i="7"/>
  <c r="P67"/>
  <c r="P47" i="28"/>
  <c r="P67" i="27"/>
  <c r="P48" i="6"/>
  <c r="P34"/>
  <c r="P30"/>
  <c r="P20"/>
  <c r="P54" i="8"/>
  <c r="P53" i="20"/>
  <c r="P18" i="6"/>
  <c r="P53" i="27"/>
  <c r="P16" i="6"/>
  <c r="P65"/>
  <c r="P60"/>
  <c r="P47" i="11"/>
  <c r="P54" i="27"/>
  <c r="P54" i="7"/>
  <c r="P64" i="27"/>
  <c r="P53" i="11"/>
  <c r="P47" i="27"/>
  <c r="P47" i="8"/>
  <c r="P35" i="25"/>
  <c r="P47" i="20"/>
  <c r="P44" i="7"/>
  <c r="P31" i="27"/>
  <c r="P46" i="20"/>
  <c r="P57" i="6"/>
  <c r="P47" i="7"/>
  <c r="P46" i="27"/>
  <c r="P57" i="28"/>
  <c r="P17" i="20"/>
  <c r="P21"/>
  <c r="P35"/>
  <c r="P47" i="25"/>
  <c r="P47" i="6"/>
  <c r="P38"/>
  <c r="P50"/>
  <c r="P40"/>
  <c r="P31"/>
  <c r="P26"/>
  <c r="P17"/>
  <c r="P67"/>
  <c r="P29" i="28"/>
  <c r="P46"/>
  <c r="P46" i="25"/>
  <c r="P24" i="27"/>
  <c r="P46" i="7"/>
  <c r="P14" i="9"/>
  <c r="P26"/>
  <c r="P66" i="6"/>
  <c r="P29" i="20"/>
  <c r="P37"/>
  <c r="P43"/>
  <c r="P52" i="6"/>
  <c r="P64"/>
  <c r="P59"/>
  <c r="P14" i="28"/>
  <c r="P46" i="11"/>
  <c r="P65" i="20"/>
  <c r="P66" i="7"/>
  <c r="P42"/>
  <c r="P38"/>
  <c r="P32"/>
  <c r="P28" i="9"/>
  <c r="P40"/>
  <c r="P42"/>
  <c r="P33" i="6"/>
  <c r="P29"/>
  <c r="P24"/>
  <c r="P19"/>
  <c r="P15"/>
  <c r="P44"/>
  <c r="P51"/>
  <c r="P32"/>
  <c r="P27"/>
  <c r="P63" i="27"/>
  <c r="P26" i="25"/>
  <c r="P36"/>
  <c r="P40"/>
  <c r="P44"/>
  <c r="P14" i="11"/>
  <c r="P15" i="20"/>
  <c r="P52" i="11"/>
  <c r="P67"/>
  <c r="P24" i="7"/>
  <c r="P18" i="8"/>
  <c r="P28"/>
  <c r="P32"/>
  <c r="P56"/>
  <c r="P51" i="7"/>
  <c r="P18"/>
  <c r="P38" i="27"/>
  <c r="P42"/>
  <c r="P45"/>
  <c r="P21" i="28"/>
  <c r="P39"/>
  <c r="P32" i="11"/>
  <c r="P67" i="25"/>
  <c r="P19" i="8"/>
  <c r="P36" i="27"/>
  <c r="P59"/>
  <c r="P67" i="8"/>
  <c r="P22" i="28"/>
  <c r="P67" i="20"/>
  <c r="P59" i="11"/>
  <c r="P36"/>
  <c r="P19" i="25"/>
  <c r="P37"/>
  <c r="P40" i="28"/>
  <c r="P14" i="20"/>
  <c r="P32"/>
  <c r="P42"/>
  <c r="P21" i="7"/>
  <c r="P39"/>
  <c r="P45"/>
  <c r="P49"/>
  <c r="P64"/>
  <c r="P35" i="8"/>
  <c r="P59"/>
  <c r="P21" i="11"/>
  <c r="P18" i="25"/>
  <c r="P38"/>
  <c r="P66"/>
  <c r="P30" i="8"/>
  <c r="P50"/>
  <c r="P23" i="27"/>
  <c r="P33"/>
  <c r="P37"/>
  <c r="P15" i="8"/>
  <c r="P57"/>
  <c r="P16" i="27"/>
  <c r="P26"/>
  <c r="P26" i="20"/>
  <c r="P44"/>
  <c r="P15" i="7"/>
  <c r="P14" i="27"/>
  <c r="P50" i="7"/>
  <c r="P14"/>
  <c r="P43" i="27"/>
  <c r="P19" i="28"/>
  <c r="P30" i="27"/>
  <c r="P66"/>
  <c r="P17" i="28"/>
  <c r="P17" i="25"/>
  <c r="P25"/>
  <c r="P31"/>
  <c r="P68"/>
  <c r="P66" i="8"/>
  <c r="P21" i="27"/>
  <c r="P25"/>
  <c r="P65" i="25"/>
  <c r="P44" i="27"/>
  <c r="P23" i="28"/>
  <c r="P17" i="11"/>
  <c r="P31"/>
  <c r="P39"/>
  <c r="P49"/>
  <c r="P14" i="25"/>
  <c r="P56"/>
  <c r="P16" i="11"/>
  <c r="P26"/>
  <c r="P30"/>
  <c r="P64"/>
  <c r="P15" i="25"/>
  <c r="P57"/>
  <c r="P22" i="8"/>
  <c r="P26"/>
  <c r="P58"/>
  <c r="P68"/>
  <c r="P37"/>
  <c r="P65"/>
  <c r="P32" i="28"/>
  <c r="P42"/>
  <c r="P16" i="20"/>
  <c r="P22"/>
  <c r="P64"/>
  <c r="P68"/>
  <c r="P19" i="7"/>
  <c r="P23"/>
  <c r="P33"/>
  <c r="P49" i="28"/>
  <c r="P29" i="11"/>
  <c r="P37"/>
  <c r="P43"/>
  <c r="P65"/>
  <c r="P64" i="25"/>
  <c r="P25" i="8"/>
  <c r="P18" i="27"/>
  <c r="P30" i="28"/>
  <c r="P36"/>
  <c r="P58"/>
  <c r="P64"/>
  <c r="P63" i="20"/>
  <c r="P26" i="7"/>
  <c r="P16"/>
  <c r="P28" i="25"/>
  <c r="P32"/>
  <c r="P52"/>
  <c r="P44" i="11"/>
  <c r="P50"/>
  <c r="P29" i="25"/>
  <c r="P33"/>
  <c r="P51"/>
  <c r="P40" i="8"/>
  <c r="P44"/>
  <c r="P15" i="27"/>
  <c r="P19"/>
  <c r="P29" i="8"/>
  <c r="P33"/>
  <c r="P51"/>
  <c r="P24" i="28"/>
  <c r="P28"/>
  <c r="P52"/>
  <c r="P56"/>
  <c r="P36" i="20"/>
  <c r="P40"/>
  <c r="P58"/>
  <c r="P37" i="7"/>
  <c r="P43"/>
  <c r="P65"/>
  <c r="P56" i="27"/>
  <c r="P31" i="28"/>
  <c r="P35"/>
  <c r="P59"/>
  <c r="P58" i="25"/>
  <c r="P42" i="11"/>
  <c r="P66"/>
  <c r="P45" i="25"/>
  <c r="P49"/>
  <c r="P14" i="8"/>
  <c r="P17"/>
  <c r="P63"/>
  <c r="P32" i="27"/>
  <c r="P51"/>
  <c r="P57"/>
  <c r="P16" i="28"/>
  <c r="P50"/>
  <c r="P24" i="20"/>
  <c r="P28"/>
  <c r="P52"/>
  <c r="P56"/>
  <c r="P25" i="7"/>
  <c r="P31"/>
  <c r="P59"/>
  <c r="P63"/>
  <c r="P40" i="27"/>
  <c r="P58"/>
  <c r="P68" i="7"/>
  <c r="P19" i="11"/>
  <c r="P23"/>
  <c r="P57"/>
  <c r="P16" i="25"/>
  <c r="P22"/>
  <c r="P24" i="11"/>
  <c r="P28"/>
  <c r="P52" i="8"/>
  <c r="P39" i="27"/>
  <c r="P31" i="8"/>
  <c r="P45"/>
  <c r="P68" i="27"/>
  <c r="P37" i="28"/>
  <c r="P43"/>
  <c r="P65"/>
  <c r="P25" i="20"/>
  <c r="P45"/>
  <c r="P59"/>
  <c r="P36" i="7"/>
  <c r="P30"/>
  <c r="P19" i="20"/>
  <c r="P23"/>
  <c r="P57"/>
  <c r="P52" i="7"/>
  <c r="P63" i="28"/>
  <c r="P56" i="11"/>
  <c r="P21" i="25"/>
  <c r="P39"/>
  <c r="P59"/>
  <c r="P24" i="8"/>
  <c r="P42"/>
  <c r="P17" i="27"/>
  <c r="P35"/>
  <c r="P49" i="8"/>
  <c r="P50" i="27"/>
  <c r="P15" i="28"/>
  <c r="P33"/>
  <c r="P51"/>
  <c r="P31" i="20"/>
  <c r="P49"/>
  <c r="P58" i="7"/>
  <c r="P40"/>
  <c r="P22"/>
  <c r="P33" i="20"/>
  <c r="P51"/>
  <c r="P56" i="7"/>
  <c r="P28"/>
  <c r="P25" i="11"/>
  <c r="P35"/>
  <c r="P45"/>
  <c r="P63"/>
  <c r="P24" i="25"/>
  <c r="P42"/>
  <c r="P22" i="11"/>
  <c r="P40"/>
  <c r="P58"/>
  <c r="P23" i="25"/>
  <c r="P43"/>
  <c r="P16" i="8"/>
  <c r="P36"/>
  <c r="P64"/>
  <c r="P29" i="27"/>
  <c r="P63" i="25"/>
  <c r="P23" i="8"/>
  <c r="P43"/>
  <c r="P22" i="27"/>
  <c r="P49"/>
  <c r="P18" i="28"/>
  <c r="P38"/>
  <c r="P66"/>
  <c r="P30" i="20"/>
  <c r="P50"/>
  <c r="P29" i="7"/>
  <c r="P57"/>
  <c r="P52" i="27"/>
  <c r="P25" i="28"/>
  <c r="P45"/>
  <c r="P15" i="11"/>
  <c r="P33"/>
  <c r="P51"/>
  <c r="P30" i="25"/>
  <c r="P50"/>
  <c r="P18" i="11"/>
  <c r="P38"/>
  <c r="P21" i="8"/>
  <c r="P39"/>
  <c r="P28" i="27"/>
  <c r="P65"/>
  <c r="P26" i="28"/>
  <c r="P44"/>
  <c r="P18" i="20"/>
  <c r="P38"/>
  <c r="P66"/>
  <c r="P17" i="7"/>
  <c r="P35"/>
  <c r="P39" i="20"/>
  <c r="AH50" i="30"/>
  <c r="AH51" s="1"/>
  <c r="AH57"/>
  <c r="AH20"/>
  <c r="AH21" s="1"/>
  <c r="AH27"/>
  <c r="S47"/>
  <c r="T47" s="1"/>
  <c r="Y47" s="1"/>
  <c r="S48"/>
  <c r="T48" s="1"/>
  <c r="S49"/>
  <c r="T49" s="1"/>
  <c r="S50"/>
  <c r="T50" s="1"/>
  <c r="AH35"/>
  <c r="AH36" s="1"/>
  <c r="AH42"/>
  <c r="S33"/>
  <c r="T33" s="1"/>
  <c r="S34"/>
  <c r="T34" s="1"/>
  <c r="S35"/>
  <c r="T35" s="1"/>
  <c r="S32"/>
  <c r="T32" s="1"/>
  <c r="S18"/>
  <c r="T18" s="1"/>
  <c r="S19"/>
  <c r="T19" s="1"/>
  <c r="S20"/>
  <c r="T20" s="1"/>
  <c r="S17"/>
  <c r="T17" s="1"/>
  <c r="S122"/>
  <c r="T122" s="1"/>
  <c r="S123"/>
  <c r="T123" s="1"/>
  <c r="S124"/>
  <c r="T124" s="1"/>
  <c r="S125"/>
  <c r="T125" s="1"/>
  <c r="S107"/>
  <c r="T107" s="1"/>
  <c r="S108"/>
  <c r="T108" s="1"/>
  <c r="S109"/>
  <c r="T109" s="1"/>
  <c r="S110"/>
  <c r="T110" s="1"/>
  <c r="S92"/>
  <c r="T92" s="1"/>
  <c r="S93"/>
  <c r="T93" s="1"/>
  <c r="S94"/>
  <c r="T94" s="1"/>
  <c r="S95"/>
  <c r="T95" s="1"/>
  <c r="S77"/>
  <c r="T77" s="1"/>
  <c r="S78"/>
  <c r="T78" s="1"/>
  <c r="S79"/>
  <c r="T79" s="1"/>
  <c r="S80"/>
  <c r="T80" s="1"/>
  <c r="S62"/>
  <c r="T62" s="1"/>
  <c r="Y62" s="1"/>
  <c r="S63"/>
  <c r="T63" s="1"/>
  <c r="S64"/>
  <c r="T64" s="1"/>
  <c r="S65"/>
  <c r="T65" s="1"/>
  <c r="Y49"/>
  <c r="Y33"/>
  <c r="Y35"/>
  <c r="Y18"/>
  <c r="Y20"/>
  <c r="Y93"/>
  <c r="Y78"/>
  <c r="Y63"/>
  <c r="Y65" l="1"/>
  <c r="Y110"/>
  <c r="Y108"/>
  <c r="Y123"/>
  <c r="P1" i="6"/>
  <c r="Y95" i="30"/>
  <c r="Y80"/>
  <c r="Y92"/>
  <c r="Y17"/>
  <c r="Y125"/>
  <c r="Y122"/>
  <c r="Y64"/>
  <c r="AA64" s="1"/>
  <c r="M64" s="1"/>
  <c r="Y94"/>
  <c r="AA94" s="1"/>
  <c r="M94" s="1"/>
  <c r="Y124"/>
  <c r="Y34"/>
  <c r="Y48"/>
  <c r="AA63"/>
  <c r="M63" s="1"/>
  <c r="AA93"/>
  <c r="M93" s="1"/>
  <c r="Y77"/>
  <c r="Y107"/>
  <c r="Y32"/>
  <c r="AA32" s="1"/>
  <c r="M32" s="1"/>
  <c r="Y79"/>
  <c r="Y109"/>
  <c r="Y19"/>
  <c r="AA19" s="1"/>
  <c r="M19" s="1"/>
  <c r="Y50"/>
  <c r="AA50" s="1"/>
  <c r="M50" s="1"/>
  <c r="AA109" l="1"/>
  <c r="M109" s="1"/>
  <c r="AA77"/>
  <c r="M77" s="1"/>
  <c r="AA18"/>
  <c r="M18" s="1"/>
  <c r="AA124"/>
  <c r="M124" s="1"/>
  <c r="AA123"/>
  <c r="M123" s="1"/>
  <c r="AA79"/>
  <c r="M79" s="1"/>
  <c r="AA107"/>
  <c r="M107" s="1"/>
  <c r="AA33"/>
  <c r="M33" s="1"/>
  <c r="AA48"/>
  <c r="M48" s="1"/>
  <c r="AA122"/>
  <c r="M122" s="1"/>
  <c r="AA62"/>
  <c r="M62" s="1"/>
  <c r="AA35"/>
  <c r="M35" s="1"/>
  <c r="AA125"/>
  <c r="M125" s="1"/>
  <c r="AA95"/>
  <c r="M95" s="1"/>
  <c r="AA65"/>
  <c r="M65" s="1"/>
  <c r="S19" i="2"/>
  <c r="U19"/>
  <c r="W19"/>
  <c r="Y19"/>
  <c r="AA19"/>
  <c r="S22"/>
  <c r="U22"/>
  <c r="W22"/>
  <c r="Y22"/>
  <c r="AA22"/>
  <c r="V19"/>
  <c r="X19"/>
  <c r="Z19"/>
  <c r="V22"/>
  <c r="X22"/>
  <c r="Z22"/>
  <c r="AA108" i="30"/>
  <c r="M108" s="1"/>
  <c r="AA78"/>
  <c r="M78" s="1"/>
  <c r="S44" i="2" s="1"/>
  <c r="AA34" i="30"/>
  <c r="M34" s="1"/>
  <c r="S20" i="2" s="1"/>
  <c r="AA17" i="30"/>
  <c r="M17" s="1"/>
  <c r="AA92"/>
  <c r="M92" s="1"/>
  <c r="AA49"/>
  <c r="M49" s="1"/>
  <c r="AA20"/>
  <c r="M20" s="1"/>
  <c r="AA110"/>
  <c r="M110" s="1"/>
  <c r="AA80"/>
  <c r="M80" s="1"/>
  <c r="AA47"/>
  <c r="M47" s="1"/>
  <c r="V43" i="2" l="1"/>
  <c r="U43"/>
  <c r="Z43"/>
  <c r="Y43"/>
  <c r="S43"/>
  <c r="V45"/>
  <c r="X44"/>
  <c r="X43"/>
  <c r="AA43"/>
  <c r="W43"/>
  <c r="T43" s="1"/>
  <c r="X46"/>
  <c r="S67"/>
  <c r="U67"/>
  <c r="W67"/>
  <c r="Y67"/>
  <c r="AA67"/>
  <c r="S68"/>
  <c r="U68"/>
  <c r="W68"/>
  <c r="Y68"/>
  <c r="AA68"/>
  <c r="S69"/>
  <c r="U69"/>
  <c r="W69"/>
  <c r="Y69"/>
  <c r="AA69"/>
  <c r="S70"/>
  <c r="U70"/>
  <c r="W70"/>
  <c r="Y70"/>
  <c r="AA70"/>
  <c r="V67"/>
  <c r="X67"/>
  <c r="Z67"/>
  <c r="V68"/>
  <c r="X68"/>
  <c r="Z68"/>
  <c r="V69"/>
  <c r="X69"/>
  <c r="Z69"/>
  <c r="V70"/>
  <c r="X70"/>
  <c r="Z70"/>
  <c r="Z45"/>
  <c r="Y46"/>
  <c r="U46"/>
  <c r="AA45"/>
  <c r="W45"/>
  <c r="S45"/>
  <c r="Y44"/>
  <c r="U44"/>
  <c r="Z21"/>
  <c r="V21"/>
  <c r="X20"/>
  <c r="T19"/>
  <c r="AA21"/>
  <c r="W21"/>
  <c r="S21"/>
  <c r="Y20"/>
  <c r="U20"/>
  <c r="V51"/>
  <c r="X51"/>
  <c r="Z51"/>
  <c r="V52"/>
  <c r="X52"/>
  <c r="Z52"/>
  <c r="V53"/>
  <c r="X53"/>
  <c r="Z53"/>
  <c r="V54"/>
  <c r="X54"/>
  <c r="Z54"/>
  <c r="S51"/>
  <c r="U51"/>
  <c r="W51"/>
  <c r="Y51"/>
  <c r="AA51"/>
  <c r="S52"/>
  <c r="U52"/>
  <c r="W52"/>
  <c r="Y52"/>
  <c r="AA52"/>
  <c r="S53"/>
  <c r="U53"/>
  <c r="W53"/>
  <c r="Y53"/>
  <c r="AA53"/>
  <c r="S54"/>
  <c r="U54"/>
  <c r="W54"/>
  <c r="Y54"/>
  <c r="AA54"/>
  <c r="V27"/>
  <c r="X27"/>
  <c r="Z27"/>
  <c r="V28"/>
  <c r="X28"/>
  <c r="Z28"/>
  <c r="S29"/>
  <c r="U29"/>
  <c r="W29"/>
  <c r="Y29"/>
  <c r="AA29"/>
  <c r="V30"/>
  <c r="X30"/>
  <c r="Z30"/>
  <c r="S27"/>
  <c r="U27"/>
  <c r="W27"/>
  <c r="Y27"/>
  <c r="AA27"/>
  <c r="S28"/>
  <c r="U28"/>
  <c r="W28"/>
  <c r="Y28"/>
  <c r="AA28"/>
  <c r="V29"/>
  <c r="T29" s="1"/>
  <c r="P29" s="1"/>
  <c r="X29"/>
  <c r="Z29"/>
  <c r="U30"/>
  <c r="W30"/>
  <c r="Y30"/>
  <c r="AA30"/>
  <c r="S11"/>
  <c r="U11"/>
  <c r="W11"/>
  <c r="Y11"/>
  <c r="AA11"/>
  <c r="S12"/>
  <c r="U12"/>
  <c r="W12"/>
  <c r="Y12"/>
  <c r="AA12"/>
  <c r="S13"/>
  <c r="U13"/>
  <c r="W13"/>
  <c r="Y13"/>
  <c r="AA13"/>
  <c r="S14"/>
  <c r="U14"/>
  <c r="W14"/>
  <c r="Y14"/>
  <c r="AA14"/>
  <c r="V11"/>
  <c r="X11"/>
  <c r="Z11"/>
  <c r="V12"/>
  <c r="T12" s="1"/>
  <c r="P12" s="1"/>
  <c r="X12"/>
  <c r="Z12"/>
  <c r="V13"/>
  <c r="X13"/>
  <c r="Z13"/>
  <c r="V14"/>
  <c r="T14" s="1"/>
  <c r="P14" s="1"/>
  <c r="X14"/>
  <c r="Z14"/>
  <c r="V35"/>
  <c r="X35"/>
  <c r="Z35"/>
  <c r="V36"/>
  <c r="X36"/>
  <c r="Z36"/>
  <c r="V37"/>
  <c r="X37"/>
  <c r="Z37"/>
  <c r="V38"/>
  <c r="X38"/>
  <c r="Z38"/>
  <c r="S35"/>
  <c r="U35"/>
  <c r="W35"/>
  <c r="Y35"/>
  <c r="AA35"/>
  <c r="S36"/>
  <c r="U36"/>
  <c r="W36"/>
  <c r="Y36"/>
  <c r="AA36"/>
  <c r="S37"/>
  <c r="U37"/>
  <c r="W37"/>
  <c r="Y37"/>
  <c r="AA37"/>
  <c r="S38"/>
  <c r="U38"/>
  <c r="W38"/>
  <c r="Y38"/>
  <c r="AA38"/>
  <c r="S59"/>
  <c r="U59"/>
  <c r="W59"/>
  <c r="Y59"/>
  <c r="AA59"/>
  <c r="S60"/>
  <c r="U60"/>
  <c r="W60"/>
  <c r="Y60"/>
  <c r="AA60"/>
  <c r="S61"/>
  <c r="U61"/>
  <c r="W61"/>
  <c r="Y61"/>
  <c r="AA61"/>
  <c r="S62"/>
  <c r="U62"/>
  <c r="W62"/>
  <c r="Y62"/>
  <c r="AA62"/>
  <c r="V59"/>
  <c r="X59"/>
  <c r="Z59"/>
  <c r="V60"/>
  <c r="T60" s="1"/>
  <c r="P60" s="1"/>
  <c r="X60"/>
  <c r="Z60"/>
  <c r="V61"/>
  <c r="X61"/>
  <c r="Z61"/>
  <c r="V62"/>
  <c r="T62" s="1"/>
  <c r="P62" s="1"/>
  <c r="X62"/>
  <c r="Z62"/>
  <c r="Z46"/>
  <c r="V46"/>
  <c r="X45"/>
  <c r="Z44"/>
  <c r="V44"/>
  <c r="AA46"/>
  <c r="W46"/>
  <c r="S46"/>
  <c r="Y45"/>
  <c r="U45"/>
  <c r="AA44"/>
  <c r="W44"/>
  <c r="T22"/>
  <c r="P22" s="1"/>
  <c r="X21"/>
  <c r="Z20"/>
  <c r="V20"/>
  <c r="Y21"/>
  <c r="U21"/>
  <c r="AA20"/>
  <c r="W20"/>
  <c r="P43" l="1"/>
  <c r="T46"/>
  <c r="P46" s="1"/>
  <c r="T45"/>
  <c r="P45" s="1"/>
  <c r="T70"/>
  <c r="P70" s="1"/>
  <c r="T68"/>
  <c r="P68" s="1"/>
  <c r="P19"/>
  <c r="T20"/>
  <c r="P20" s="1"/>
  <c r="T38"/>
  <c r="P38" s="1"/>
  <c r="T36"/>
  <c r="P36" s="1"/>
  <c r="T27"/>
  <c r="T53"/>
  <c r="P53" s="1"/>
  <c r="T51"/>
  <c r="T21"/>
  <c r="P21" s="1"/>
  <c r="T44"/>
  <c r="P44" s="1"/>
  <c r="T61"/>
  <c r="P61" s="1"/>
  <c r="T59"/>
  <c r="T37"/>
  <c r="P37" s="1"/>
  <c r="T35"/>
  <c r="T13"/>
  <c r="P13" s="1"/>
  <c r="T11"/>
  <c r="T30"/>
  <c r="P30" s="1"/>
  <c r="T28"/>
  <c r="P28" s="1"/>
  <c r="T54"/>
  <c r="P54" s="1"/>
  <c r="T52"/>
  <c r="P52" s="1"/>
  <c r="T69"/>
  <c r="P69" s="1"/>
  <c r="T67"/>
  <c r="P59" l="1"/>
  <c r="R63"/>
  <c r="P51"/>
  <c r="R55"/>
  <c r="R47"/>
  <c r="P67"/>
  <c r="R71"/>
  <c r="P11"/>
  <c r="R15"/>
  <c r="P35"/>
  <c r="R39"/>
  <c r="P27"/>
  <c r="R31"/>
  <c r="R23"/>
  <c r="F77" l="1"/>
  <c r="F79"/>
  <c r="F89" s="1"/>
  <c r="F81"/>
  <c r="J87" s="1"/>
  <c r="AE87" s="1"/>
  <c r="F83"/>
  <c r="J90" s="1"/>
  <c r="F78"/>
  <c r="J89" s="1"/>
  <c r="F80"/>
  <c r="F87" s="1"/>
  <c r="F82"/>
  <c r="AI82" s="1"/>
  <c r="J83"/>
  <c r="J79"/>
  <c r="J80"/>
  <c r="J76"/>
  <c r="J81"/>
  <c r="J77"/>
  <c r="J88" s="1"/>
  <c r="J82"/>
  <c r="AJ82" s="1"/>
  <c r="J78"/>
  <c r="F76"/>
  <c r="F88" s="1"/>
  <c r="AE88" l="1"/>
  <c r="AJ88"/>
  <c r="AK88"/>
  <c r="AM88" s="1"/>
  <c r="AE89"/>
  <c r="F95"/>
  <c r="AK89"/>
  <c r="AM89" s="1"/>
  <c r="AD88"/>
  <c r="B68" i="4"/>
  <c r="AI88" i="2"/>
  <c r="AD87"/>
  <c r="H3" i="15"/>
  <c r="H4"/>
  <c r="J94" i="2"/>
  <c r="H7" i="22"/>
  <c r="H5"/>
  <c r="H3"/>
  <c r="H9" i="23"/>
  <c r="H6"/>
  <c r="H4"/>
  <c r="H8" i="10"/>
  <c r="H5" i="19"/>
  <c r="H8" i="13"/>
  <c r="H8" i="9"/>
  <c r="H10"/>
  <c r="H9" i="24"/>
  <c r="H4" i="13"/>
  <c r="H7" i="26"/>
  <c r="H9" i="17"/>
  <c r="H6" i="19"/>
  <c r="H5" i="15"/>
  <c r="H10" i="22"/>
  <c r="H9" i="12"/>
  <c r="H7"/>
  <c r="H5"/>
  <c r="H3"/>
  <c r="B67" i="4"/>
  <c r="H10" i="14"/>
  <c r="H8"/>
  <c r="H6"/>
  <c r="H4"/>
  <c r="H7" i="15"/>
  <c r="H10" i="10"/>
  <c r="H6" i="26"/>
  <c r="H10" i="21"/>
  <c r="H6" i="18"/>
  <c r="H10" i="15"/>
  <c r="H6"/>
  <c r="H8" i="23"/>
  <c r="H7" i="10"/>
  <c r="H3"/>
  <c r="H7" i="19"/>
  <c r="H7" i="17"/>
  <c r="H5"/>
  <c r="H3"/>
  <c r="H4" i="26"/>
  <c r="H5" i="13"/>
  <c r="H6" i="24"/>
  <c r="H4"/>
  <c r="H8" i="16"/>
  <c r="H7" i="13"/>
  <c r="H3"/>
  <c r="H9" i="18"/>
  <c r="H4"/>
  <c r="H8" i="26"/>
  <c r="H6" i="21"/>
  <c r="H4"/>
  <c r="H9" i="13"/>
  <c r="H8" i="18"/>
  <c r="AK87" i="2"/>
  <c r="AM87" s="1"/>
  <c r="H4" i="11"/>
  <c r="H6"/>
  <c r="H8" i="25"/>
  <c r="H10"/>
  <c r="H9" i="8"/>
  <c r="H3" i="27"/>
  <c r="H5"/>
  <c r="H7"/>
  <c r="H5" i="20"/>
  <c r="H7"/>
  <c r="H9" i="28"/>
  <c r="H3" i="7"/>
  <c r="H5"/>
  <c r="H7"/>
  <c r="H10" i="16"/>
  <c r="H7"/>
  <c r="H5"/>
  <c r="H3"/>
  <c r="H6" i="9"/>
  <c r="H4"/>
  <c r="H9" i="7"/>
  <c r="H7" i="28"/>
  <c r="H5"/>
  <c r="H3"/>
  <c r="H10" i="20"/>
  <c r="H3"/>
  <c r="H9" i="27"/>
  <c r="H7" i="8"/>
  <c r="H5"/>
  <c r="H3"/>
  <c r="H9" i="11"/>
  <c r="H7" i="25"/>
  <c r="H5"/>
  <c r="H3"/>
  <c r="H6"/>
  <c r="H4"/>
  <c r="H4" i="19"/>
  <c r="H9" i="22"/>
  <c r="H6"/>
  <c r="H4"/>
  <c r="H7" i="23"/>
  <c r="H5"/>
  <c r="H3"/>
  <c r="H10" i="19"/>
  <c r="H9" i="9"/>
  <c r="H8" i="24"/>
  <c r="H10"/>
  <c r="H3" i="26"/>
  <c r="H8" i="17"/>
  <c r="H10"/>
  <c r="H6" i="10"/>
  <c r="H8" i="22"/>
  <c r="H10" i="12"/>
  <c r="H8"/>
  <c r="H6"/>
  <c r="H4"/>
  <c r="H9" i="14"/>
  <c r="H7"/>
  <c r="H5"/>
  <c r="H3"/>
  <c r="H11" s="1"/>
  <c r="H9" i="15"/>
  <c r="H5" i="10"/>
  <c r="H8" i="19"/>
  <c r="H5" i="26"/>
  <c r="H9" i="21"/>
  <c r="H5" i="18"/>
  <c r="H8" i="15"/>
  <c r="H10" i="23"/>
  <c r="H9" i="10"/>
  <c r="H4"/>
  <c r="H9" i="19"/>
  <c r="H3"/>
  <c r="H11" s="1"/>
  <c r="H6" i="17"/>
  <c r="H4"/>
  <c r="H9" i="26"/>
  <c r="H8" i="21"/>
  <c r="H7" i="24"/>
  <c r="H5"/>
  <c r="H3"/>
  <c r="H10" i="13"/>
  <c r="H6"/>
  <c r="H7" i="18"/>
  <c r="H3"/>
  <c r="H10" i="26"/>
  <c r="H7" i="21"/>
  <c r="H5"/>
  <c r="H3"/>
  <c r="H10" i="18"/>
  <c r="H5" i="11"/>
  <c r="H7"/>
  <c r="H9" i="25"/>
  <c r="H8" i="8"/>
  <c r="H10"/>
  <c r="H4" i="27"/>
  <c r="H6"/>
  <c r="H4" i="20"/>
  <c r="H6"/>
  <c r="H8" i="28"/>
  <c r="H10"/>
  <c r="H4" i="7"/>
  <c r="H6"/>
  <c r="H9" i="16"/>
  <c r="H6"/>
  <c r="H4"/>
  <c r="H7" i="9"/>
  <c r="H5"/>
  <c r="H3"/>
  <c r="H10" i="7"/>
  <c r="H8" i="20"/>
  <c r="H6" i="28"/>
  <c r="H4"/>
  <c r="H8" i="7"/>
  <c r="H9" i="20"/>
  <c r="H10" i="27"/>
  <c r="H8"/>
  <c r="H6" i="8"/>
  <c r="H4"/>
  <c r="H10" i="11"/>
  <c r="H3"/>
  <c r="H8"/>
  <c r="AE90" i="2"/>
  <c r="B70" i="4"/>
  <c r="AK90" i="2"/>
  <c r="AM90" s="1"/>
  <c r="J95"/>
  <c r="AD89"/>
  <c r="B69" i="4"/>
  <c r="C4" i="11"/>
  <c r="E4"/>
  <c r="C5"/>
  <c r="E5"/>
  <c r="C6"/>
  <c r="E6"/>
  <c r="C7"/>
  <c r="E7"/>
  <c r="C8" i="25"/>
  <c r="E8"/>
  <c r="C9"/>
  <c r="E9"/>
  <c r="C10"/>
  <c r="E10"/>
  <c r="C8" i="8"/>
  <c r="E8"/>
  <c r="C9"/>
  <c r="E9"/>
  <c r="C10"/>
  <c r="E10"/>
  <c r="C3" i="27"/>
  <c r="E3"/>
  <c r="C4"/>
  <c r="E4"/>
  <c r="C5"/>
  <c r="E5"/>
  <c r="C6"/>
  <c r="E6"/>
  <c r="C7"/>
  <c r="E7"/>
  <c r="C4" i="20"/>
  <c r="E4"/>
  <c r="C5"/>
  <c r="E5"/>
  <c r="C6"/>
  <c r="E6"/>
  <c r="C7"/>
  <c r="E7"/>
  <c r="C8" i="28"/>
  <c r="E8"/>
  <c r="C9"/>
  <c r="E9"/>
  <c r="C10"/>
  <c r="E10"/>
  <c r="C3" i="7"/>
  <c r="E3"/>
  <c r="C4"/>
  <c r="E4"/>
  <c r="C5"/>
  <c r="E5"/>
  <c r="C6"/>
  <c r="E6"/>
  <c r="C7"/>
  <c r="E7"/>
  <c r="AD76" i="2"/>
  <c r="C8" i="9"/>
  <c r="E8"/>
  <c r="C9"/>
  <c r="E9"/>
  <c r="C10"/>
  <c r="E10"/>
  <c r="C3" i="18"/>
  <c r="E3"/>
  <c r="C4"/>
  <c r="E4"/>
  <c r="C5"/>
  <c r="E5"/>
  <c r="C6"/>
  <c r="E6"/>
  <c r="C7"/>
  <c r="E7"/>
  <c r="C8" i="24"/>
  <c r="E8"/>
  <c r="C9"/>
  <c r="E9"/>
  <c r="C10"/>
  <c r="E10"/>
  <c r="C3" i="13"/>
  <c r="E3"/>
  <c r="C4"/>
  <c r="E4"/>
  <c r="C5"/>
  <c r="E5"/>
  <c r="C6"/>
  <c r="E6"/>
  <c r="C7"/>
  <c r="E7"/>
  <c r="C8" i="21"/>
  <c r="E8"/>
  <c r="C9"/>
  <c r="E9"/>
  <c r="C10"/>
  <c r="E10"/>
  <c r="C3" i="26"/>
  <c r="E3"/>
  <c r="C4"/>
  <c r="E4"/>
  <c r="C5"/>
  <c r="E5"/>
  <c r="C6"/>
  <c r="E6"/>
  <c r="C7"/>
  <c r="E7"/>
  <c r="C8" i="17"/>
  <c r="E8"/>
  <c r="C9"/>
  <c r="E9"/>
  <c r="C10"/>
  <c r="E10"/>
  <c r="C3" i="19"/>
  <c r="E3"/>
  <c r="C4"/>
  <c r="E4"/>
  <c r="C5"/>
  <c r="E5"/>
  <c r="C6"/>
  <c r="E6"/>
  <c r="C7"/>
  <c r="E7"/>
  <c r="E5" i="10"/>
  <c r="C6"/>
  <c r="E6"/>
  <c r="C7"/>
  <c r="E7"/>
  <c r="C3" i="16"/>
  <c r="E3"/>
  <c r="C4"/>
  <c r="E4"/>
  <c r="C5"/>
  <c r="E5"/>
  <c r="C6"/>
  <c r="E6"/>
  <c r="C7"/>
  <c r="E7"/>
  <c r="C8" i="23"/>
  <c r="E8"/>
  <c r="C9"/>
  <c r="E9"/>
  <c r="C10"/>
  <c r="E10"/>
  <c r="C8" i="14"/>
  <c r="E8"/>
  <c r="C9"/>
  <c r="E9"/>
  <c r="C10"/>
  <c r="E10"/>
  <c r="C3" i="15"/>
  <c r="E3"/>
  <c r="C4"/>
  <c r="E4"/>
  <c r="C5"/>
  <c r="E5"/>
  <c r="C6"/>
  <c r="E6"/>
  <c r="C7"/>
  <c r="E7"/>
  <c r="B50" i="3"/>
  <c r="B66"/>
  <c r="B58" i="4"/>
  <c r="C8" i="12"/>
  <c r="E8"/>
  <c r="C9"/>
  <c r="E9"/>
  <c r="C10"/>
  <c r="E10"/>
  <c r="C8" i="22"/>
  <c r="E8"/>
  <c r="C9"/>
  <c r="E9"/>
  <c r="C10"/>
  <c r="E10"/>
  <c r="E6"/>
  <c r="E4"/>
  <c r="C7" i="12"/>
  <c r="C5"/>
  <c r="C7" i="22"/>
  <c r="C5"/>
  <c r="E7" i="12"/>
  <c r="E5"/>
  <c r="E3"/>
  <c r="C6" i="14"/>
  <c r="C4"/>
  <c r="E10" i="15"/>
  <c r="E8"/>
  <c r="C7" i="23"/>
  <c r="C5"/>
  <c r="C3"/>
  <c r="E9" i="10"/>
  <c r="E4"/>
  <c r="E10" i="19"/>
  <c r="E8"/>
  <c r="E7" i="17"/>
  <c r="E5"/>
  <c r="E3"/>
  <c r="C9" i="26"/>
  <c r="E6" i="21"/>
  <c r="E4"/>
  <c r="E10" i="13"/>
  <c r="E8"/>
  <c r="E7" i="24"/>
  <c r="E5"/>
  <c r="E3"/>
  <c r="C9" i="18"/>
  <c r="E7" i="14"/>
  <c r="E5"/>
  <c r="E3"/>
  <c r="E9" i="15"/>
  <c r="E6" i="23"/>
  <c r="E4"/>
  <c r="E10" i="10"/>
  <c r="E8"/>
  <c r="C4"/>
  <c r="C3"/>
  <c r="E9" i="19"/>
  <c r="C7" i="17"/>
  <c r="C5"/>
  <c r="C10" i="26"/>
  <c r="C8"/>
  <c r="C6" i="21"/>
  <c r="C4"/>
  <c r="C3"/>
  <c r="E9" i="13"/>
  <c r="C7" i="24"/>
  <c r="C5"/>
  <c r="C10" i="18"/>
  <c r="C8"/>
  <c r="E8" i="16"/>
  <c r="E9"/>
  <c r="E6" i="9"/>
  <c r="E4"/>
  <c r="C10" i="7"/>
  <c r="C9"/>
  <c r="E10" i="20"/>
  <c r="E3"/>
  <c r="C7" i="28"/>
  <c r="C6"/>
  <c r="C5"/>
  <c r="C4"/>
  <c r="C3"/>
  <c r="E7" i="22"/>
  <c r="E5"/>
  <c r="E3"/>
  <c r="C6" i="12"/>
  <c r="C4"/>
  <c r="C3"/>
  <c r="C6" i="22"/>
  <c r="C4"/>
  <c r="C3"/>
  <c r="E11" s="1"/>
  <c r="E6" i="12"/>
  <c r="E4"/>
  <c r="C7" i="14"/>
  <c r="C5"/>
  <c r="C3"/>
  <c r="C9" i="15"/>
  <c r="C6" i="23"/>
  <c r="C4"/>
  <c r="C10" i="10"/>
  <c r="C8"/>
  <c r="E3"/>
  <c r="C9" i="19"/>
  <c r="E6" i="17"/>
  <c r="E4"/>
  <c r="E10" i="26"/>
  <c r="E8"/>
  <c r="E7" i="21"/>
  <c r="E5"/>
  <c r="E3"/>
  <c r="C9" i="13"/>
  <c r="E6" i="24"/>
  <c r="E4"/>
  <c r="E10" i="18"/>
  <c r="E8"/>
  <c r="E6" i="14"/>
  <c r="E4"/>
  <c r="C10" i="15"/>
  <c r="C8"/>
  <c r="E7" i="23"/>
  <c r="E5"/>
  <c r="E3"/>
  <c r="C9" i="10"/>
  <c r="C5"/>
  <c r="C10" i="19"/>
  <c r="C8"/>
  <c r="C6" i="17"/>
  <c r="C4"/>
  <c r="C3"/>
  <c r="E11" s="1"/>
  <c r="E9" i="26"/>
  <c r="C7" i="21"/>
  <c r="C5"/>
  <c r="C10" i="13"/>
  <c r="C8"/>
  <c r="C6" i="24"/>
  <c r="C4"/>
  <c r="C3"/>
  <c r="E11" s="1"/>
  <c r="E9" i="18"/>
  <c r="C10" i="16"/>
  <c r="C9"/>
  <c r="C7" i="9"/>
  <c r="C6"/>
  <c r="C5"/>
  <c r="C4"/>
  <c r="C3"/>
  <c r="E10" i="16"/>
  <c r="C8"/>
  <c r="E7" i="9"/>
  <c r="E5"/>
  <c r="E3"/>
  <c r="E8" i="7"/>
  <c r="E9" i="20"/>
  <c r="C8"/>
  <c r="E10" i="7"/>
  <c r="E8" i="20"/>
  <c r="C3"/>
  <c r="E6" i="28"/>
  <c r="E4"/>
  <c r="C10" i="27"/>
  <c r="C9"/>
  <c r="E7" i="8"/>
  <c r="E5"/>
  <c r="E3"/>
  <c r="E9" i="27"/>
  <c r="C8"/>
  <c r="C7" i="8"/>
  <c r="C6"/>
  <c r="C5"/>
  <c r="C4"/>
  <c r="C3"/>
  <c r="E6" i="25"/>
  <c r="E4"/>
  <c r="E8" i="11"/>
  <c r="C3"/>
  <c r="C7" i="25"/>
  <c r="C6"/>
  <c r="C5"/>
  <c r="C4"/>
  <c r="C3"/>
  <c r="E9" i="11"/>
  <c r="C8"/>
  <c r="C9"/>
  <c r="E9" i="7"/>
  <c r="C8"/>
  <c r="C10" i="20"/>
  <c r="C9"/>
  <c r="E7" i="28"/>
  <c r="E5"/>
  <c r="E3"/>
  <c r="E8" i="27"/>
  <c r="E6" i="8"/>
  <c r="E4"/>
  <c r="E10" i="27"/>
  <c r="E7" i="25"/>
  <c r="E5"/>
  <c r="E3"/>
  <c r="C10" i="11"/>
  <c r="E10"/>
  <c r="E3"/>
  <c r="AK82" i="2"/>
  <c r="AM82" s="1"/>
  <c r="AE82"/>
  <c r="B59" i="3"/>
  <c r="AK81" i="2"/>
  <c r="AM81" s="1"/>
  <c r="AE81"/>
  <c r="B65" i="3"/>
  <c r="AK80" i="2"/>
  <c r="AM80" s="1"/>
  <c r="AE80"/>
  <c r="B61" i="3"/>
  <c r="AK83" i="2"/>
  <c r="AM83" s="1"/>
  <c r="AE83"/>
  <c r="B63" i="3"/>
  <c r="AD80" i="2"/>
  <c r="B58" i="3"/>
  <c r="B70"/>
  <c r="B62" i="4"/>
  <c r="AD83" i="2"/>
  <c r="B73" i="3"/>
  <c r="B64"/>
  <c r="B65" i="4"/>
  <c r="AD79" i="2"/>
  <c r="B52" i="3"/>
  <c r="B69"/>
  <c r="B61" i="4"/>
  <c r="AK78" i="2"/>
  <c r="AM78" s="1"/>
  <c r="AE78"/>
  <c r="B55" i="3"/>
  <c r="AK77" i="2"/>
  <c r="AM77" s="1"/>
  <c r="AE77"/>
  <c r="B57" i="3"/>
  <c r="AK76" i="2"/>
  <c r="AM76" s="1"/>
  <c r="AE76"/>
  <c r="B53" i="3"/>
  <c r="AK79" i="2"/>
  <c r="AM79" s="1"/>
  <c r="AE79"/>
  <c r="B51" i="3"/>
  <c r="AD82" i="2"/>
  <c r="B60" i="3"/>
  <c r="B72"/>
  <c r="B64" i="4"/>
  <c r="AD78" i="2"/>
  <c r="B56" i="3"/>
  <c r="B68"/>
  <c r="B60" i="4"/>
  <c r="AD81" i="2"/>
  <c r="B71" i="3"/>
  <c r="B62"/>
  <c r="B63" i="4"/>
  <c r="AD77" i="2"/>
  <c r="B54" i="3"/>
  <c r="B67"/>
  <c r="B59" i="4"/>
  <c r="J99" i="2" l="1"/>
  <c r="AE95"/>
  <c r="AK95"/>
  <c r="AM95" s="1"/>
  <c r="AE94"/>
  <c r="F103"/>
  <c r="B72" i="4"/>
  <c r="AK94" i="2"/>
  <c r="AM94" s="1"/>
  <c r="AD95"/>
  <c r="L5" i="11"/>
  <c r="L6" i="8"/>
  <c r="L4" i="9"/>
  <c r="L5" i="17"/>
  <c r="L6" i="24"/>
  <c r="L4" i="10"/>
  <c r="L5" i="21"/>
  <c r="L6" i="16"/>
  <c r="L4" i="20"/>
  <c r="L5" i="22"/>
  <c r="L6" i="27"/>
  <c r="L4" i="18"/>
  <c r="L5" i="14"/>
  <c r="L6" i="19"/>
  <c r="L4" i="26"/>
  <c r="L5" i="28"/>
  <c r="L6" i="7"/>
  <c r="L3" i="9"/>
  <c r="L3" i="10"/>
  <c r="L3" i="20"/>
  <c r="L3" i="18"/>
  <c r="L3" i="26"/>
  <c r="L4" i="11"/>
  <c r="L5" i="8"/>
  <c r="L6" i="23"/>
  <c r="L4" i="17"/>
  <c r="L5" i="24"/>
  <c r="L6" i="13"/>
  <c r="L4" i="21"/>
  <c r="L5" i="16"/>
  <c r="L6" i="12"/>
  <c r="L4" i="22"/>
  <c r="L5" i="27"/>
  <c r="L6" i="15"/>
  <c r="L4" i="14"/>
  <c r="L5" i="19"/>
  <c r="L6" i="25"/>
  <c r="L4" i="28"/>
  <c r="L5" i="7"/>
  <c r="L3" i="23"/>
  <c r="L3" i="13"/>
  <c r="L3" i="12"/>
  <c r="L3" i="15"/>
  <c r="L3" i="25"/>
  <c r="B73" i="4"/>
  <c r="L4" i="8"/>
  <c r="L5" i="23"/>
  <c r="L6" i="9"/>
  <c r="L4" i="24"/>
  <c r="L5" i="13"/>
  <c r="L6" i="10"/>
  <c r="L4" i="16"/>
  <c r="L5" i="12"/>
  <c r="L6" i="20"/>
  <c r="L4" i="27"/>
  <c r="L5" i="15"/>
  <c r="L6" i="18"/>
  <c r="L4" i="19"/>
  <c r="L5" i="25"/>
  <c r="L6" i="26"/>
  <c r="L4" i="7"/>
  <c r="L3" i="8"/>
  <c r="L7" s="1"/>
  <c r="L3" i="24"/>
  <c r="L7" s="1"/>
  <c r="L3" i="16"/>
  <c r="L7" s="1"/>
  <c r="L3" i="27"/>
  <c r="L7" s="1"/>
  <c r="L3" i="19"/>
  <c r="L7" s="1"/>
  <c r="L3" i="7"/>
  <c r="L7" s="1"/>
  <c r="L6" i="11"/>
  <c r="L4" i="23"/>
  <c r="L5" i="9"/>
  <c r="L6" i="17"/>
  <c r="L4" i="13"/>
  <c r="L5" i="10"/>
  <c r="L6" i="21"/>
  <c r="L4" i="12"/>
  <c r="L5" i="20"/>
  <c r="L6" i="22"/>
  <c r="L4" i="15"/>
  <c r="L5" i="18"/>
  <c r="L6" i="14"/>
  <c r="L4" i="25"/>
  <c r="L5" i="26"/>
  <c r="L6" i="28"/>
  <c r="L3" i="11"/>
  <c r="L7" s="1"/>
  <c r="L3" i="17"/>
  <c r="L7" s="1"/>
  <c r="L3" i="21"/>
  <c r="L7" s="1"/>
  <c r="L3" i="22"/>
  <c r="L7" s="1"/>
  <c r="L3" i="14"/>
  <c r="L7" s="1"/>
  <c r="L3" i="28"/>
  <c r="L7" s="1"/>
  <c r="H11" i="26"/>
  <c r="H11" i="25"/>
  <c r="H11" i="8"/>
  <c r="H11" i="20"/>
  <c r="H11" i="28"/>
  <c r="H11" i="16"/>
  <c r="H11" i="7"/>
  <c r="H11" i="27"/>
  <c r="H11" i="13"/>
  <c r="H11" i="12"/>
  <c r="H11" i="15"/>
  <c r="H11" i="11"/>
  <c r="H11" i="9"/>
  <c r="H11" i="21"/>
  <c r="H11" i="18"/>
  <c r="H11" i="24"/>
  <c r="H11" i="23"/>
  <c r="H11" i="17"/>
  <c r="H11" i="10"/>
  <c r="H11" i="22"/>
  <c r="E11" i="11"/>
  <c r="E11" i="8"/>
  <c r="E11" i="20"/>
  <c r="E11" i="14"/>
  <c r="E11" i="12"/>
  <c r="E11" i="28"/>
  <c r="E11" i="21"/>
  <c r="E11" i="10"/>
  <c r="E11" i="23"/>
  <c r="E11" i="15"/>
  <c r="E11" i="16"/>
  <c r="E11" i="7"/>
  <c r="E11" i="27"/>
  <c r="E11" i="25"/>
  <c r="E11" i="9"/>
  <c r="E11" i="19"/>
  <c r="E11" i="26"/>
  <c r="E11" i="13"/>
  <c r="E11" i="18"/>
  <c r="AK103" i="2" l="1"/>
  <c r="AM103" s="1"/>
  <c r="AD101"/>
  <c r="L9" i="25"/>
  <c r="L9" i="28"/>
  <c r="L9" i="21"/>
  <c r="L9" i="22"/>
  <c r="L10" i="25"/>
  <c r="L9" i="12"/>
  <c r="L9" i="23"/>
  <c r="L10" i="14"/>
  <c r="L10" i="11"/>
  <c r="L10" i="21"/>
  <c r="L9" i="18"/>
  <c r="L9" i="20"/>
  <c r="L9" i="7"/>
  <c r="L9" i="27"/>
  <c r="L9" i="10"/>
  <c r="L9" i="8"/>
  <c r="L10" i="26"/>
  <c r="L10" i="10"/>
  <c r="L10" i="7"/>
  <c r="L10" i="27"/>
  <c r="L10" i="24"/>
  <c r="L10" i="9"/>
  <c r="L9" i="15"/>
  <c r="L11" s="1"/>
  <c r="L9" i="11"/>
  <c r="L11" s="1"/>
  <c r="L9" i="14"/>
  <c r="L11" s="1"/>
  <c r="L10" i="15"/>
  <c r="L9" i="17"/>
  <c r="L10" i="13"/>
  <c r="L9"/>
  <c r="L11" s="1"/>
  <c r="L10" i="28"/>
  <c r="L10" i="12"/>
  <c r="L10" i="22"/>
  <c r="L10" i="17"/>
  <c r="L9" i="26"/>
  <c r="L11" s="1"/>
  <c r="L10" i="23"/>
  <c r="L9" i="19"/>
  <c r="L9" i="16"/>
  <c r="L9" i="24"/>
  <c r="L11" s="1"/>
  <c r="P1" s="1"/>
  <c r="L10" i="18"/>
  <c r="L10" i="20"/>
  <c r="L9" i="9"/>
  <c r="L11" s="1"/>
  <c r="L10" i="19"/>
  <c r="L11" s="1"/>
  <c r="L10" i="16"/>
  <c r="L10" i="8"/>
  <c r="B76" i="4"/>
  <c r="AE98" i="2"/>
  <c r="AK99"/>
  <c r="AM99" s="1"/>
  <c r="B75" i="4"/>
  <c r="P1" i="11"/>
  <c r="H11" i="6"/>
  <c r="L7" i="15"/>
  <c r="L7" i="13"/>
  <c r="L7" i="18"/>
  <c r="L7" i="10"/>
  <c r="P1" i="13"/>
  <c r="P1" i="19"/>
  <c r="P1" i="15"/>
  <c r="P1" i="14"/>
  <c r="L7" i="25"/>
  <c r="L7" i="12"/>
  <c r="L7" i="23"/>
  <c r="L7" i="26"/>
  <c r="P1" s="1"/>
  <c r="L7" i="20"/>
  <c r="L7" i="9"/>
  <c r="P1" s="1"/>
  <c r="E11" i="6"/>
  <c r="O12" i="3"/>
  <c r="X12"/>
  <c r="F10"/>
  <c r="T11"/>
  <c r="I4"/>
  <c r="U5"/>
  <c r="R3"/>
  <c r="E4"/>
  <c r="O19"/>
  <c r="X19"/>
  <c r="F17"/>
  <c r="T18"/>
  <c r="C10"/>
  <c r="P11"/>
  <c r="K9"/>
  <c r="M9"/>
  <c r="G25"/>
  <c r="U2"/>
  <c r="L23"/>
  <c r="S24"/>
  <c r="C16"/>
  <c r="G18"/>
  <c r="X14"/>
  <c r="V6"/>
  <c r="R7"/>
  <c r="O5"/>
  <c r="X5"/>
  <c r="O21"/>
  <c r="X21"/>
  <c r="F19"/>
  <c r="S12"/>
  <c r="G13"/>
  <c r="H10"/>
  <c r="L11"/>
  <c r="V3"/>
  <c r="R4"/>
  <c r="O2"/>
  <c r="X2"/>
  <c r="G20"/>
  <c r="V21"/>
  <c r="W16"/>
  <c r="C18"/>
  <c r="V10"/>
  <c r="R11"/>
  <c r="O9"/>
  <c r="X9"/>
  <c r="I28"/>
  <c r="U29"/>
  <c r="R27"/>
  <c r="E28"/>
  <c r="G15"/>
  <c r="W15"/>
  <c r="L13"/>
  <c r="S14"/>
  <c r="V7"/>
  <c r="R8"/>
  <c r="O6"/>
  <c r="X6"/>
  <c r="G27"/>
  <c r="W27"/>
  <c r="L25"/>
  <c r="S26"/>
  <c r="J20"/>
  <c r="N13"/>
  <c r="Q14"/>
  <c r="G12"/>
  <c r="W12"/>
  <c r="M4"/>
  <c r="C5"/>
  <c r="Q3"/>
  <c r="K4"/>
  <c r="G19"/>
  <c r="W19"/>
  <c r="L17"/>
  <c r="S18"/>
  <c r="R10"/>
  <c r="E11"/>
  <c r="X8"/>
  <c r="V9"/>
  <c r="D25"/>
  <c r="C2"/>
  <c r="U23"/>
  <c r="J24"/>
  <c r="Q16"/>
  <c r="I17"/>
  <c r="W14"/>
  <c r="N6"/>
  <c r="Q7"/>
  <c r="G5"/>
  <c r="W5"/>
  <c r="G21"/>
  <c r="W21"/>
  <c r="L19"/>
  <c r="J12"/>
  <c r="D13"/>
  <c r="I10"/>
  <c r="U11"/>
  <c r="N3"/>
  <c r="Q4"/>
  <c r="G2"/>
  <c r="W2"/>
  <c r="E23"/>
  <c r="L24"/>
  <c r="I19"/>
  <c r="T21"/>
  <c r="N10"/>
  <c r="Q11"/>
  <c r="G9"/>
  <c r="W9"/>
  <c r="M28"/>
  <c r="V2"/>
  <c r="Q27"/>
  <c r="K28"/>
  <c r="T16"/>
  <c r="O17"/>
  <c r="D15"/>
  <c r="F15"/>
  <c r="N7"/>
  <c r="Q8"/>
  <c r="G6"/>
  <c r="W6"/>
  <c r="D27"/>
  <c r="F27"/>
  <c r="U25"/>
  <c r="J26"/>
  <c r="U21"/>
  <c r="M29"/>
  <c r="V74"/>
  <c r="R12"/>
  <c r="E13"/>
  <c r="X10"/>
  <c r="V11"/>
  <c r="U3"/>
  <c r="J4"/>
  <c r="E2"/>
  <c r="I2"/>
  <c r="R19"/>
  <c r="E20"/>
  <c r="X17"/>
  <c r="V18"/>
  <c r="L10"/>
  <c r="S11"/>
  <c r="P9"/>
  <c r="H9"/>
  <c r="W23"/>
  <c r="N24"/>
  <c r="S22"/>
  <c r="G23"/>
  <c r="E15"/>
  <c r="I15"/>
  <c r="V13"/>
  <c r="R14"/>
  <c r="U7"/>
  <c r="J8"/>
  <c r="E6"/>
  <c r="I6"/>
  <c r="E22"/>
  <c r="I22"/>
  <c r="V20"/>
  <c r="Q13"/>
  <c r="K14"/>
  <c r="W11"/>
  <c r="N12"/>
  <c r="U4"/>
  <c r="J5"/>
  <c r="E3"/>
  <c r="C20"/>
  <c r="G22"/>
  <c r="J17"/>
  <c r="W18"/>
  <c r="R9"/>
  <c r="E10"/>
  <c r="X7"/>
  <c r="V8"/>
  <c r="D29"/>
  <c r="F29"/>
  <c r="U27"/>
  <c r="J28"/>
  <c r="Q15"/>
  <c r="K16"/>
  <c r="W13"/>
  <c r="N14"/>
  <c r="R6"/>
  <c r="E7"/>
  <c r="X4"/>
  <c r="V5"/>
  <c r="W25"/>
  <c r="N26"/>
  <c r="J23"/>
  <c r="W24"/>
  <c r="H51"/>
  <c r="Q12"/>
  <c r="K13"/>
  <c r="W10"/>
  <c r="N11"/>
  <c r="C3"/>
  <c r="P4"/>
  <c r="K2"/>
  <c r="M2"/>
  <c r="Q19"/>
  <c r="K20"/>
  <c r="W17"/>
  <c r="N18"/>
  <c r="U10"/>
  <c r="J11"/>
  <c r="E9"/>
  <c r="I9"/>
  <c r="O25"/>
  <c r="L2"/>
  <c r="F23"/>
  <c r="T24"/>
  <c r="L16"/>
  <c r="Q18"/>
  <c r="K15"/>
  <c r="M15"/>
  <c r="C7"/>
  <c r="P8"/>
  <c r="K6"/>
  <c r="M6"/>
  <c r="K22"/>
  <c r="M22"/>
  <c r="T12"/>
  <c r="O13"/>
  <c r="D11"/>
  <c r="F11"/>
  <c r="M3"/>
  <c r="C4"/>
  <c r="Q2"/>
  <c r="K3"/>
  <c r="Q20"/>
  <c r="I21"/>
  <c r="E17"/>
  <c r="L18"/>
  <c r="Q9"/>
  <c r="K10"/>
  <c r="W7"/>
  <c r="N8"/>
  <c r="H28"/>
  <c r="L29"/>
  <c r="C27"/>
  <c r="P28"/>
  <c r="O15"/>
  <c r="X15"/>
  <c r="F13"/>
  <c r="T14"/>
  <c r="M7"/>
  <c r="C8"/>
  <c r="Q6"/>
  <c r="K7"/>
  <c r="O27"/>
  <c r="X27"/>
  <c r="F25"/>
  <c r="T26"/>
  <c r="T20"/>
  <c r="P29"/>
  <c r="I74"/>
  <c r="J13"/>
  <c r="V17"/>
  <c r="I11"/>
  <c r="F3"/>
  <c r="T4"/>
  <c r="J2"/>
  <c r="D3"/>
  <c r="E18"/>
  <c r="I18"/>
  <c r="V16"/>
  <c r="R17"/>
  <c r="S9"/>
  <c r="G10"/>
  <c r="H7"/>
  <c r="L8"/>
  <c r="K24"/>
  <c r="M24"/>
  <c r="N22"/>
  <c r="Q23"/>
  <c r="J15"/>
  <c r="D16"/>
  <c r="I13"/>
  <c r="U14"/>
  <c r="F7"/>
  <c r="T8"/>
  <c r="J6"/>
  <c r="D7"/>
  <c r="J22"/>
  <c r="D23"/>
  <c r="I20"/>
  <c r="C13"/>
  <c r="P14"/>
  <c r="K12"/>
  <c r="M12"/>
  <c r="F4"/>
  <c r="T5"/>
  <c r="J3"/>
  <c r="D4"/>
  <c r="C22"/>
  <c r="G29"/>
  <c r="J19"/>
  <c r="U9"/>
  <c r="J10"/>
  <c r="E8"/>
  <c r="I8"/>
  <c r="U39"/>
  <c r="X29"/>
  <c r="S2"/>
  <c r="T28"/>
  <c r="O29"/>
  <c r="P16"/>
  <c r="H16"/>
  <c r="M14"/>
  <c r="U6"/>
  <c r="J7"/>
  <c r="E5"/>
  <c r="I5"/>
  <c r="K26"/>
  <c r="M26"/>
  <c r="V23"/>
  <c r="Q25"/>
  <c r="P41"/>
  <c r="C12"/>
  <c r="P13"/>
  <c r="K11"/>
  <c r="M11"/>
  <c r="L3"/>
  <c r="S4"/>
  <c r="P2"/>
  <c r="H2"/>
  <c r="K18"/>
  <c r="M18"/>
  <c r="N16"/>
  <c r="Q17"/>
  <c r="J9"/>
  <c r="D10"/>
  <c r="I7"/>
  <c r="U8"/>
  <c r="X23"/>
  <c r="V24"/>
  <c r="T22"/>
  <c r="O23"/>
  <c r="P15"/>
  <c r="H15"/>
  <c r="M13"/>
  <c r="C14"/>
  <c r="L7"/>
  <c r="S8"/>
  <c r="P6"/>
  <c r="H6"/>
  <c r="P22"/>
  <c r="H22"/>
  <c r="M20"/>
  <c r="R13"/>
  <c r="E14"/>
  <c r="X11"/>
  <c r="V12"/>
  <c r="L4"/>
  <c r="S5"/>
  <c r="P3"/>
  <c r="L20"/>
  <c r="Q22"/>
  <c r="T17"/>
  <c r="E19"/>
  <c r="C9"/>
  <c r="P10"/>
  <c r="K8"/>
  <c r="M8"/>
  <c r="R15"/>
  <c r="E16"/>
  <c r="X13"/>
  <c r="V14"/>
  <c r="C6"/>
  <c r="P7"/>
  <c r="K5"/>
  <c r="M5"/>
  <c r="X25"/>
  <c r="V26"/>
  <c r="T23"/>
  <c r="E25"/>
  <c r="N29"/>
  <c r="G30"/>
  <c r="M63"/>
  <c r="J74"/>
  <c r="T13"/>
  <c r="O14"/>
  <c r="D12"/>
  <c r="F12"/>
  <c r="V4"/>
  <c r="R5"/>
  <c r="O3"/>
  <c r="J18"/>
  <c r="D19"/>
  <c r="I16"/>
  <c r="U17"/>
  <c r="N9"/>
  <c r="Q10"/>
  <c r="G8"/>
  <c r="W8"/>
  <c r="H3"/>
  <c r="H24"/>
  <c r="R2"/>
  <c r="C23"/>
  <c r="P24"/>
  <c r="O16"/>
  <c r="P26"/>
  <c r="F14"/>
  <c r="T6"/>
  <c r="O7"/>
  <c r="D5"/>
  <c r="F5"/>
  <c r="D21"/>
  <c r="F21"/>
  <c r="U19"/>
  <c r="P12"/>
  <c r="H12"/>
  <c r="M10"/>
  <c r="C11"/>
  <c r="T3"/>
  <c r="O4"/>
  <c r="D2"/>
  <c r="F2"/>
  <c r="W22"/>
  <c r="C24"/>
  <c r="V19"/>
  <c r="J21"/>
  <c r="T10"/>
  <c r="O11"/>
  <c r="D9"/>
  <c r="F9"/>
  <c r="E30"/>
  <c r="N2"/>
  <c r="V28"/>
  <c r="R29"/>
  <c r="S16"/>
  <c r="G17"/>
  <c r="H14"/>
  <c r="L15"/>
  <c r="T7"/>
  <c r="O8"/>
  <c r="D6"/>
  <c r="D14"/>
  <c r="R21"/>
  <c r="S13"/>
  <c r="G14"/>
  <c r="H11"/>
  <c r="L12"/>
  <c r="N4"/>
  <c r="Q5"/>
  <c r="G3"/>
  <c r="P18"/>
  <c r="H18"/>
  <c r="M16"/>
  <c r="C17"/>
  <c r="T9"/>
  <c r="O10"/>
  <c r="D8"/>
  <c r="F8"/>
  <c r="E24"/>
  <c r="I24"/>
  <c r="V22"/>
  <c r="R23"/>
  <c r="S15"/>
  <c r="G16"/>
  <c r="H13"/>
  <c r="L14"/>
  <c r="S6"/>
  <c r="G7"/>
  <c r="H4"/>
  <c r="L5"/>
  <c r="H20"/>
  <c r="L21"/>
  <c r="C19"/>
  <c r="U13"/>
  <c r="J14"/>
  <c r="E12"/>
  <c r="I12"/>
  <c r="W4"/>
  <c r="N5"/>
  <c r="S3"/>
  <c r="G4"/>
  <c r="L22"/>
  <c r="Q24"/>
  <c r="T19"/>
  <c r="E21"/>
  <c r="S10"/>
  <c r="G11"/>
  <c r="H8"/>
  <c r="L9"/>
  <c r="K30"/>
  <c r="T2"/>
  <c r="N28"/>
  <c r="Q29"/>
  <c r="J16"/>
  <c r="D17"/>
  <c r="I14"/>
  <c r="L6"/>
  <c r="S7"/>
  <c r="P5"/>
  <c r="H5"/>
  <c r="E26"/>
  <c r="I26"/>
  <c r="I23"/>
  <c r="R25"/>
  <c r="W3"/>
  <c r="X3"/>
  <c r="K75"/>
  <c r="E86"/>
  <c r="S85"/>
  <c r="K73"/>
  <c r="Q72"/>
  <c r="P83"/>
  <c r="T82"/>
  <c r="G70"/>
  <c r="S69"/>
  <c r="J80"/>
  <c r="N79"/>
  <c r="P67"/>
  <c r="C66"/>
  <c r="S77"/>
  <c r="V76"/>
  <c r="Q64"/>
  <c r="N63"/>
  <c r="T74"/>
  <c r="M73"/>
  <c r="S61"/>
  <c r="L60"/>
  <c r="N71"/>
  <c r="W70"/>
  <c r="C58"/>
  <c r="M57"/>
  <c r="L68"/>
  <c r="H67"/>
  <c r="N55"/>
  <c r="I54"/>
  <c r="M65"/>
  <c r="K65"/>
  <c r="V52"/>
  <c r="X51"/>
  <c r="W62"/>
  <c r="G62"/>
  <c r="F49"/>
  <c r="D49"/>
  <c r="H59"/>
  <c r="P59"/>
  <c r="I46"/>
  <c r="E46"/>
  <c r="K57"/>
  <c r="Q56"/>
  <c r="X43"/>
  <c r="V42"/>
  <c r="E54"/>
  <c r="R53"/>
  <c r="M41"/>
  <c r="K41"/>
  <c r="O51"/>
  <c r="T50"/>
  <c r="W38"/>
  <c r="G38"/>
  <c r="J48"/>
  <c r="U47"/>
  <c r="H35"/>
  <c r="P35"/>
  <c r="R45"/>
  <c r="V44"/>
  <c r="K33"/>
  <c r="Q32"/>
  <c r="P43"/>
  <c r="C42"/>
  <c r="F32"/>
  <c r="L31"/>
  <c r="J67"/>
  <c r="E69"/>
  <c r="S72"/>
  <c r="U55"/>
  <c r="K40"/>
  <c r="F42"/>
  <c r="S42"/>
  <c r="I81"/>
  <c r="K42"/>
  <c r="F24"/>
  <c r="N48"/>
  <c r="T49"/>
  <c r="D74"/>
  <c r="L43"/>
  <c r="Q87"/>
  <c r="D86"/>
  <c r="J96"/>
  <c r="N53"/>
  <c r="E57"/>
  <c r="V67"/>
  <c r="H70"/>
  <c r="F58"/>
  <c r="W80"/>
  <c r="J35"/>
  <c r="H50"/>
  <c r="D54"/>
  <c r="X52"/>
  <c r="X63"/>
  <c r="G80"/>
  <c r="G86"/>
  <c r="E72"/>
  <c r="X34"/>
  <c r="K84"/>
  <c r="L59"/>
  <c r="T70"/>
  <c r="L53"/>
  <c r="L54"/>
  <c r="R54"/>
  <c r="E62"/>
  <c r="H34"/>
  <c r="V37"/>
  <c r="N84"/>
  <c r="V85"/>
  <c r="C70"/>
  <c r="U71"/>
  <c r="X81"/>
  <c r="K17"/>
  <c r="X42"/>
  <c r="J45"/>
  <c r="K56"/>
  <c r="I66"/>
  <c r="D82"/>
  <c r="O26"/>
  <c r="T69"/>
  <c r="N62"/>
  <c r="R73"/>
  <c r="S32"/>
  <c r="V51"/>
  <c r="T40"/>
  <c r="V75"/>
  <c r="H56"/>
  <c r="H60"/>
  <c r="U69"/>
  <c r="P75"/>
  <c r="P85"/>
  <c r="T84"/>
  <c r="G72"/>
  <c r="S71"/>
  <c r="J82"/>
  <c r="N81"/>
  <c r="P69"/>
  <c r="C68"/>
  <c r="S79"/>
  <c r="V78"/>
  <c r="Q66"/>
  <c r="N65"/>
  <c r="T76"/>
  <c r="M75"/>
  <c r="S63"/>
  <c r="L62"/>
  <c r="N73"/>
  <c r="W72"/>
  <c r="C60"/>
  <c r="M59"/>
  <c r="L70"/>
  <c r="H69"/>
  <c r="N57"/>
  <c r="W56"/>
  <c r="M67"/>
  <c r="K67"/>
  <c r="V54"/>
  <c r="X53"/>
  <c r="W64"/>
  <c r="S20"/>
  <c r="F51"/>
  <c r="D51"/>
  <c r="H61"/>
  <c r="P61"/>
  <c r="I48"/>
  <c r="E48"/>
  <c r="K59"/>
  <c r="Q58"/>
  <c r="X45"/>
  <c r="O45"/>
  <c r="G56"/>
  <c r="S55"/>
  <c r="J42"/>
  <c r="K43"/>
  <c r="O53"/>
  <c r="T52"/>
  <c r="W40"/>
  <c r="G40"/>
  <c r="J50"/>
  <c r="U49"/>
  <c r="H37"/>
  <c r="P37"/>
  <c r="R47"/>
  <c r="V46"/>
  <c r="K35"/>
  <c r="Q34"/>
  <c r="T44"/>
  <c r="F43"/>
  <c r="G32"/>
  <c r="S31"/>
  <c r="Q42"/>
  <c r="N41"/>
  <c r="C74"/>
  <c r="G79"/>
  <c r="W74"/>
  <c r="L76"/>
  <c r="T39"/>
  <c r="E63"/>
  <c r="P64"/>
  <c r="U88"/>
  <c r="Q82"/>
  <c r="V89"/>
  <c r="P52"/>
  <c r="M70"/>
  <c r="E56"/>
  <c r="M34"/>
  <c r="O62"/>
  <c r="Q80"/>
  <c r="T60"/>
  <c r="E29"/>
  <c r="P78"/>
  <c r="V53"/>
  <c r="V64"/>
  <c r="O75"/>
  <c r="D38"/>
  <c r="K76"/>
  <c r="V83"/>
  <c r="G81"/>
  <c r="T58"/>
  <c r="D18"/>
  <c r="D20"/>
  <c r="T63"/>
  <c r="D44"/>
  <c r="X78"/>
  <c r="F80"/>
  <c r="F96"/>
  <c r="X28"/>
  <c r="R52"/>
  <c r="O61"/>
  <c r="U81"/>
  <c r="I59"/>
  <c r="I63"/>
  <c r="G59"/>
  <c r="C83"/>
  <c r="X77"/>
  <c r="D28"/>
  <c r="R84"/>
  <c r="P40"/>
  <c r="J63"/>
  <c r="N66"/>
  <c r="F88"/>
  <c r="P34"/>
  <c r="J25"/>
  <c r="O72"/>
  <c r="S64"/>
  <c r="K72"/>
  <c r="D77"/>
  <c r="I31"/>
  <c r="M78"/>
  <c r="N56"/>
  <c r="X85"/>
  <c r="E82"/>
  <c r="I87"/>
  <c r="N45"/>
  <c r="G49"/>
  <c r="N75"/>
  <c r="K39"/>
  <c r="H25"/>
  <c r="G36"/>
  <c r="P21"/>
  <c r="P33"/>
  <c r="F41"/>
  <c r="Q30"/>
  <c r="I38"/>
  <c r="S27"/>
  <c r="X35"/>
  <c r="H23"/>
  <c r="D33"/>
  <c r="U18"/>
  <c r="T30"/>
  <c r="J40"/>
  <c r="H26"/>
  <c r="R37"/>
  <c r="W20"/>
  <c r="T34"/>
  <c r="U12"/>
  <c r="U31"/>
  <c r="O43"/>
  <c r="S28"/>
  <c r="P87"/>
  <c r="C25"/>
  <c r="J84"/>
  <c r="T15"/>
  <c r="S81"/>
  <c r="W44"/>
  <c r="T78"/>
  <c r="V88"/>
  <c r="L64"/>
  <c r="O80"/>
  <c r="S89"/>
  <c r="T73"/>
  <c r="F65"/>
  <c r="E41"/>
  <c r="Q83"/>
  <c r="D22"/>
  <c r="L80"/>
  <c r="N44"/>
  <c r="K70"/>
  <c r="R96"/>
  <c r="S46"/>
  <c r="K66"/>
  <c r="P32"/>
  <c r="J49"/>
  <c r="E45"/>
  <c r="X57"/>
  <c r="E85"/>
  <c r="X46"/>
  <c r="K52"/>
  <c r="L71"/>
  <c r="R81"/>
  <c r="U28"/>
  <c r="T79"/>
  <c r="X65"/>
  <c r="K23"/>
  <c r="J81"/>
  <c r="L41"/>
  <c r="U44"/>
  <c r="W55"/>
  <c r="W96"/>
  <c r="S29"/>
  <c r="C26"/>
  <c r="O22"/>
  <c r="X16"/>
  <c r="R39"/>
  <c r="T36"/>
  <c r="U33"/>
  <c r="V30"/>
  <c r="P51"/>
  <c r="Q48"/>
  <c r="S45"/>
  <c r="P89"/>
  <c r="J86"/>
  <c r="S83"/>
  <c r="T80"/>
  <c r="N77"/>
  <c r="N78"/>
  <c r="I47"/>
  <c r="S34"/>
  <c r="L49"/>
  <c r="K86"/>
  <c r="K19"/>
  <c r="O96"/>
  <c r="S56"/>
  <c r="L86"/>
  <c r="S53"/>
  <c r="U59"/>
  <c r="H80"/>
  <c r="D87"/>
  <c r="O36"/>
  <c r="W65"/>
  <c r="K44"/>
  <c r="Q71"/>
  <c r="G82"/>
  <c r="G41"/>
  <c r="R66"/>
  <c r="U58"/>
  <c r="O66"/>
  <c r="L63"/>
  <c r="J64"/>
  <c r="E27"/>
  <c r="M50"/>
  <c r="M47"/>
  <c r="J87"/>
  <c r="J70"/>
  <c r="M30"/>
  <c r="J31"/>
  <c r="S80"/>
  <c r="O44"/>
  <c r="E55"/>
  <c r="M58"/>
  <c r="P36"/>
  <c r="I57"/>
  <c r="P74"/>
  <c r="C77"/>
  <c r="R76"/>
  <c r="O87"/>
  <c r="R87"/>
  <c r="I62"/>
  <c r="N64"/>
  <c r="Q33"/>
  <c r="F60"/>
  <c r="H82"/>
  <c r="O86"/>
  <c r="R69"/>
  <c r="O32"/>
  <c r="U54"/>
  <c r="D32"/>
  <c r="J75"/>
  <c r="X44"/>
  <c r="X55"/>
  <c r="F54"/>
  <c r="C33"/>
  <c r="Q73"/>
  <c r="D69"/>
  <c r="G55"/>
  <c r="P56"/>
  <c r="U80"/>
  <c r="T89"/>
  <c r="F36"/>
  <c r="W88"/>
  <c r="H53"/>
  <c r="W33"/>
  <c r="N76"/>
  <c r="Q54"/>
  <c r="D63"/>
  <c r="M19"/>
  <c r="F75"/>
  <c r="V3" i="4"/>
  <c r="P39" i="3"/>
  <c r="Q36"/>
  <c r="S33"/>
  <c r="C30"/>
  <c r="N27"/>
  <c r="O24"/>
  <c r="X18"/>
  <c r="P20"/>
  <c r="U37"/>
  <c r="V34"/>
  <c r="F31"/>
  <c r="Q52"/>
  <c r="S49"/>
  <c r="C46"/>
  <c r="U43"/>
  <c r="S87"/>
  <c r="R38"/>
  <c r="X30"/>
  <c r="Q78"/>
  <c r="E39"/>
  <c r="R61"/>
  <c r="D76"/>
  <c r="E67"/>
  <c r="X88"/>
  <c r="M74"/>
  <c r="W59"/>
  <c r="R24"/>
  <c r="Q63"/>
  <c r="E71"/>
  <c r="Q53"/>
  <c r="L3" i="4"/>
  <c r="X48" i="3"/>
  <c r="U74"/>
  <c r="F16"/>
  <c r="R16"/>
  <c r="M56"/>
  <c r="K96"/>
  <c r="W49"/>
  <c r="M66"/>
  <c r="U34"/>
  <c r="T47"/>
  <c r="O73"/>
  <c r="R28"/>
  <c r="S76"/>
  <c r="C84"/>
  <c r="S40"/>
  <c r="N36"/>
  <c r="P86"/>
  <c r="V72"/>
  <c r="H96"/>
  <c r="G45"/>
  <c r="E47"/>
  <c r="J73"/>
  <c r="H30"/>
  <c r="N80"/>
  <c r="R55"/>
  <c r="L87"/>
  <c r="F30"/>
  <c r="C55"/>
  <c r="L82"/>
  <c r="Q3" i="4"/>
  <c r="Q4"/>
  <c r="J65" i="3"/>
  <c r="N58"/>
  <c r="O71"/>
  <c r="X72"/>
  <c r="R43"/>
  <c r="S51"/>
  <c r="E77"/>
  <c r="Q89"/>
  <c r="H46"/>
  <c r="W57"/>
  <c r="D85"/>
  <c r="X40"/>
  <c r="F18"/>
  <c r="T57"/>
  <c r="X82"/>
  <c r="E31"/>
  <c r="O70"/>
  <c r="Q75"/>
  <c r="G37"/>
  <c r="V57"/>
  <c r="G51"/>
  <c r="F63"/>
  <c r="T33"/>
  <c r="H3" i="4"/>
  <c r="D58" i="3"/>
  <c r="X61"/>
  <c r="D68"/>
  <c r="C3" i="4"/>
  <c r="S39" i="3"/>
  <c r="Q26"/>
  <c r="C36"/>
  <c r="H21"/>
  <c r="N33"/>
  <c r="U16"/>
  <c r="L30"/>
  <c r="O39"/>
  <c r="M27"/>
  <c r="J36"/>
  <c r="U24"/>
  <c r="R33"/>
  <c r="P19"/>
  <c r="W29"/>
  <c r="M85"/>
  <c r="K85"/>
  <c r="L72"/>
  <c r="H71"/>
  <c r="I82"/>
  <c r="U15"/>
  <c r="M69"/>
  <c r="K69"/>
  <c r="H79"/>
  <c r="P79"/>
  <c r="W66"/>
  <c r="G66"/>
  <c r="K77"/>
  <c r="J76"/>
  <c r="H63"/>
  <c r="P63"/>
  <c r="E74"/>
  <c r="S73"/>
  <c r="K61"/>
  <c r="Q60"/>
  <c r="P71"/>
  <c r="V15"/>
  <c r="G58"/>
  <c r="S57"/>
  <c r="Q68"/>
  <c r="N67"/>
  <c r="O55"/>
  <c r="T54"/>
  <c r="S65"/>
  <c r="C21"/>
  <c r="J52"/>
  <c r="U51"/>
  <c r="C62"/>
  <c r="M61"/>
  <c r="R49"/>
  <c r="V48"/>
  <c r="N59"/>
  <c r="W58"/>
  <c r="T46"/>
  <c r="F45"/>
  <c r="L56"/>
  <c r="H55"/>
  <c r="C43"/>
  <c r="N43"/>
  <c r="F53"/>
  <c r="D53"/>
  <c r="S41"/>
  <c r="L40"/>
  <c r="I50"/>
  <c r="E50"/>
  <c r="C38"/>
  <c r="M37"/>
  <c r="X47"/>
  <c r="O47"/>
  <c r="N35"/>
  <c r="W34"/>
  <c r="D45"/>
  <c r="J44"/>
  <c r="L32"/>
  <c r="H31"/>
  <c r="W42"/>
  <c r="G42"/>
  <c r="G64"/>
  <c r="I29"/>
  <c r="P80"/>
  <c r="P84"/>
  <c r="Q85"/>
  <c r="V70"/>
  <c r="V27"/>
  <c r="M76"/>
  <c r="O58"/>
  <c r="D48"/>
  <c r="F59"/>
  <c r="O34"/>
  <c r="J83"/>
  <c r="H58"/>
  <c r="F69"/>
  <c r="H84"/>
  <c r="G73"/>
  <c r="X74"/>
  <c r="F85"/>
  <c r="S21"/>
  <c r="D70"/>
  <c r="M82"/>
  <c r="W83"/>
  <c r="U83"/>
  <c r="D96"/>
  <c r="R42"/>
  <c r="D66"/>
  <c r="G67"/>
  <c r="P68"/>
  <c r="D71"/>
  <c r="C49"/>
  <c r="E33"/>
  <c r="Q45"/>
  <c r="Q49"/>
  <c r="O50"/>
  <c r="F74"/>
  <c r="J39"/>
  <c r="S88"/>
  <c r="O89"/>
  <c r="R67"/>
  <c r="R71"/>
  <c r="R20"/>
  <c r="V71"/>
  <c r="U70"/>
  <c r="W73"/>
  <c r="I49"/>
  <c r="F84"/>
  <c r="I70"/>
  <c r="V33"/>
  <c r="J57"/>
  <c r="S58"/>
  <c r="G71"/>
  <c r="F79"/>
  <c r="T31"/>
  <c r="T35"/>
  <c r="E53"/>
  <c r="L77"/>
  <c r="Q86"/>
  <c r="M44"/>
  <c r="W76"/>
  <c r="I55"/>
  <c r="I43"/>
  <c r="V45"/>
  <c r="V56"/>
  <c r="W28"/>
  <c r="N85"/>
  <c r="I84"/>
  <c r="C72"/>
  <c r="M71"/>
  <c r="V82"/>
  <c r="H81"/>
  <c r="N69"/>
  <c r="W68"/>
  <c r="M79"/>
  <c r="K79"/>
  <c r="L66"/>
  <c r="H65"/>
  <c r="I76"/>
  <c r="E76"/>
  <c r="E52"/>
  <c r="K63"/>
  <c r="H73"/>
  <c r="P73"/>
  <c r="W60"/>
  <c r="G60"/>
  <c r="K71"/>
  <c r="Q70"/>
  <c r="H57"/>
  <c r="P57"/>
  <c r="G68"/>
  <c r="S67"/>
  <c r="D55"/>
  <c r="J54"/>
  <c r="P65"/>
  <c r="C64"/>
  <c r="F33"/>
  <c r="R51"/>
  <c r="Q62"/>
  <c r="N61"/>
  <c r="O49"/>
  <c r="T48"/>
  <c r="S59"/>
  <c r="L58"/>
  <c r="J46"/>
  <c r="U45"/>
  <c r="C56"/>
  <c r="M55"/>
  <c r="G43"/>
  <c r="S43"/>
  <c r="U53"/>
  <c r="I52"/>
  <c r="I3"/>
  <c r="C40"/>
  <c r="V50"/>
  <c r="X49"/>
  <c r="Q38"/>
  <c r="N37"/>
  <c r="F47"/>
  <c r="D47"/>
  <c r="S35"/>
  <c r="L34"/>
  <c r="I44"/>
  <c r="E44"/>
  <c r="C32"/>
  <c r="M31"/>
  <c r="L42"/>
  <c r="H41"/>
  <c r="U38"/>
  <c r="E61"/>
  <c r="D42"/>
  <c r="F87"/>
  <c r="U26"/>
  <c r="K48"/>
  <c r="E51"/>
  <c r="C73"/>
  <c r="Q84"/>
  <c r="R70"/>
  <c r="N3" i="4"/>
  <c r="N4" s="1"/>
  <c r="H86" i="3"/>
  <c r="D80"/>
  <c r="G89"/>
  <c r="O28"/>
  <c r="J69"/>
  <c r="J27"/>
  <c r="O40"/>
  <c r="Q43"/>
  <c r="R44"/>
  <c r="H68"/>
  <c r="U77"/>
  <c r="K25"/>
  <c r="N46"/>
  <c r="H88"/>
  <c r="O46"/>
  <c r="O88"/>
  <c r="U73"/>
  <c r="W52"/>
  <c r="R56"/>
  <c r="R3" i="4"/>
  <c r="J55" i="3"/>
  <c r="X59"/>
  <c r="Q96"/>
  <c r="I56"/>
  <c r="C35"/>
  <c r="X62"/>
  <c r="G85"/>
  <c r="N30"/>
  <c r="D36"/>
  <c r="N54"/>
  <c r="I51"/>
  <c r="S68"/>
  <c r="O79"/>
  <c r="G78"/>
  <c r="E35"/>
  <c r="X38"/>
  <c r="S74"/>
  <c r="S78"/>
  <c r="C79"/>
  <c r="I64"/>
  <c r="W31"/>
  <c r="J59"/>
  <c r="W69"/>
  <c r="Q77"/>
  <c r="Q81"/>
  <c r="S38"/>
  <c r="I65"/>
  <c r="K88"/>
  <c r="F89"/>
  <c r="Q74"/>
  <c r="R63"/>
  <c r="M32"/>
  <c r="M36"/>
  <c r="D62"/>
  <c r="M39"/>
  <c r="L26"/>
  <c r="W36"/>
  <c r="U22"/>
  <c r="H33"/>
  <c r="P17"/>
  <c r="K31"/>
  <c r="X26"/>
  <c r="G28"/>
  <c r="V36"/>
  <c r="P25"/>
  <c r="G24"/>
  <c r="H19"/>
  <c r="I30"/>
  <c r="D41"/>
  <c r="Q21"/>
  <c r="E38"/>
  <c r="F6"/>
  <c r="O35"/>
  <c r="C15"/>
  <c r="J32"/>
  <c r="G52"/>
  <c r="L27"/>
  <c r="Q46"/>
  <c r="T86"/>
  <c r="L50"/>
  <c r="N83"/>
  <c r="N15"/>
  <c r="V80"/>
  <c r="G44"/>
  <c r="M77"/>
  <c r="H87"/>
  <c r="L75"/>
  <c r="O84"/>
  <c r="Q51"/>
  <c r="F76"/>
  <c r="F55"/>
  <c r="K80"/>
  <c r="T66"/>
  <c r="X84"/>
  <c r="C82"/>
  <c r="X68"/>
  <c r="F82"/>
  <c r="E43"/>
  <c r="P88"/>
  <c r="L74"/>
  <c r="C89"/>
  <c r="S52"/>
  <c r="E49"/>
  <c r="M38"/>
  <c r="R88"/>
  <c r="G54"/>
  <c r="R68"/>
  <c r="N70"/>
  <c r="U57"/>
  <c r="U32"/>
  <c r="Q57"/>
  <c r="G35"/>
  <c r="J77"/>
  <c r="I60"/>
  <c r="O42"/>
  <c r="M3" i="4"/>
  <c r="I96" i="3"/>
  <c r="W37"/>
  <c r="N39"/>
  <c r="L36"/>
  <c r="M33"/>
  <c r="W30"/>
  <c r="H27"/>
  <c r="X24"/>
  <c r="N19"/>
  <c r="I40"/>
  <c r="X37"/>
  <c r="D35"/>
  <c r="E32"/>
  <c r="L52"/>
  <c r="M49"/>
  <c r="W46"/>
  <c r="H43"/>
  <c r="M87"/>
  <c r="M21"/>
  <c r="D81"/>
  <c r="X86"/>
  <c r="Q69"/>
  <c r="U89"/>
  <c r="U96"/>
  <c r="P54"/>
  <c r="U78"/>
  <c r="V59"/>
  <c r="F46"/>
  <c r="F38"/>
  <c r="R74"/>
  <c r="D56"/>
  <c r="R22"/>
  <c r="W51"/>
  <c r="X60"/>
  <c r="R86"/>
  <c r="H49"/>
  <c r="C53"/>
  <c r="K34"/>
  <c r="T71"/>
  <c r="T75"/>
  <c r="X54"/>
  <c r="W35"/>
  <c r="R36"/>
  <c r="T85"/>
  <c r="V61"/>
  <c r="R57"/>
  <c r="O59"/>
  <c r="S19"/>
  <c r="L45"/>
  <c r="U46"/>
  <c r="C59"/>
  <c r="E68"/>
  <c r="C41"/>
  <c r="F22"/>
  <c r="X64"/>
  <c r="J89"/>
  <c r="V96"/>
  <c r="X89"/>
  <c r="C76"/>
  <c r="O85"/>
  <c r="C31"/>
  <c r="F20"/>
  <c r="F26"/>
  <c r="V73"/>
  <c r="J51"/>
  <c r="R83"/>
  <c r="H40"/>
  <c r="J3" i="4"/>
  <c r="J37" i="3"/>
  <c r="J41"/>
  <c r="S82"/>
  <c r="P60"/>
  <c r="I68"/>
  <c r="X69"/>
  <c r="G61"/>
  <c r="R30"/>
  <c r="F40"/>
  <c r="M42"/>
  <c r="C65"/>
  <c r="Q76"/>
  <c r="W86"/>
  <c r="H48"/>
  <c r="K82"/>
  <c r="C48"/>
  <c r="P46"/>
  <c r="I85"/>
  <c r="R89"/>
  <c r="J72"/>
  <c r="J29"/>
  <c r="E3" i="4"/>
  <c r="N96" i="3"/>
  <c r="K29"/>
  <c r="G26"/>
  <c r="N21"/>
  <c r="X41"/>
  <c r="D39"/>
  <c r="E36"/>
  <c r="O33"/>
  <c r="J30"/>
  <c r="W50"/>
  <c r="H47"/>
  <c r="K45"/>
  <c r="I88"/>
  <c r="H85"/>
  <c r="K83"/>
  <c r="E80"/>
  <c r="P77"/>
  <c r="R18"/>
  <c r="G63"/>
  <c r="P48"/>
  <c r="X58"/>
  <c r="H74"/>
  <c r="X36"/>
  <c r="L88"/>
  <c r="C63"/>
  <c r="Q88"/>
  <c r="U42"/>
  <c r="V66"/>
  <c r="K50"/>
  <c r="G33"/>
  <c r="X71"/>
  <c r="F78"/>
  <c r="O30"/>
  <c r="W78"/>
  <c r="F57"/>
  <c r="S70"/>
  <c r="V63"/>
  <c r="U67"/>
  <c r="I45"/>
  <c r="M62"/>
  <c r="R75"/>
  <c r="S44"/>
  <c r="N34"/>
  <c r="L33"/>
  <c r="T77"/>
  <c r="L79"/>
  <c r="Q55"/>
  <c r="G76"/>
  <c r="E37"/>
  <c r="W61"/>
  <c r="G47"/>
  <c r="T29"/>
  <c r="O48"/>
  <c r="E58"/>
  <c r="C61"/>
  <c r="O56"/>
  <c r="L81"/>
  <c r="L89"/>
  <c r="J56"/>
  <c r="S54"/>
  <c r="W79"/>
  <c r="O3" i="4"/>
  <c r="O65" i="3"/>
  <c r="V41"/>
  <c r="S66"/>
  <c r="P66"/>
  <c r="D26"/>
  <c r="U50"/>
  <c r="F52"/>
  <c r="H54"/>
  <c r="R80"/>
  <c r="S36"/>
  <c r="R60"/>
  <c r="O74"/>
  <c r="X83"/>
  <c r="D3" i="4"/>
  <c r="M52" i="3"/>
  <c r="M60"/>
  <c r="D30"/>
  <c r="K78"/>
  <c r="I77"/>
  <c r="G96"/>
  <c r="P38"/>
  <c r="Q37"/>
  <c r="K55"/>
  <c r="K21"/>
  <c r="N82"/>
  <c r="K54"/>
  <c r="U76"/>
  <c r="N40"/>
  <c r="P3" i="4"/>
  <c r="X96" i="3"/>
  <c r="C28"/>
  <c r="L38"/>
  <c r="N25"/>
  <c r="M35"/>
  <c r="U20"/>
  <c r="W32"/>
  <c r="R41"/>
  <c r="H29"/>
  <c r="K27"/>
  <c r="P23"/>
  <c r="H17"/>
  <c r="V40"/>
  <c r="C52"/>
  <c r="F37"/>
  <c r="N49"/>
  <c r="I34"/>
  <c r="L46"/>
  <c r="X31"/>
  <c r="M43"/>
  <c r="M53"/>
  <c r="N87"/>
  <c r="K51"/>
  <c r="V84"/>
  <c r="G48"/>
  <c r="M81"/>
  <c r="P45"/>
  <c r="I78"/>
  <c r="K89"/>
  <c r="H66"/>
  <c r="Q67"/>
  <c r="X79"/>
  <c r="O64"/>
  <c r="H89"/>
  <c r="M89"/>
  <c r="R48"/>
  <c r="K38"/>
  <c r="H52"/>
  <c r="R32"/>
  <c r="G57"/>
  <c r="C78"/>
  <c r="I37"/>
  <c r="F50"/>
  <c r="V60"/>
  <c r="L78"/>
  <c r="H78"/>
  <c r="D84"/>
  <c r="N52"/>
  <c r="J62"/>
  <c r="L39"/>
  <c r="T83"/>
  <c r="L85"/>
  <c r="P76"/>
  <c r="U66"/>
  <c r="C96"/>
  <c r="R26"/>
  <c r="D72"/>
  <c r="E70"/>
  <c r="U56"/>
  <c r="H36"/>
  <c r="T64"/>
  <c r="T25"/>
  <c r="P27"/>
  <c r="N23"/>
  <c r="O18"/>
  <c r="E40"/>
  <c r="O37"/>
  <c r="J34"/>
  <c r="R31"/>
  <c r="S75"/>
  <c r="K49"/>
  <c r="G46"/>
  <c r="H42"/>
  <c r="K87"/>
  <c r="E84"/>
  <c r="P81"/>
  <c r="J78"/>
  <c r="S84"/>
  <c r="R72"/>
  <c r="T42"/>
  <c r="U87"/>
  <c r="T41"/>
  <c r="H32"/>
  <c r="D89"/>
  <c r="G53"/>
  <c r="U64"/>
  <c r="H62"/>
  <c r="C54"/>
  <c r="I39"/>
  <c r="R78"/>
  <c r="Q59"/>
  <c r="U62"/>
  <c r="X39"/>
  <c r="K62"/>
  <c r="N74"/>
  <c r="D50"/>
  <c r="D61"/>
  <c r="D24"/>
  <c r="D79"/>
  <c r="C39"/>
  <c r="F56"/>
  <c r="K60"/>
  <c r="O82"/>
  <c r="K46"/>
  <c r="O69"/>
  <c r="F62"/>
  <c r="F66"/>
  <c r="W67"/>
  <c r="L96"/>
  <c r="F83"/>
  <c r="L47"/>
  <c r="R46"/>
  <c r="L65"/>
  <c r="L69"/>
  <c r="T72"/>
  <c r="V31"/>
  <c r="U30"/>
  <c r="V79"/>
  <c r="G88"/>
  <c r="G31"/>
  <c r="O52"/>
  <c r="N68"/>
  <c r="N72"/>
  <c r="O81"/>
  <c r="R40"/>
  <c r="I61"/>
  <c r="G65"/>
  <c r="C81"/>
  <c r="G83"/>
  <c r="G87"/>
  <c r="P96"/>
  <c r="S48"/>
  <c r="Q47"/>
  <c r="R50"/>
  <c r="T27"/>
  <c r="T61"/>
  <c r="U86"/>
  <c r="K32"/>
  <c r="F34"/>
  <c r="V81"/>
  <c r="V47"/>
  <c r="T56"/>
  <c r="V87"/>
  <c r="U48"/>
  <c r="W89"/>
  <c r="P30"/>
  <c r="T55"/>
  <c r="I79"/>
  <c r="G75"/>
  <c r="N5" i="4"/>
  <c r="U3"/>
  <c r="H75" i="3"/>
  <c r="W26"/>
  <c r="X22"/>
  <c r="N17"/>
  <c r="F39"/>
  <c r="I36"/>
  <c r="X33"/>
  <c r="D31"/>
  <c r="N51"/>
  <c r="L48"/>
  <c r="M45"/>
  <c r="P42"/>
  <c r="V86"/>
  <c r="M83"/>
  <c r="I80"/>
  <c r="H77"/>
  <c r="J33"/>
  <c r="J85"/>
  <c r="O77"/>
  <c r="T37"/>
  <c r="E73"/>
  <c r="S23"/>
  <c r="L83"/>
  <c r="O68"/>
  <c r="C86"/>
  <c r="E60"/>
  <c r="W63"/>
  <c r="I73"/>
  <c r="G74"/>
  <c r="P72"/>
  <c r="V77"/>
  <c r="T96"/>
  <c r="J71"/>
  <c r="C87"/>
  <c r="W3" i="4"/>
  <c r="V29" i="3"/>
  <c r="W71"/>
  <c r="V39"/>
  <c r="V49"/>
  <c r="T62"/>
  <c r="M46"/>
  <c r="N60"/>
  <c r="X67"/>
  <c r="T43"/>
  <c r="F44"/>
  <c r="D83"/>
  <c r="O63"/>
  <c r="I27"/>
  <c r="W75"/>
  <c r="U85"/>
  <c r="R85"/>
  <c r="O60"/>
  <c r="S62"/>
  <c r="K64"/>
  <c r="I42"/>
  <c r="M68"/>
  <c r="S96"/>
  <c r="U61"/>
  <c r="D40"/>
  <c r="M64"/>
  <c r="X3" i="4"/>
  <c r="M4"/>
  <c r="P50" i="3"/>
  <c r="P58"/>
  <c r="C75"/>
  <c r="D60"/>
  <c r="C85"/>
  <c r="N38"/>
  <c r="I67"/>
  <c r="O54"/>
  <c r="T3" i="4"/>
  <c r="V69" i="3"/>
  <c r="N89"/>
  <c r="I33"/>
  <c r="F72"/>
  <c r="U68"/>
  <c r="L73"/>
  <c r="V35"/>
  <c r="F67"/>
  <c r="O76"/>
  <c r="I35"/>
  <c r="M48"/>
  <c r="J4" i="4"/>
  <c r="U4"/>
  <c r="T38" i="3"/>
  <c r="U35"/>
  <c r="V32"/>
  <c r="S30"/>
  <c r="N20"/>
  <c r="M51"/>
  <c r="D37"/>
  <c r="W48"/>
  <c r="E34"/>
  <c r="H45"/>
  <c r="O31"/>
  <c r="N42"/>
  <c r="P53"/>
  <c r="I86"/>
  <c r="Q50"/>
  <c r="H83"/>
  <c r="S47"/>
  <c r="K81"/>
  <c r="C44"/>
  <c r="E78"/>
  <c r="J88"/>
  <c r="E79"/>
  <c r="G69"/>
  <c r="H38"/>
  <c r="N88"/>
  <c r="W81"/>
  <c r="F70"/>
  <c r="O57"/>
  <c r="M72"/>
  <c r="D75"/>
  <c r="W53"/>
  <c r="L67"/>
  <c r="J66"/>
  <c r="E81"/>
  <c r="F61"/>
  <c r="Q39"/>
  <c r="P44"/>
  <c r="M80"/>
  <c r="O67"/>
  <c r="T53"/>
  <c r="L35"/>
  <c r="E59"/>
  <c r="U84"/>
  <c r="X66"/>
  <c r="G39"/>
  <c r="M88"/>
  <c r="U63"/>
  <c r="R64"/>
  <c r="C69"/>
  <c r="X32"/>
  <c r="R59"/>
  <c r="O83"/>
  <c r="T68"/>
  <c r="Q40"/>
  <c r="S37"/>
  <c r="C34"/>
  <c r="N31"/>
  <c r="L28"/>
  <c r="M25"/>
  <c r="X20"/>
  <c r="U41"/>
  <c r="V38"/>
  <c r="F35"/>
  <c r="I32"/>
  <c r="C29"/>
  <c r="C50"/>
  <c r="N47"/>
  <c r="L44"/>
  <c r="T88"/>
  <c r="W87"/>
  <c r="I58"/>
  <c r="E42"/>
  <c r="K74"/>
  <c r="D43"/>
  <c r="X70"/>
  <c r="P49"/>
  <c r="G3" i="4"/>
  <c r="O38" i="3"/>
  <c r="M54"/>
  <c r="X75"/>
  <c r="D64"/>
  <c r="C45"/>
  <c r="W84"/>
  <c r="D88"/>
  <c r="X56"/>
  <c r="U40"/>
  <c r="T87"/>
  <c r="Q65"/>
  <c r="X73"/>
  <c r="E66"/>
  <c r="F73"/>
  <c r="C47"/>
  <c r="I71"/>
  <c r="H72"/>
  <c r="J58"/>
  <c r="D57"/>
  <c r="I41"/>
  <c r="L51"/>
  <c r="W54"/>
  <c r="G77"/>
  <c r="X87"/>
  <c r="Q35"/>
  <c r="U60"/>
  <c r="U52"/>
  <c r="S60"/>
  <c r="R65"/>
  <c r="F81"/>
  <c r="W43"/>
  <c r="H44"/>
  <c r="M86"/>
  <c r="X80"/>
  <c r="T67"/>
  <c r="L55"/>
  <c r="C57"/>
  <c r="J68"/>
  <c r="M96"/>
  <c r="I75"/>
  <c r="H76"/>
  <c r="D78"/>
  <c r="P70"/>
  <c r="W77"/>
  <c r="W82"/>
  <c r="K36"/>
  <c r="J61"/>
  <c r="R62"/>
  <c r="L57"/>
  <c r="W39"/>
  <c r="X50"/>
  <c r="V62"/>
  <c r="Q41"/>
  <c r="F68"/>
  <c r="J79"/>
  <c r="U82"/>
  <c r="I69"/>
  <c r="I53"/>
  <c r="K58"/>
  <c r="G84"/>
  <c r="J43"/>
  <c r="F64"/>
  <c r="K68"/>
  <c r="R79"/>
  <c r="G4" i="4"/>
  <c r="K3"/>
  <c r="H39" i="3"/>
  <c r="K37"/>
  <c r="G34"/>
  <c r="P31"/>
  <c r="Q28"/>
  <c r="S25"/>
  <c r="O20"/>
  <c r="O41"/>
  <c r="J38"/>
  <c r="R35"/>
  <c r="T32"/>
  <c r="K53"/>
  <c r="G50"/>
  <c r="P47"/>
  <c r="Q44"/>
  <c r="E88"/>
  <c r="R34"/>
  <c r="F71"/>
  <c r="D52"/>
  <c r="P62"/>
  <c r="O78"/>
  <c r="I83"/>
  <c r="W41"/>
  <c r="C88"/>
  <c r="S50"/>
  <c r="T81"/>
  <c r="I25"/>
  <c r="M84"/>
  <c r="R58"/>
  <c r="U79"/>
  <c r="E64"/>
  <c r="W45"/>
  <c r="S86"/>
  <c r="I72"/>
  <c r="V25"/>
  <c r="J47"/>
  <c r="C80"/>
  <c r="C37"/>
  <c r="T51"/>
  <c r="L84"/>
  <c r="T59"/>
  <c r="J60"/>
  <c r="M40"/>
  <c r="V43"/>
  <c r="F86"/>
  <c r="C67"/>
  <c r="D65"/>
  <c r="C51"/>
  <c r="X76"/>
  <c r="F77"/>
  <c r="U36"/>
  <c r="Q61"/>
  <c r="M17"/>
  <c r="V58"/>
  <c r="T65"/>
  <c r="Q79"/>
  <c r="R77"/>
  <c r="U65"/>
  <c r="E89"/>
  <c r="U75"/>
  <c r="F3" i="4"/>
  <c r="F4" s="1"/>
  <c r="N6"/>
  <c r="F28" i="3"/>
  <c r="J53"/>
  <c r="C71"/>
  <c r="N32"/>
  <c r="P82"/>
  <c r="L61"/>
  <c r="S17"/>
  <c r="T45"/>
  <c r="D67"/>
  <c r="V65"/>
  <c r="H64"/>
  <c r="I89"/>
  <c r="I3" i="4"/>
  <c r="V55" i="3"/>
  <c r="U72"/>
  <c r="D59"/>
  <c r="E65"/>
  <c r="E83"/>
  <c r="R82"/>
  <c r="K47"/>
  <c r="V68"/>
  <c r="N86"/>
  <c r="D73"/>
  <c r="W47"/>
  <c r="M23"/>
  <c r="D46"/>
  <c r="Q31"/>
  <c r="E75"/>
  <c r="I4" i="4"/>
  <c r="S3"/>
  <c r="U5"/>
  <c r="G5"/>
  <c r="K4"/>
  <c r="L37" i="3"/>
  <c r="E87"/>
  <c r="N50"/>
  <c r="E96"/>
  <c r="F48"/>
  <c r="W85"/>
  <c r="D34"/>
  <c r="V4" i="4"/>
  <c r="F5"/>
  <c r="S4"/>
  <c r="F6"/>
  <c r="V5"/>
  <c r="C4"/>
  <c r="O4"/>
  <c r="I5"/>
  <c r="X4"/>
  <c r="P4"/>
  <c r="Q5"/>
  <c r="L4"/>
  <c r="U6"/>
  <c r="D4"/>
  <c r="G6"/>
  <c r="T4"/>
  <c r="W4"/>
  <c r="H4"/>
  <c r="U7"/>
  <c r="R4"/>
  <c r="R5" s="1"/>
  <c r="R6" s="1"/>
  <c r="E4"/>
  <c r="E5" s="1"/>
  <c r="E6" s="1"/>
  <c r="E7" s="1"/>
  <c r="E8" s="1"/>
  <c r="L7" i="6" l="1"/>
  <c r="L11" i="16"/>
  <c r="P1" s="1"/>
  <c r="L11" i="17"/>
  <c r="P1" s="1"/>
  <c r="L11" i="7"/>
  <c r="L11" i="18"/>
  <c r="P1" s="1"/>
  <c r="L11" i="23"/>
  <c r="P1" s="1"/>
  <c r="L11" i="21"/>
  <c r="P1" s="1"/>
  <c r="L11" i="25"/>
  <c r="P1" s="1"/>
  <c r="L11" i="10"/>
  <c r="P1" s="1"/>
  <c r="L11" i="8"/>
  <c r="P1" s="1"/>
  <c r="L11" i="27"/>
  <c r="P1" s="1"/>
  <c r="L11" i="20"/>
  <c r="P1" s="1"/>
  <c r="L11" i="12"/>
  <c r="P1" s="1"/>
  <c r="L11" i="22"/>
  <c r="P1" s="1"/>
  <c r="L11" i="28"/>
  <c r="P1" s="1"/>
  <c r="Y3" i="4"/>
  <c r="AL3" s="1"/>
  <c r="Y2"/>
  <c r="AE2" s="1"/>
  <c r="AD3"/>
  <c r="AQ2"/>
  <c r="AV3"/>
  <c r="AJ2"/>
  <c r="AQ3"/>
  <c r="AI3"/>
  <c r="AM3"/>
  <c r="AA3"/>
  <c r="Y4"/>
  <c r="Z4" s="1"/>
  <c r="AR2"/>
  <c r="AH2"/>
  <c r="AC2"/>
  <c r="AF2"/>
  <c r="AP2"/>
  <c r="AH3"/>
  <c r="AI2"/>
  <c r="AF3"/>
  <c r="H5"/>
  <c r="T5"/>
  <c r="Q6"/>
  <c r="S5"/>
  <c r="J5"/>
  <c r="J6" s="1"/>
  <c r="X5"/>
  <c r="D5"/>
  <c r="I6"/>
  <c r="C5"/>
  <c r="D6"/>
  <c r="E9"/>
  <c r="W5"/>
  <c r="G7"/>
  <c r="G8" s="1"/>
  <c r="V6"/>
  <c r="K5"/>
  <c r="K6" s="1"/>
  <c r="K7" s="1"/>
  <c r="K8" s="1"/>
  <c r="N7"/>
  <c r="N8" s="1"/>
  <c r="N9" s="1"/>
  <c r="N10" s="1"/>
  <c r="N11" s="1"/>
  <c r="M5"/>
  <c r="L5"/>
  <c r="L6" s="1"/>
  <c r="R7"/>
  <c r="E10"/>
  <c r="P5"/>
  <c r="O5"/>
  <c r="F7"/>
  <c r="E11"/>
  <c r="U8"/>
  <c r="X6"/>
  <c r="P6"/>
  <c r="X7"/>
  <c r="O6"/>
  <c r="L11" i="6" l="1"/>
  <c r="P1" i="7"/>
  <c r="AO2" i="4"/>
  <c r="Z3"/>
  <c r="AS2"/>
  <c r="AM2"/>
  <c r="AN2"/>
  <c r="Z2"/>
  <c r="AA2"/>
  <c r="AG2"/>
  <c r="AV2"/>
  <c r="AD2"/>
  <c r="AT2"/>
  <c r="AU2"/>
  <c r="AT3"/>
  <c r="AN3"/>
  <c r="AK2"/>
  <c r="AB2"/>
  <c r="AL2"/>
  <c r="AJ3"/>
  <c r="AE3"/>
  <c r="AO3"/>
  <c r="AG3"/>
  <c r="AB3"/>
  <c r="AS3"/>
  <c r="AK3"/>
  <c r="AC3"/>
  <c r="AP3"/>
  <c r="AU3"/>
  <c r="AR3"/>
  <c r="AO4"/>
  <c r="AK4"/>
  <c r="AE4"/>
  <c r="AB4"/>
  <c r="AG4"/>
  <c r="AU4"/>
  <c r="AV4"/>
  <c r="AL4"/>
  <c r="AP4"/>
  <c r="AH4"/>
  <c r="AA4"/>
  <c r="AC4"/>
  <c r="AI4"/>
  <c r="AM4"/>
  <c r="AD4"/>
  <c r="AR4"/>
  <c r="AS4"/>
  <c r="AF4"/>
  <c r="Y5"/>
  <c r="AB5" s="1"/>
  <c r="AQ4"/>
  <c r="AT4"/>
  <c r="AJ4"/>
  <c r="AN4"/>
  <c r="X8"/>
  <c r="M6"/>
  <c r="M7" s="1"/>
  <c r="M8" s="1"/>
  <c r="M9" s="1"/>
  <c r="M10" s="1"/>
  <c r="M11" s="1"/>
  <c r="W6"/>
  <c r="J7"/>
  <c r="Q7"/>
  <c r="H6"/>
  <c r="G9"/>
  <c r="C6"/>
  <c r="K9"/>
  <c r="U9"/>
  <c r="D7"/>
  <c r="R8"/>
  <c r="E12"/>
  <c r="C7"/>
  <c r="C8"/>
  <c r="C9" s="1"/>
  <c r="O7"/>
  <c r="P7"/>
  <c r="V7"/>
  <c r="V8" s="1"/>
  <c r="V9" s="1"/>
  <c r="I7"/>
  <c r="S6"/>
  <c r="S7" s="1"/>
  <c r="S8" s="1"/>
  <c r="S9" s="1"/>
  <c r="T6"/>
  <c r="F8"/>
  <c r="V10"/>
  <c r="L7"/>
  <c r="N12"/>
  <c r="M12"/>
  <c r="S10"/>
  <c r="F9"/>
  <c r="AG5" l="1"/>
  <c r="AS5"/>
  <c r="AE5"/>
  <c r="AV5"/>
  <c r="AI5"/>
  <c r="Y6"/>
  <c r="AB6" s="1"/>
  <c r="AK5"/>
  <c r="AO5"/>
  <c r="AL5"/>
  <c r="AJ5"/>
  <c r="AA5"/>
  <c r="AU5"/>
  <c r="AQ5"/>
  <c r="AN5"/>
  <c r="AP5"/>
  <c r="AF5"/>
  <c r="Z5"/>
  <c r="AC5"/>
  <c r="AT5"/>
  <c r="AH5"/>
  <c r="AR5"/>
  <c r="AD5"/>
  <c r="AM5"/>
  <c r="T7"/>
  <c r="P8"/>
  <c r="C10"/>
  <c r="Q8"/>
  <c r="W7"/>
  <c r="G10"/>
  <c r="N13"/>
  <c r="D8"/>
  <c r="M13"/>
  <c r="E13"/>
  <c r="D9"/>
  <c r="S11"/>
  <c r="I8"/>
  <c r="O8"/>
  <c r="H7"/>
  <c r="J8"/>
  <c r="J9" s="1"/>
  <c r="J10" s="1"/>
  <c r="J11" s="1"/>
  <c r="J12" s="1"/>
  <c r="X9"/>
  <c r="K10"/>
  <c r="F10"/>
  <c r="R9"/>
  <c r="L8"/>
  <c r="V11"/>
  <c r="S12"/>
  <c r="U10"/>
  <c r="L9"/>
  <c r="H8"/>
  <c r="Y7" l="1"/>
  <c r="AB7" s="1"/>
  <c r="AN6"/>
  <c r="Z6"/>
  <c r="AV6"/>
  <c r="AO6"/>
  <c r="AE6"/>
  <c r="AH6"/>
  <c r="AF6"/>
  <c r="AK6"/>
  <c r="AC6"/>
  <c r="AS6"/>
  <c r="AA6"/>
  <c r="AT6"/>
  <c r="AL6"/>
  <c r="AJ6"/>
  <c r="AQ6"/>
  <c r="AG6"/>
  <c r="AU6"/>
  <c r="AM6"/>
  <c r="AP6"/>
  <c r="AI6"/>
  <c r="AR6"/>
  <c r="AD6"/>
  <c r="AK7"/>
  <c r="AU7"/>
  <c r="AP7"/>
  <c r="AO7"/>
  <c r="AQ7"/>
  <c r="AF7"/>
  <c r="AT7"/>
  <c r="AH7"/>
  <c r="AN7"/>
  <c r="AD7"/>
  <c r="AR7"/>
  <c r="AJ7"/>
  <c r="AI7"/>
  <c r="AC7"/>
  <c r="AS7"/>
  <c r="AL7"/>
  <c r="AA7"/>
  <c r="AM7"/>
  <c r="AV7"/>
  <c r="Z7"/>
  <c r="L10"/>
  <c r="K11"/>
  <c r="I9"/>
  <c r="Q9"/>
  <c r="P9"/>
  <c r="E14"/>
  <c r="R10"/>
  <c r="D10"/>
  <c r="N14"/>
  <c r="J13"/>
  <c r="D11"/>
  <c r="H9"/>
  <c r="V12"/>
  <c r="X10"/>
  <c r="O9"/>
  <c r="W8"/>
  <c r="W9" s="1"/>
  <c r="C11"/>
  <c r="T8"/>
  <c r="S13"/>
  <c r="U11"/>
  <c r="U12"/>
  <c r="F11"/>
  <c r="G11"/>
  <c r="U13"/>
  <c r="U14"/>
  <c r="M14"/>
  <c r="S14"/>
  <c r="Q10"/>
  <c r="Q11" s="1"/>
  <c r="Q12" s="1"/>
  <c r="Q13" s="1"/>
  <c r="P10"/>
  <c r="H10"/>
  <c r="H11" s="1"/>
  <c r="H12" s="1"/>
  <c r="H13" s="1"/>
  <c r="H14" s="1"/>
  <c r="W10"/>
  <c r="W11" s="1"/>
  <c r="W12" s="1"/>
  <c r="AE7" l="1"/>
  <c r="Y8"/>
  <c r="AE8" s="1"/>
  <c r="AG7"/>
  <c r="AG8"/>
  <c r="AS8"/>
  <c r="AI8"/>
  <c r="AV8"/>
  <c r="Z8"/>
  <c r="AT8"/>
  <c r="AM8"/>
  <c r="AC8"/>
  <c r="AL8"/>
  <c r="AP8"/>
  <c r="AJ8"/>
  <c r="AN8"/>
  <c r="AK8"/>
  <c r="AB8"/>
  <c r="AU8"/>
  <c r="AA8"/>
  <c r="Q14"/>
  <c r="Q15" s="1"/>
  <c r="U15"/>
  <c r="V13"/>
  <c r="V14" s="1"/>
  <c r="J14"/>
  <c r="R11"/>
  <c r="L11"/>
  <c r="L12" s="1"/>
  <c r="F12"/>
  <c r="V15"/>
  <c r="P11"/>
  <c r="P12" s="1"/>
  <c r="P13" s="1"/>
  <c r="P14" s="1"/>
  <c r="M15"/>
  <c r="T9"/>
  <c r="C12"/>
  <c r="C13" s="1"/>
  <c r="C14" s="1"/>
  <c r="C15" s="1"/>
  <c r="O10"/>
  <c r="X11"/>
  <c r="X12" s="1"/>
  <c r="X13" s="1"/>
  <c r="D12"/>
  <c r="N15"/>
  <c r="I10"/>
  <c r="K12"/>
  <c r="K13" s="1"/>
  <c r="L13"/>
  <c r="L14" s="1"/>
  <c r="E15"/>
  <c r="Q16"/>
  <c r="G12"/>
  <c r="W13"/>
  <c r="S15"/>
  <c r="H15"/>
  <c r="H16" s="1"/>
  <c r="F13"/>
  <c r="F14"/>
  <c r="F15" s="1"/>
  <c r="T10"/>
  <c r="T11" s="1"/>
  <c r="I11"/>
  <c r="I12"/>
  <c r="AO8" l="1"/>
  <c r="AF8"/>
  <c r="AR8"/>
  <c r="AH8"/>
  <c r="AD8"/>
  <c r="AQ8"/>
  <c r="Y10"/>
  <c r="AR10" s="1"/>
  <c r="Y9"/>
  <c r="AM10"/>
  <c r="AV10"/>
  <c r="AC10"/>
  <c r="AQ10"/>
  <c r="AH10"/>
  <c r="Z10"/>
  <c r="AG10"/>
  <c r="AP10"/>
  <c r="AS10"/>
  <c r="AJ10"/>
  <c r="AT10"/>
  <c r="AN10"/>
  <c r="AU10"/>
  <c r="AO10"/>
  <c r="AD10"/>
  <c r="AI10"/>
  <c r="AF10"/>
  <c r="AA10"/>
  <c r="AL10"/>
  <c r="F16"/>
  <c r="L15"/>
  <c r="D13"/>
  <c r="O11"/>
  <c r="M16"/>
  <c r="M17" s="1"/>
  <c r="R12"/>
  <c r="U16"/>
  <c r="U17" s="1"/>
  <c r="U18" s="1"/>
  <c r="G13"/>
  <c r="E16"/>
  <c r="S16"/>
  <c r="U19"/>
  <c r="Q17"/>
  <c r="I13"/>
  <c r="T12"/>
  <c r="H17"/>
  <c r="H18" s="1"/>
  <c r="K14"/>
  <c r="N16"/>
  <c r="N17" s="1"/>
  <c r="N18" s="1"/>
  <c r="N19" s="1"/>
  <c r="X14"/>
  <c r="X15" s="1"/>
  <c r="X16" s="1"/>
  <c r="X17" s="1"/>
  <c r="C16"/>
  <c r="P15"/>
  <c r="P16" s="1"/>
  <c r="P17" s="1"/>
  <c r="P18" s="1"/>
  <c r="J15"/>
  <c r="W14"/>
  <c r="W15" s="1"/>
  <c r="V16"/>
  <c r="M18"/>
  <c r="S17"/>
  <c r="G14"/>
  <c r="T13"/>
  <c r="T14" s="1"/>
  <c r="T15" s="1"/>
  <c r="T16" s="1"/>
  <c r="T17" s="1"/>
  <c r="T18" s="1"/>
  <c r="AB10" l="1"/>
  <c r="Y11"/>
  <c r="AM11" s="1"/>
  <c r="AD9"/>
  <c r="AS9"/>
  <c r="AB9"/>
  <c r="AJ9"/>
  <c r="AA9"/>
  <c r="Z9"/>
  <c r="AI9"/>
  <c r="AC9"/>
  <c r="AG9"/>
  <c r="AK9"/>
  <c r="AO9"/>
  <c r="AL9"/>
  <c r="AV9"/>
  <c r="AT9"/>
  <c r="AF9"/>
  <c r="AR9"/>
  <c r="AU9"/>
  <c r="AM9"/>
  <c r="AE9"/>
  <c r="AN9"/>
  <c r="AH9"/>
  <c r="AP9"/>
  <c r="AE10"/>
  <c r="AK10"/>
  <c r="AQ9"/>
  <c r="V17"/>
  <c r="J16"/>
  <c r="X18"/>
  <c r="X19" s="1"/>
  <c r="E17"/>
  <c r="D14"/>
  <c r="F17"/>
  <c r="P19"/>
  <c r="N20"/>
  <c r="T19"/>
  <c r="S18"/>
  <c r="W16"/>
  <c r="C17"/>
  <c r="C18" s="1"/>
  <c r="C19" s="1"/>
  <c r="C20" s="1"/>
  <c r="K15"/>
  <c r="K16" s="1"/>
  <c r="K17" s="1"/>
  <c r="K18" s="1"/>
  <c r="I14"/>
  <c r="I15" s="1"/>
  <c r="I16" s="1"/>
  <c r="I17" s="1"/>
  <c r="I18" s="1"/>
  <c r="R13"/>
  <c r="O12"/>
  <c r="L16"/>
  <c r="H19"/>
  <c r="U20"/>
  <c r="S19"/>
  <c r="G15"/>
  <c r="M19"/>
  <c r="Q18"/>
  <c r="X20"/>
  <c r="K19"/>
  <c r="O13"/>
  <c r="O14"/>
  <c r="Y13" l="1"/>
  <c r="AC13" s="1"/>
  <c r="Y12"/>
  <c r="AM12" s="1"/>
  <c r="AH11"/>
  <c r="AV11"/>
  <c r="AO11"/>
  <c r="AK11"/>
  <c r="AB11"/>
  <c r="AA11"/>
  <c r="AN11"/>
  <c r="AP11"/>
  <c r="AI11"/>
  <c r="AT11"/>
  <c r="AL11"/>
  <c r="AF11"/>
  <c r="AS11"/>
  <c r="AJ11"/>
  <c r="AG11"/>
  <c r="AD11"/>
  <c r="Z11"/>
  <c r="AQ11"/>
  <c r="AC11"/>
  <c r="AU11"/>
  <c r="AR11"/>
  <c r="AE11"/>
  <c r="AT13"/>
  <c r="AB13"/>
  <c r="AP13"/>
  <c r="AV13"/>
  <c r="AE13"/>
  <c r="AG13"/>
  <c r="AM13"/>
  <c r="Z13"/>
  <c r="AJ13"/>
  <c r="AF13"/>
  <c r="AS13"/>
  <c r="AI13"/>
  <c r="AL13"/>
  <c r="AD13"/>
  <c r="AH13"/>
  <c r="AU13"/>
  <c r="AO13"/>
  <c r="AK13"/>
  <c r="AR13"/>
  <c r="AA13"/>
  <c r="AN13"/>
  <c r="AQ13"/>
  <c r="L17"/>
  <c r="I19"/>
  <c r="F18"/>
  <c r="F19" s="1"/>
  <c r="F20" s="1"/>
  <c r="J17"/>
  <c r="J18" s="1"/>
  <c r="J19" s="1"/>
  <c r="J20" s="1"/>
  <c r="T20"/>
  <c r="S20"/>
  <c r="N21"/>
  <c r="P20"/>
  <c r="X21"/>
  <c r="O15"/>
  <c r="O16" s="1"/>
  <c r="O17" s="1"/>
  <c r="O18" s="1"/>
  <c r="O19" s="1"/>
  <c r="O20" s="1"/>
  <c r="O21" s="1"/>
  <c r="Q19"/>
  <c r="R14"/>
  <c r="W17"/>
  <c r="D15"/>
  <c r="E18"/>
  <c r="V18"/>
  <c r="G16"/>
  <c r="F21"/>
  <c r="U21"/>
  <c r="K20"/>
  <c r="Q20"/>
  <c r="H20"/>
  <c r="M20"/>
  <c r="C21"/>
  <c r="G17"/>
  <c r="J21"/>
  <c r="G18"/>
  <c r="G19" s="1"/>
  <c r="G20" s="1"/>
  <c r="R15"/>
  <c r="Y15" l="1"/>
  <c r="AC15" s="1"/>
  <c r="Y14"/>
  <c r="AO14" s="1"/>
  <c r="AH12"/>
  <c r="AN12"/>
  <c r="AK12"/>
  <c r="AR12"/>
  <c r="AA12"/>
  <c r="Z12"/>
  <c r="AU12"/>
  <c r="AB12"/>
  <c r="AS12"/>
  <c r="AC12"/>
  <c r="AD12"/>
  <c r="AT12"/>
  <c r="AJ12"/>
  <c r="AF12"/>
  <c r="AP12"/>
  <c r="AV12"/>
  <c r="AG12"/>
  <c r="AI12"/>
  <c r="AL12"/>
  <c r="AE12"/>
  <c r="AQ12"/>
  <c r="AO12"/>
  <c r="AP15"/>
  <c r="AM15"/>
  <c r="AO15"/>
  <c r="AL15"/>
  <c r="AN15"/>
  <c r="AI15"/>
  <c r="AA15"/>
  <c r="AS15"/>
  <c r="AG15"/>
  <c r="AH15"/>
  <c r="AE15"/>
  <c r="AT15"/>
  <c r="AD15"/>
  <c r="AF15"/>
  <c r="AR15"/>
  <c r="AB15"/>
  <c r="AU15"/>
  <c r="AV15"/>
  <c r="AQ15"/>
  <c r="AK15"/>
  <c r="AJ15"/>
  <c r="G21"/>
  <c r="E19"/>
  <c r="P21"/>
  <c r="L18"/>
  <c r="L19" s="1"/>
  <c r="M21"/>
  <c r="Q21"/>
  <c r="N22"/>
  <c r="X22"/>
  <c r="K21"/>
  <c r="O22"/>
  <c r="J22"/>
  <c r="R16"/>
  <c r="V19"/>
  <c r="D16"/>
  <c r="W18"/>
  <c r="W19" s="1"/>
  <c r="I20"/>
  <c r="I21" s="1"/>
  <c r="I22" s="1"/>
  <c r="I23" s="1"/>
  <c r="P22"/>
  <c r="U22"/>
  <c r="C22"/>
  <c r="I24"/>
  <c r="H21"/>
  <c r="F22"/>
  <c r="T21"/>
  <c r="S21"/>
  <c r="E20"/>
  <c r="E21" s="1"/>
  <c r="E22" s="1"/>
  <c r="E23" s="1"/>
  <c r="L20"/>
  <c r="L21" s="1"/>
  <c r="L22" s="1"/>
  <c r="D17"/>
  <c r="W20"/>
  <c r="W21" s="1"/>
  <c r="D18"/>
  <c r="Z15" l="1"/>
  <c r="Y16"/>
  <c r="AC16" s="1"/>
  <c r="AC14"/>
  <c r="AA14"/>
  <c r="AS14"/>
  <c r="AL14"/>
  <c r="Z14"/>
  <c r="AJ14"/>
  <c r="AQ14"/>
  <c r="AE14"/>
  <c r="AN14"/>
  <c r="AV14"/>
  <c r="AK14"/>
  <c r="AB14"/>
  <c r="AM14"/>
  <c r="AU14"/>
  <c r="AG14"/>
  <c r="AR14"/>
  <c r="AD14"/>
  <c r="AH14"/>
  <c r="AP14"/>
  <c r="AI14"/>
  <c r="AF14"/>
  <c r="AT14"/>
  <c r="AM16"/>
  <c r="AF16"/>
  <c r="AL16"/>
  <c r="AT16"/>
  <c r="AV16"/>
  <c r="AS16"/>
  <c r="AK16"/>
  <c r="Z16"/>
  <c r="AH16"/>
  <c r="AJ16"/>
  <c r="AD16"/>
  <c r="AG16"/>
  <c r="AN16"/>
  <c r="AB16"/>
  <c r="AI16"/>
  <c r="AA16"/>
  <c r="AO16"/>
  <c r="AR16"/>
  <c r="AQ16"/>
  <c r="AE16"/>
  <c r="AU16"/>
  <c r="I25"/>
  <c r="G22"/>
  <c r="U23"/>
  <c r="H22"/>
  <c r="Q22"/>
  <c r="O23"/>
  <c r="E24"/>
  <c r="J23"/>
  <c r="T22"/>
  <c r="I26"/>
  <c r="N23"/>
  <c r="C23"/>
  <c r="D19"/>
  <c r="V20"/>
  <c r="R17"/>
  <c r="S22"/>
  <c r="M22"/>
  <c r="P23"/>
  <c r="F23"/>
  <c r="L23"/>
  <c r="X23"/>
  <c r="K22"/>
  <c r="W22"/>
  <c r="D20"/>
  <c r="V21"/>
  <c r="V22" s="1"/>
  <c r="V23" s="1"/>
  <c r="V24" s="1"/>
  <c r="V25" s="1"/>
  <c r="R18"/>
  <c r="D21"/>
  <c r="R19"/>
  <c r="D22"/>
  <c r="D23" s="1"/>
  <c r="D24" s="1"/>
  <c r="R20"/>
  <c r="R21"/>
  <c r="R22" s="1"/>
  <c r="R23" s="1"/>
  <c r="AP16" l="1"/>
  <c r="Y21"/>
  <c r="Y18"/>
  <c r="AO18" s="1"/>
  <c r="Y20"/>
  <c r="AO20" s="1"/>
  <c r="Y17"/>
  <c r="AO17" s="1"/>
  <c r="AT20"/>
  <c r="Y19"/>
  <c r="AB19" s="1"/>
  <c r="Y22"/>
  <c r="AS21"/>
  <c r="AK21"/>
  <c r="AN21"/>
  <c r="AH21"/>
  <c r="AM21"/>
  <c r="AP21"/>
  <c r="AO21"/>
  <c r="AL21"/>
  <c r="AG21"/>
  <c r="AQ21"/>
  <c r="AF21"/>
  <c r="AR21"/>
  <c r="Z21"/>
  <c r="AB21"/>
  <c r="AE21"/>
  <c r="AI21"/>
  <c r="AJ21"/>
  <c r="AT21"/>
  <c r="AU21"/>
  <c r="AA21"/>
  <c r="AC21"/>
  <c r="AV21"/>
  <c r="AD21"/>
  <c r="G23"/>
  <c r="G24" s="1"/>
  <c r="G25" s="1"/>
  <c r="F24"/>
  <c r="S23"/>
  <c r="N24"/>
  <c r="X24"/>
  <c r="R24"/>
  <c r="Q23"/>
  <c r="P24"/>
  <c r="J24"/>
  <c r="T23"/>
  <c r="M23"/>
  <c r="T24"/>
  <c r="O24"/>
  <c r="U24"/>
  <c r="D25"/>
  <c r="C24"/>
  <c r="E25"/>
  <c r="H23"/>
  <c r="W23"/>
  <c r="L24"/>
  <c r="V26"/>
  <c r="I27"/>
  <c r="K23"/>
  <c r="AB20" l="1"/>
  <c r="AD19"/>
  <c r="AS19"/>
  <c r="AP19"/>
  <c r="AH19"/>
  <c r="AQ19"/>
  <c r="AR19"/>
  <c r="AI19"/>
  <c r="AV19"/>
  <c r="AA19"/>
  <c r="AG19"/>
  <c r="AM19"/>
  <c r="AN19"/>
  <c r="AF19"/>
  <c r="AK19"/>
  <c r="AL19"/>
  <c r="AE19"/>
  <c r="AT19"/>
  <c r="AJ19"/>
  <c r="Z19"/>
  <c r="AU19"/>
  <c r="AC19"/>
  <c r="AC17"/>
  <c r="AD17"/>
  <c r="AI17"/>
  <c r="AT17"/>
  <c r="AL17"/>
  <c r="AE17"/>
  <c r="AP17"/>
  <c r="AN17"/>
  <c r="AB17"/>
  <c r="AA17"/>
  <c r="AK17"/>
  <c r="AQ17"/>
  <c r="AG17"/>
  <c r="Z17"/>
  <c r="AU17"/>
  <c r="AH17"/>
  <c r="AM17"/>
  <c r="AV17"/>
  <c r="AR17"/>
  <c r="AJ17"/>
  <c r="AF17"/>
  <c r="AS17"/>
  <c r="AF20"/>
  <c r="AM20"/>
  <c r="AN20"/>
  <c r="AH20"/>
  <c r="AR20"/>
  <c r="AI20"/>
  <c r="AJ20"/>
  <c r="AA20"/>
  <c r="AV20"/>
  <c r="AS20"/>
  <c r="AK20"/>
  <c r="AQ20"/>
  <c r="AG20"/>
  <c r="AL20"/>
  <c r="Z20"/>
  <c r="AP20"/>
  <c r="AE20"/>
  <c r="AU20"/>
  <c r="AC20"/>
  <c r="AD20"/>
  <c r="AC18"/>
  <c r="AR18"/>
  <c r="AV18"/>
  <c r="AK18"/>
  <c r="AB18"/>
  <c r="AD18"/>
  <c r="AN18"/>
  <c r="Z18"/>
  <c r="AA18"/>
  <c r="AQ18"/>
  <c r="AE18"/>
  <c r="AF18"/>
  <c r="AT18"/>
  <c r="AP18"/>
  <c r="AH18"/>
  <c r="AI18"/>
  <c r="AS18"/>
  <c r="AL18"/>
  <c r="AJ18"/>
  <c r="AM18"/>
  <c r="AG18"/>
  <c r="AU18"/>
  <c r="AO19"/>
  <c r="Y23"/>
  <c r="AS22"/>
  <c r="AM22"/>
  <c r="AH22"/>
  <c r="AL22"/>
  <c r="AR22"/>
  <c r="AG22"/>
  <c r="AO22"/>
  <c r="AP22"/>
  <c r="AN22"/>
  <c r="AK22"/>
  <c r="AQ22"/>
  <c r="AF22"/>
  <c r="Z22"/>
  <c r="AB22"/>
  <c r="AE22"/>
  <c r="AT22"/>
  <c r="AJ22"/>
  <c r="AI22"/>
  <c r="AU22"/>
  <c r="AC22"/>
  <c r="AA22"/>
  <c r="AV22"/>
  <c r="AD22"/>
  <c r="G26"/>
  <c r="H24"/>
  <c r="M24"/>
  <c r="C25"/>
  <c r="S24"/>
  <c r="K24"/>
  <c r="T25"/>
  <c r="D26"/>
  <c r="N25"/>
  <c r="I28"/>
  <c r="O25"/>
  <c r="Q24"/>
  <c r="X25"/>
  <c r="F25"/>
  <c r="R25"/>
  <c r="P25"/>
  <c r="J25"/>
  <c r="E26"/>
  <c r="U25"/>
  <c r="L25"/>
  <c r="X26"/>
  <c r="V27"/>
  <c r="W24"/>
  <c r="Y24" l="1"/>
  <c r="AD24" s="1"/>
  <c r="AS23"/>
  <c r="AK23"/>
  <c r="AN23"/>
  <c r="AH23"/>
  <c r="AM23"/>
  <c r="AP23"/>
  <c r="AQ23"/>
  <c r="AF23"/>
  <c r="AR23"/>
  <c r="Z23"/>
  <c r="AG23"/>
  <c r="AO23"/>
  <c r="AL23"/>
  <c r="AB23"/>
  <c r="AE23"/>
  <c r="AT23"/>
  <c r="AI23"/>
  <c r="AJ23"/>
  <c r="AU23"/>
  <c r="AV23"/>
  <c r="AA23"/>
  <c r="AC23"/>
  <c r="AD23"/>
  <c r="G27"/>
  <c r="G28" s="1"/>
  <c r="G29" s="1"/>
  <c r="G30" s="1"/>
  <c r="R26"/>
  <c r="E27"/>
  <c r="I29"/>
  <c r="P26"/>
  <c r="U26"/>
  <c r="F26"/>
  <c r="T26"/>
  <c r="J26"/>
  <c r="M25"/>
  <c r="X27"/>
  <c r="O26"/>
  <c r="W25"/>
  <c r="Q25"/>
  <c r="Q26" s="1"/>
  <c r="Q27" s="1"/>
  <c r="Q28" s="1"/>
  <c r="Q29" s="1"/>
  <c r="S25"/>
  <c r="N26"/>
  <c r="V28"/>
  <c r="L26"/>
  <c r="H25"/>
  <c r="G31"/>
  <c r="D27"/>
  <c r="K25"/>
  <c r="C26"/>
  <c r="Y25" l="1"/>
  <c r="AD25" s="1"/>
  <c r="AS24"/>
  <c r="AO24"/>
  <c r="AG24"/>
  <c r="AM24"/>
  <c r="AL24"/>
  <c r="AN24"/>
  <c r="AQ24"/>
  <c r="AR24"/>
  <c r="AP24"/>
  <c r="Z24"/>
  <c r="AK24"/>
  <c r="AF24"/>
  <c r="AH24"/>
  <c r="AB24"/>
  <c r="AE24"/>
  <c r="AI24"/>
  <c r="AT24"/>
  <c r="AJ24"/>
  <c r="AU24"/>
  <c r="AV24"/>
  <c r="AA24"/>
  <c r="AC24"/>
  <c r="N27"/>
  <c r="U27"/>
  <c r="L27"/>
  <c r="S26"/>
  <c r="J27"/>
  <c r="F27"/>
  <c r="T27"/>
  <c r="I30"/>
  <c r="V29"/>
  <c r="X28"/>
  <c r="D28"/>
  <c r="P27"/>
  <c r="E28"/>
  <c r="Q30"/>
  <c r="H26"/>
  <c r="W26"/>
  <c r="C27"/>
  <c r="G32"/>
  <c r="M26"/>
  <c r="K26"/>
  <c r="R27"/>
  <c r="O27"/>
  <c r="Y26" l="1"/>
  <c r="AD26" s="1"/>
  <c r="AS25"/>
  <c r="AK25"/>
  <c r="AN25"/>
  <c r="AH25"/>
  <c r="AM25"/>
  <c r="AP25"/>
  <c r="AO25"/>
  <c r="AL25"/>
  <c r="AG25"/>
  <c r="AQ25"/>
  <c r="AF25"/>
  <c r="AR25"/>
  <c r="Z25"/>
  <c r="AB25"/>
  <c r="AE25"/>
  <c r="AT25"/>
  <c r="AI25"/>
  <c r="AJ25"/>
  <c r="AV25"/>
  <c r="AU25"/>
  <c r="AA25"/>
  <c r="AC25"/>
  <c r="X29"/>
  <c r="H27"/>
  <c r="Q31"/>
  <c r="K27"/>
  <c r="E29"/>
  <c r="G33"/>
  <c r="L28"/>
  <c r="I31"/>
  <c r="U28"/>
  <c r="N28"/>
  <c r="R28"/>
  <c r="X30"/>
  <c r="P28"/>
  <c r="F28"/>
  <c r="V30"/>
  <c r="D29"/>
  <c r="S27"/>
  <c r="W27"/>
  <c r="M27"/>
  <c r="C28"/>
  <c r="T28"/>
  <c r="J28"/>
  <c r="O28"/>
  <c r="Y27" l="1"/>
  <c r="AD27" s="1"/>
  <c r="AS26"/>
  <c r="AF26"/>
  <c r="AQ26"/>
  <c r="AK26"/>
  <c r="AN26"/>
  <c r="AM26"/>
  <c r="AO26"/>
  <c r="AG26"/>
  <c r="AL26"/>
  <c r="AH26"/>
  <c r="AR26"/>
  <c r="AP26"/>
  <c r="Z26"/>
  <c r="AB26"/>
  <c r="AE26"/>
  <c r="AI26"/>
  <c r="AT26"/>
  <c r="AJ26"/>
  <c r="AV26"/>
  <c r="AU26"/>
  <c r="AA26"/>
  <c r="AC26"/>
  <c r="W28"/>
  <c r="X31"/>
  <c r="D30"/>
  <c r="T29"/>
  <c r="V31"/>
  <c r="L29"/>
  <c r="K28"/>
  <c r="G34"/>
  <c r="O29"/>
  <c r="E30"/>
  <c r="P29"/>
  <c r="P30" s="1"/>
  <c r="H28"/>
  <c r="R29"/>
  <c r="J29"/>
  <c r="I32"/>
  <c r="N29"/>
  <c r="S28"/>
  <c r="U29"/>
  <c r="Q32"/>
  <c r="M28"/>
  <c r="F29"/>
  <c r="C29"/>
  <c r="Y28" l="1"/>
  <c r="AS27"/>
  <c r="AP27"/>
  <c r="AG27"/>
  <c r="AM27"/>
  <c r="AH27"/>
  <c r="AN27"/>
  <c r="AQ27"/>
  <c r="AF27"/>
  <c r="AR27"/>
  <c r="Z27"/>
  <c r="AK27"/>
  <c r="AO27"/>
  <c r="AL27"/>
  <c r="AB27"/>
  <c r="AE27"/>
  <c r="AT27"/>
  <c r="AI27"/>
  <c r="AV27"/>
  <c r="AJ27"/>
  <c r="AU27"/>
  <c r="AC27"/>
  <c r="AA27"/>
  <c r="P31"/>
  <c r="H29"/>
  <c r="O30"/>
  <c r="F30"/>
  <c r="G35"/>
  <c r="M29"/>
  <c r="D31"/>
  <c r="T30"/>
  <c r="K29"/>
  <c r="I33"/>
  <c r="O31"/>
  <c r="E31"/>
  <c r="U30"/>
  <c r="S29"/>
  <c r="S30" s="1"/>
  <c r="W29"/>
  <c r="R30"/>
  <c r="X32"/>
  <c r="V32"/>
  <c r="L30"/>
  <c r="J30"/>
  <c r="N30"/>
  <c r="C30"/>
  <c r="R31"/>
  <c r="Q33"/>
  <c r="Y29" l="1"/>
  <c r="AS28"/>
  <c r="AH28"/>
  <c r="AL28"/>
  <c r="AM28"/>
  <c r="AP28"/>
  <c r="AR28"/>
  <c r="AG28"/>
  <c r="AO28"/>
  <c r="Z28"/>
  <c r="AN28"/>
  <c r="AK28"/>
  <c r="AQ28"/>
  <c r="AF28"/>
  <c r="AB28"/>
  <c r="AE28"/>
  <c r="AI28"/>
  <c r="AT28"/>
  <c r="AV28"/>
  <c r="AJ28"/>
  <c r="AU28"/>
  <c r="AC28"/>
  <c r="AA28"/>
  <c r="AD28"/>
  <c r="H30"/>
  <c r="D32"/>
  <c r="J31"/>
  <c r="W30"/>
  <c r="N31"/>
  <c r="U31"/>
  <c r="M30"/>
  <c r="E32"/>
  <c r="O32"/>
  <c r="K30"/>
  <c r="P32"/>
  <c r="P33" s="1"/>
  <c r="L31"/>
  <c r="C31"/>
  <c r="S31"/>
  <c r="V33"/>
  <c r="I34"/>
  <c r="I35" s="1"/>
  <c r="X33"/>
  <c r="F31"/>
  <c r="R32"/>
  <c r="T31"/>
  <c r="Q34"/>
  <c r="Y30" l="1"/>
  <c r="AS29"/>
  <c r="AN29"/>
  <c r="AH29"/>
  <c r="AK29"/>
  <c r="AM29"/>
  <c r="AP29"/>
  <c r="AO29"/>
  <c r="AL29"/>
  <c r="AG29"/>
  <c r="AQ29"/>
  <c r="AF29"/>
  <c r="AR29"/>
  <c r="Z29"/>
  <c r="AB29"/>
  <c r="AE29"/>
  <c r="AT29"/>
  <c r="AI29"/>
  <c r="AJ29"/>
  <c r="AV29"/>
  <c r="AU29"/>
  <c r="AA29"/>
  <c r="AC29"/>
  <c r="AD29"/>
  <c r="W31"/>
  <c r="N32"/>
  <c r="K31"/>
  <c r="M31"/>
  <c r="X34"/>
  <c r="S32"/>
  <c r="V34"/>
  <c r="F32"/>
  <c r="P34"/>
  <c r="H31"/>
  <c r="U32"/>
  <c r="O33"/>
  <c r="L32"/>
  <c r="T32"/>
  <c r="E33"/>
  <c r="Q35"/>
  <c r="R33"/>
  <c r="C32"/>
  <c r="D33"/>
  <c r="J32"/>
  <c r="O34"/>
  <c r="Y31" l="1"/>
  <c r="AS30"/>
  <c r="AO30"/>
  <c r="AG30"/>
  <c r="AM30"/>
  <c r="AF30"/>
  <c r="AQ30"/>
  <c r="AK30"/>
  <c r="AN30"/>
  <c r="AR30"/>
  <c r="AP30"/>
  <c r="AL30"/>
  <c r="AH30"/>
  <c r="Z30"/>
  <c r="AB30"/>
  <c r="AE30"/>
  <c r="AI30"/>
  <c r="AT30"/>
  <c r="AV30"/>
  <c r="AJ30"/>
  <c r="AU30"/>
  <c r="AA30"/>
  <c r="AC30"/>
  <c r="AD30"/>
  <c r="P35"/>
  <c r="M32"/>
  <c r="K32"/>
  <c r="E34"/>
  <c r="X35"/>
  <c r="T33"/>
  <c r="M33"/>
  <c r="R34"/>
  <c r="V35"/>
  <c r="O35"/>
  <c r="J33"/>
  <c r="C33"/>
  <c r="U33"/>
  <c r="H32"/>
  <c r="S33"/>
  <c r="W32"/>
  <c r="N33"/>
  <c r="F33"/>
  <c r="H33"/>
  <c r="L33"/>
  <c r="E35"/>
  <c r="D34"/>
  <c r="Y32" l="1"/>
  <c r="AS31"/>
  <c r="AG31"/>
  <c r="AP31"/>
  <c r="AM31"/>
  <c r="AH31"/>
  <c r="AN31"/>
  <c r="AQ31"/>
  <c r="AF31"/>
  <c r="AR31"/>
  <c r="Z31"/>
  <c r="AK31"/>
  <c r="AO31"/>
  <c r="AL31"/>
  <c r="AB31"/>
  <c r="AE31"/>
  <c r="AT31"/>
  <c r="AI31"/>
  <c r="AJ31"/>
  <c r="AV31"/>
  <c r="AU31"/>
  <c r="AA31"/>
  <c r="AC31"/>
  <c r="AD31"/>
  <c r="W33"/>
  <c r="W34" s="1"/>
  <c r="T34"/>
  <c r="K33"/>
  <c r="M34"/>
  <c r="C34"/>
  <c r="D35"/>
  <c r="R35"/>
  <c r="U34"/>
  <c r="F34"/>
  <c r="S34"/>
  <c r="W35"/>
  <c r="N34"/>
  <c r="H34"/>
  <c r="L34"/>
  <c r="J34"/>
  <c r="F35"/>
  <c r="N35"/>
  <c r="Y33" l="1"/>
  <c r="AS32"/>
  <c r="AP32"/>
  <c r="AM32"/>
  <c r="AH32"/>
  <c r="AL32"/>
  <c r="AN32"/>
  <c r="AK32"/>
  <c r="AQ32"/>
  <c r="AF32"/>
  <c r="Z32"/>
  <c r="AR32"/>
  <c r="AG32"/>
  <c r="AO32"/>
  <c r="AB32"/>
  <c r="AE32"/>
  <c r="AI32"/>
  <c r="AT32"/>
  <c r="AV32"/>
  <c r="AJ32"/>
  <c r="AU32"/>
  <c r="AC32"/>
  <c r="AA32"/>
  <c r="AD32"/>
  <c r="S35"/>
  <c r="M35"/>
  <c r="C35"/>
  <c r="J35"/>
  <c r="U35"/>
  <c r="K34"/>
  <c r="H35"/>
  <c r="T35"/>
  <c r="L35"/>
  <c r="Y34" l="1"/>
  <c r="AD34" s="1"/>
  <c r="AS33"/>
  <c r="AK33"/>
  <c r="AG33"/>
  <c r="AH33"/>
  <c r="AM33"/>
  <c r="AP33"/>
  <c r="AN33"/>
  <c r="AF33"/>
  <c r="AO33"/>
  <c r="AQ33"/>
  <c r="AL33"/>
  <c r="Z33"/>
  <c r="AB33"/>
  <c r="AR33"/>
  <c r="AE33"/>
  <c r="AI33"/>
  <c r="AT33"/>
  <c r="AJ33"/>
  <c r="AV33"/>
  <c r="AU33"/>
  <c r="AC33"/>
  <c r="AA33"/>
  <c r="AD33"/>
  <c r="K35"/>
  <c r="AB34" l="1"/>
  <c r="AP34"/>
  <c r="AN34"/>
  <c r="AM34"/>
  <c r="AS34"/>
  <c r="AQ34"/>
  <c r="AF34"/>
  <c r="AH34"/>
  <c r="AL34"/>
  <c r="AG34"/>
  <c r="AK34"/>
  <c r="AO34"/>
  <c r="Z34"/>
  <c r="AR34"/>
  <c r="AE34"/>
  <c r="AI34"/>
  <c r="AT34"/>
  <c r="AU34"/>
  <c r="AV34"/>
  <c r="AJ34"/>
  <c r="AA34"/>
  <c r="AC34"/>
  <c r="Y35" l="1"/>
  <c r="AP35" s="1"/>
  <c r="Z35" l="1"/>
  <c r="AI35"/>
  <c r="AM35"/>
  <c r="AR35"/>
  <c r="AK35"/>
  <c r="AG35"/>
  <c r="AV35"/>
  <c r="AH35"/>
  <c r="AA35"/>
  <c r="AO35"/>
  <c r="AE35"/>
  <c r="AT35"/>
  <c r="AN35"/>
  <c r="AL35"/>
  <c r="AU35"/>
  <c r="AQ35"/>
  <c r="AD35"/>
  <c r="AC35"/>
  <c r="AJ35"/>
  <c r="AB35"/>
  <c r="AF35"/>
  <c r="AS35"/>
  <c r="E36"/>
  <c r="X36"/>
  <c r="K36"/>
  <c r="H36"/>
  <c r="V36"/>
  <c r="J36"/>
  <c r="O36"/>
  <c r="P36"/>
  <c r="G36"/>
  <c r="T36"/>
  <c r="D36"/>
  <c r="J37"/>
  <c r="M36"/>
  <c r="S36"/>
  <c r="C36"/>
  <c r="C37" s="1"/>
  <c r="Q36"/>
  <c r="I36"/>
  <c r="H37"/>
  <c r="V37"/>
  <c r="N36"/>
  <c r="U36"/>
  <c r="U37" s="1"/>
  <c r="U38" s="1"/>
  <c r="W36"/>
  <c r="O37"/>
  <c r="P37"/>
  <c r="G37"/>
  <c r="G38" s="1"/>
  <c r="L36"/>
  <c r="L37" s="1"/>
  <c r="F36"/>
  <c r="D37"/>
  <c r="W37"/>
  <c r="R36"/>
  <c r="H38"/>
  <c r="D38"/>
  <c r="Y36" l="1"/>
  <c r="AM36" s="1"/>
  <c r="N37"/>
  <c r="S37"/>
  <c r="N38"/>
  <c r="F37"/>
  <c r="P38"/>
  <c r="D39"/>
  <c r="J38"/>
  <c r="O38"/>
  <c r="Q37"/>
  <c r="C38"/>
  <c r="H39"/>
  <c r="T37"/>
  <c r="L38"/>
  <c r="X37"/>
  <c r="T38"/>
  <c r="G39"/>
  <c r="W38"/>
  <c r="I37"/>
  <c r="K37"/>
  <c r="X38"/>
  <c r="E37"/>
  <c r="V38"/>
  <c r="R37"/>
  <c r="M37"/>
  <c r="U39"/>
  <c r="Y37" l="1"/>
  <c r="AM37" s="1"/>
  <c r="AA36"/>
  <c r="AH37"/>
  <c r="AV36"/>
  <c r="AB36"/>
  <c r="AK36"/>
  <c r="AG36"/>
  <c r="AD36"/>
  <c r="AI36"/>
  <c r="AH36"/>
  <c r="AC36"/>
  <c r="AR36"/>
  <c r="AE36"/>
  <c r="Z36"/>
  <c r="AL36"/>
  <c r="AU36"/>
  <c r="AP36"/>
  <c r="AQ36"/>
  <c r="AT36"/>
  <c r="AS36"/>
  <c r="AN36"/>
  <c r="AJ36"/>
  <c r="AU37"/>
  <c r="AO36"/>
  <c r="AF36"/>
  <c r="K38"/>
  <c r="W39"/>
  <c r="W40"/>
  <c r="T39"/>
  <c r="H40"/>
  <c r="W41"/>
  <c r="G40"/>
  <c r="G41"/>
  <c r="E38"/>
  <c r="P39"/>
  <c r="N39"/>
  <c r="F38"/>
  <c r="D40"/>
  <c r="R38"/>
  <c r="L39"/>
  <c r="L40" s="1"/>
  <c r="Q38"/>
  <c r="C39"/>
  <c r="J39"/>
  <c r="S38"/>
  <c r="U40"/>
  <c r="M38"/>
  <c r="I38"/>
  <c r="X39"/>
  <c r="X40" s="1"/>
  <c r="O39"/>
  <c r="V39"/>
  <c r="AQ37" l="1"/>
  <c r="AP37"/>
  <c r="Z37"/>
  <c r="AR37"/>
  <c r="AG37"/>
  <c r="AL37"/>
  <c r="AN37"/>
  <c r="AV37"/>
  <c r="AT37"/>
  <c r="AE37"/>
  <c r="AD37"/>
  <c r="AB37"/>
  <c r="AF37"/>
  <c r="AO37"/>
  <c r="AJ37"/>
  <c r="AA37"/>
  <c r="AS37"/>
  <c r="AK37"/>
  <c r="AC37"/>
  <c r="AI37"/>
  <c r="Y38"/>
  <c r="AK38" s="1"/>
  <c r="R39"/>
  <c r="K39"/>
  <c r="O40"/>
  <c r="Q39"/>
  <c r="C40"/>
  <c r="W42"/>
  <c r="X41"/>
  <c r="T40"/>
  <c r="P40"/>
  <c r="F39"/>
  <c r="J40"/>
  <c r="I39"/>
  <c r="H41"/>
  <c r="V40"/>
  <c r="E39"/>
  <c r="U41"/>
  <c r="N40"/>
  <c r="N41"/>
  <c r="G42"/>
  <c r="M39"/>
  <c r="K40"/>
  <c r="R40"/>
  <c r="S39"/>
  <c r="P41"/>
  <c r="C41"/>
  <c r="D41"/>
  <c r="R41"/>
  <c r="L41"/>
  <c r="AV38" l="1"/>
  <c r="AJ38"/>
  <c r="AH38"/>
  <c r="AI38"/>
  <c r="AD38"/>
  <c r="AF38"/>
  <c r="AE38"/>
  <c r="Z38"/>
  <c r="AP38"/>
  <c r="AR38"/>
  <c r="AU38"/>
  <c r="AT38"/>
  <c r="AL38"/>
  <c r="AG38"/>
  <c r="AC38"/>
  <c r="AA38"/>
  <c r="AS38"/>
  <c r="AN38"/>
  <c r="AO38"/>
  <c r="AB38"/>
  <c r="AQ38"/>
  <c r="AM38"/>
  <c r="Y39"/>
  <c r="AB39" s="1"/>
  <c r="O41"/>
  <c r="T41"/>
  <c r="F40"/>
  <c r="R42"/>
  <c r="G43"/>
  <c r="X42"/>
  <c r="P42"/>
  <c r="H42"/>
  <c r="K41"/>
  <c r="L42"/>
  <c r="Q40"/>
  <c r="U42"/>
  <c r="U43" s="1"/>
  <c r="M40"/>
  <c r="M41" s="1"/>
  <c r="S40"/>
  <c r="W43"/>
  <c r="I40"/>
  <c r="I41" s="1"/>
  <c r="E40"/>
  <c r="J41"/>
  <c r="D42"/>
  <c r="V41"/>
  <c r="N42"/>
  <c r="F41"/>
  <c r="E41"/>
  <c r="C42"/>
  <c r="AO39" l="1"/>
  <c r="AM39"/>
  <c r="AN39"/>
  <c r="AC39"/>
  <c r="AE39"/>
  <c r="AH39"/>
  <c r="AJ39"/>
  <c r="AQ39"/>
  <c r="AR39"/>
  <c r="AI39"/>
  <c r="Y40"/>
  <c r="AP40" s="1"/>
  <c r="AG39"/>
  <c r="AT39"/>
  <c r="AP39"/>
  <c r="AD39"/>
  <c r="AF39"/>
  <c r="AL39"/>
  <c r="AS39"/>
  <c r="Z39"/>
  <c r="AU39"/>
  <c r="AA39"/>
  <c r="AK39"/>
  <c r="AV39"/>
  <c r="X43"/>
  <c r="X44" s="1"/>
  <c r="X45"/>
  <c r="I42"/>
  <c r="V42"/>
  <c r="K42"/>
  <c r="Q41"/>
  <c r="W44"/>
  <c r="S41"/>
  <c r="U44"/>
  <c r="J42"/>
  <c r="L43"/>
  <c r="H43"/>
  <c r="P43"/>
  <c r="P44" s="1"/>
  <c r="O42"/>
  <c r="O43" s="1"/>
  <c r="O44" s="1"/>
  <c r="T42"/>
  <c r="E42"/>
  <c r="P45"/>
  <c r="G44"/>
  <c r="M42"/>
  <c r="X46"/>
  <c r="F42"/>
  <c r="D43"/>
  <c r="X47"/>
  <c r="C43"/>
  <c r="N43"/>
  <c r="R43"/>
  <c r="AT40" l="1"/>
  <c r="AQ40"/>
  <c r="Y41"/>
  <c r="AT41" s="1"/>
  <c r="AB40"/>
  <c r="AK40"/>
  <c r="AL40"/>
  <c r="AF40"/>
  <c r="AA40"/>
  <c r="AI40"/>
  <c r="AS40"/>
  <c r="AU40"/>
  <c r="AH40"/>
  <c r="AV40"/>
  <c r="AE40"/>
  <c r="Z40"/>
  <c r="AC40"/>
  <c r="AO40"/>
  <c r="AM40"/>
  <c r="AR40"/>
  <c r="AJ40"/>
  <c r="AD40"/>
  <c r="AN40"/>
  <c r="AG40"/>
  <c r="T43"/>
  <c r="T44" s="1"/>
  <c r="W45"/>
  <c r="Q42"/>
  <c r="S42"/>
  <c r="H44"/>
  <c r="G45"/>
  <c r="C44"/>
  <c r="O45"/>
  <c r="F43"/>
  <c r="D44"/>
  <c r="X48"/>
  <c r="I43"/>
  <c r="P46"/>
  <c r="P47" s="1"/>
  <c r="M43"/>
  <c r="N44"/>
  <c r="R44"/>
  <c r="V43"/>
  <c r="K43"/>
  <c r="T45"/>
  <c r="L44"/>
  <c r="J43"/>
  <c r="U45"/>
  <c r="E43"/>
  <c r="Y42" l="1"/>
  <c r="AT42" s="1"/>
  <c r="AB41"/>
  <c r="AK41"/>
  <c r="AL41"/>
  <c r="AF41"/>
  <c r="AN41"/>
  <c r="AJ41"/>
  <c r="AH41"/>
  <c r="AU41"/>
  <c r="AD41"/>
  <c r="AI41"/>
  <c r="AG41"/>
  <c r="Z41"/>
  <c r="AO41"/>
  <c r="AC41"/>
  <c r="AM41"/>
  <c r="AV41"/>
  <c r="AE41"/>
  <c r="AR41"/>
  <c r="AA41"/>
  <c r="AS41"/>
  <c r="AQ41"/>
  <c r="AP41"/>
  <c r="E44"/>
  <c r="U46"/>
  <c r="J44"/>
  <c r="O46"/>
  <c r="X49"/>
  <c r="V44"/>
  <c r="R45"/>
  <c r="X50"/>
  <c r="M44"/>
  <c r="N45"/>
  <c r="P48"/>
  <c r="K44"/>
  <c r="Q43"/>
  <c r="D45"/>
  <c r="G46"/>
  <c r="C45"/>
  <c r="S43"/>
  <c r="I44"/>
  <c r="H45"/>
  <c r="F44"/>
  <c r="L45"/>
  <c r="W46"/>
  <c r="T46"/>
  <c r="Y43" l="1"/>
  <c r="AT43" s="1"/>
  <c r="AB42"/>
  <c r="AK42"/>
  <c r="Z42"/>
  <c r="AF42"/>
  <c r="AD42"/>
  <c r="AH42"/>
  <c r="AJ42"/>
  <c r="AS42"/>
  <c r="AM42"/>
  <c r="AC42"/>
  <c r="AA42"/>
  <c r="AN42"/>
  <c r="AL42"/>
  <c r="AO42"/>
  <c r="AU42"/>
  <c r="AG42"/>
  <c r="AE42"/>
  <c r="AQ42"/>
  <c r="AI42"/>
  <c r="AP42"/>
  <c r="AR42"/>
  <c r="AV42"/>
  <c r="P49"/>
  <c r="P50" s="1"/>
  <c r="P51" s="1"/>
  <c r="P52"/>
  <c r="P53"/>
  <c r="T47"/>
  <c r="I45"/>
  <c r="J45"/>
  <c r="U47"/>
  <c r="E45"/>
  <c r="S44"/>
  <c r="W47"/>
  <c r="L46"/>
  <c r="R46"/>
  <c r="V45"/>
  <c r="F45"/>
  <c r="P73"/>
  <c r="K45"/>
  <c r="K46"/>
  <c r="C46"/>
  <c r="O47"/>
  <c r="Q44"/>
  <c r="D46"/>
  <c r="G47"/>
  <c r="X51"/>
  <c r="X52"/>
  <c r="M45"/>
  <c r="X53"/>
  <c r="H46"/>
  <c r="N46"/>
  <c r="Y44" l="1"/>
  <c r="AT44" s="1"/>
  <c r="AB43"/>
  <c r="AV43"/>
  <c r="AM43"/>
  <c r="AL43"/>
  <c r="Z43"/>
  <c r="AF43"/>
  <c r="AD43"/>
  <c r="AH43"/>
  <c r="AS43"/>
  <c r="AC43"/>
  <c r="AA43"/>
  <c r="AU43"/>
  <c r="AK43"/>
  <c r="AJ43"/>
  <c r="AN43"/>
  <c r="AO43"/>
  <c r="AG43"/>
  <c r="AR43"/>
  <c r="AP43"/>
  <c r="AI43"/>
  <c r="AQ43"/>
  <c r="AE43"/>
  <c r="L47"/>
  <c r="P54"/>
  <c r="S45"/>
  <c r="E46"/>
  <c r="T48"/>
  <c r="X54"/>
  <c r="Q45"/>
  <c r="H47"/>
  <c r="F46"/>
  <c r="G48"/>
  <c r="J46"/>
  <c r="K47"/>
  <c r="K48"/>
  <c r="M46"/>
  <c r="D47"/>
  <c r="I46"/>
  <c r="O48"/>
  <c r="C47"/>
  <c r="N47"/>
  <c r="V46"/>
  <c r="R47"/>
  <c r="W48"/>
  <c r="U48"/>
  <c r="Y45" l="1"/>
  <c r="AT45" s="1"/>
  <c r="AB44"/>
  <c r="AD44"/>
  <c r="AV44"/>
  <c r="Z44"/>
  <c r="AK44"/>
  <c r="AF44"/>
  <c r="AH44"/>
  <c r="AS44"/>
  <c r="AM44"/>
  <c r="AL44"/>
  <c r="AC44"/>
  <c r="AO44"/>
  <c r="AN44"/>
  <c r="AJ44"/>
  <c r="AU44"/>
  <c r="AA44"/>
  <c r="AQ44"/>
  <c r="AI44"/>
  <c r="AP44"/>
  <c r="AR44"/>
  <c r="AG44"/>
  <c r="AE44"/>
  <c r="S46"/>
  <c r="O49"/>
  <c r="J47"/>
  <c r="X55"/>
  <c r="W49"/>
  <c r="F47"/>
  <c r="Q46"/>
  <c r="H48"/>
  <c r="E47"/>
  <c r="L48"/>
  <c r="N48"/>
  <c r="I47"/>
  <c r="D48"/>
  <c r="K49"/>
  <c r="K50" s="1"/>
  <c r="C48"/>
  <c r="P55"/>
  <c r="U49"/>
  <c r="X56"/>
  <c r="M47"/>
  <c r="G49"/>
  <c r="R48"/>
  <c r="V47"/>
  <c r="T49"/>
  <c r="Y46" l="1"/>
  <c r="AT46" s="1"/>
  <c r="AB45"/>
  <c r="AV45"/>
  <c r="Z45"/>
  <c r="AD45"/>
  <c r="AM45"/>
  <c r="AS45"/>
  <c r="AH45"/>
  <c r="AF45"/>
  <c r="AK45"/>
  <c r="AL45"/>
  <c r="AA45"/>
  <c r="AU45"/>
  <c r="AJ45"/>
  <c r="AN45"/>
  <c r="AO45"/>
  <c r="AC45"/>
  <c r="AQ45"/>
  <c r="AE45"/>
  <c r="AR45"/>
  <c r="AP45"/>
  <c r="AI45"/>
  <c r="AG45"/>
  <c r="S47"/>
  <c r="K51"/>
  <c r="T50"/>
  <c r="N49"/>
  <c r="D49"/>
  <c r="I48"/>
  <c r="M48"/>
  <c r="L49"/>
  <c r="F48"/>
  <c r="H49"/>
  <c r="X57"/>
  <c r="X58" s="1"/>
  <c r="O50"/>
  <c r="C49"/>
  <c r="U50"/>
  <c r="J48"/>
  <c r="P56"/>
  <c r="W50"/>
  <c r="G50"/>
  <c r="V48"/>
  <c r="R49"/>
  <c r="E48"/>
  <c r="Q47"/>
  <c r="Y47" l="1"/>
  <c r="AT47" s="1"/>
  <c r="AB46"/>
  <c r="Z46"/>
  <c r="AD46"/>
  <c r="AV46"/>
  <c r="AF46"/>
  <c r="AH46"/>
  <c r="AS46"/>
  <c r="AM46"/>
  <c r="AL46"/>
  <c r="AK46"/>
  <c r="AA46"/>
  <c r="AO46"/>
  <c r="AN46"/>
  <c r="AJ46"/>
  <c r="AU46"/>
  <c r="AC46"/>
  <c r="AI46"/>
  <c r="AP46"/>
  <c r="AR46"/>
  <c r="AE46"/>
  <c r="AQ46"/>
  <c r="AG46"/>
  <c r="S48"/>
  <c r="S49" s="1"/>
  <c r="S50" s="1"/>
  <c r="P57"/>
  <c r="I49"/>
  <c r="N50"/>
  <c r="V49"/>
  <c r="M49"/>
  <c r="S51"/>
  <c r="V73"/>
  <c r="J49"/>
  <c r="G51"/>
  <c r="F49"/>
  <c r="L50"/>
  <c r="X59"/>
  <c r="X60" s="1"/>
  <c r="W51"/>
  <c r="R50"/>
  <c r="D50"/>
  <c r="K52"/>
  <c r="C50"/>
  <c r="E49"/>
  <c r="H50"/>
  <c r="Q48"/>
  <c r="U51"/>
  <c r="O51"/>
  <c r="T51"/>
  <c r="Y48" l="1"/>
  <c r="AT48" s="1"/>
  <c r="AB47"/>
  <c r="AD47"/>
  <c r="Z47"/>
  <c r="AV47"/>
  <c r="AM47"/>
  <c r="AS47"/>
  <c r="AH47"/>
  <c r="AF47"/>
  <c r="AK47"/>
  <c r="AL47"/>
  <c r="AU47"/>
  <c r="AJ47"/>
  <c r="AN47"/>
  <c r="AO47"/>
  <c r="AA47"/>
  <c r="AC47"/>
  <c r="AG47"/>
  <c r="AQ47"/>
  <c r="AE47"/>
  <c r="AR47"/>
  <c r="AP47"/>
  <c r="AI47"/>
  <c r="X61"/>
  <c r="P58"/>
  <c r="O52"/>
  <c r="Q49"/>
  <c r="K73"/>
  <c r="U52"/>
  <c r="E50"/>
  <c r="F50"/>
  <c r="T52"/>
  <c r="L51"/>
  <c r="M50"/>
  <c r="K53"/>
  <c r="V50"/>
  <c r="V51" s="1"/>
  <c r="V52"/>
  <c r="G52"/>
  <c r="J50"/>
  <c r="S52"/>
  <c r="W52"/>
  <c r="H51"/>
  <c r="N51"/>
  <c r="R51"/>
  <c r="D51"/>
  <c r="I50"/>
  <c r="C51"/>
  <c r="Y49" l="1"/>
  <c r="AT49" s="1"/>
  <c r="AB48"/>
  <c r="Z48"/>
  <c r="AD48"/>
  <c r="AV48"/>
  <c r="AF48"/>
  <c r="AH48"/>
  <c r="AS48"/>
  <c r="AM48"/>
  <c r="AL48"/>
  <c r="AK48"/>
  <c r="AC48"/>
  <c r="AO48"/>
  <c r="AN48"/>
  <c r="AJ48"/>
  <c r="AU48"/>
  <c r="AA48"/>
  <c r="AQ48"/>
  <c r="AG48"/>
  <c r="AE48"/>
  <c r="AI48"/>
  <c r="AP48"/>
  <c r="AR48"/>
  <c r="P59"/>
  <c r="M51"/>
  <c r="R52"/>
  <c r="H52"/>
  <c r="L52"/>
  <c r="J51"/>
  <c r="N52"/>
  <c r="G53"/>
  <c r="E51"/>
  <c r="T53"/>
  <c r="D52"/>
  <c r="K54"/>
  <c r="X62"/>
  <c r="S53"/>
  <c r="W53"/>
  <c r="O53"/>
  <c r="I51"/>
  <c r="Q50"/>
  <c r="U53"/>
  <c r="C52"/>
  <c r="V53"/>
  <c r="F51"/>
  <c r="X63"/>
  <c r="X64"/>
  <c r="X65"/>
  <c r="X66"/>
  <c r="X68" s="1"/>
  <c r="X67"/>
  <c r="Y50" l="1"/>
  <c r="Z49"/>
  <c r="AB49"/>
  <c r="AV49"/>
  <c r="AD49"/>
  <c r="AK49"/>
  <c r="AL49"/>
  <c r="AM49"/>
  <c r="AS49"/>
  <c r="AH49"/>
  <c r="AF49"/>
  <c r="AR49"/>
  <c r="AC49"/>
  <c r="AA49"/>
  <c r="AU49"/>
  <c r="AJ49"/>
  <c r="AN49"/>
  <c r="AO49"/>
  <c r="AG49"/>
  <c r="AQ49"/>
  <c r="AP49"/>
  <c r="AI49"/>
  <c r="AE49"/>
  <c r="K55"/>
  <c r="X69"/>
  <c r="D53"/>
  <c r="Q51"/>
  <c r="V54"/>
  <c r="U54"/>
  <c r="J52"/>
  <c r="O54"/>
  <c r="C53"/>
  <c r="P75"/>
  <c r="S54"/>
  <c r="R53"/>
  <c r="W54"/>
  <c r="P60"/>
  <c r="L53"/>
  <c r="G54"/>
  <c r="H53"/>
  <c r="M52"/>
  <c r="N53"/>
  <c r="I52"/>
  <c r="T54"/>
  <c r="E52"/>
  <c r="G55"/>
  <c r="W55"/>
  <c r="F52"/>
  <c r="G56"/>
  <c r="Y51" l="1"/>
  <c r="AT51" s="1"/>
  <c r="AR50"/>
  <c r="AD50"/>
  <c r="Z50"/>
  <c r="AV50"/>
  <c r="AB50"/>
  <c r="AL50"/>
  <c r="AK50"/>
  <c r="AS50"/>
  <c r="AF50"/>
  <c r="AH50"/>
  <c r="AM50"/>
  <c r="AA50"/>
  <c r="AC50"/>
  <c r="AJ50"/>
  <c r="AU50"/>
  <c r="AO50"/>
  <c r="AN50"/>
  <c r="AE50"/>
  <c r="AQ50"/>
  <c r="AG50"/>
  <c r="AI50"/>
  <c r="AP50"/>
  <c r="AT50"/>
  <c r="K56"/>
  <c r="K57" s="1"/>
  <c r="F53"/>
  <c r="R54"/>
  <c r="G57"/>
  <c r="X70"/>
  <c r="N54"/>
  <c r="T55"/>
  <c r="I53"/>
  <c r="U55"/>
  <c r="U56"/>
  <c r="Q52"/>
  <c r="W56"/>
  <c r="P61"/>
  <c r="L54"/>
  <c r="S55"/>
  <c r="V55"/>
  <c r="C54"/>
  <c r="O55"/>
  <c r="P76"/>
  <c r="J53"/>
  <c r="M53"/>
  <c r="H54"/>
  <c r="D54"/>
  <c r="E53"/>
  <c r="G73"/>
  <c r="P77" l="1"/>
  <c r="Y52"/>
  <c r="AT52" s="1"/>
  <c r="AR51"/>
  <c r="AV51"/>
  <c r="Z51"/>
  <c r="AD51"/>
  <c r="AB51"/>
  <c r="AK51"/>
  <c r="AL51"/>
  <c r="AH51"/>
  <c r="AF51"/>
  <c r="AM51"/>
  <c r="AS51"/>
  <c r="AC51"/>
  <c r="AA51"/>
  <c r="AN51"/>
  <c r="AO51"/>
  <c r="AU51"/>
  <c r="AJ51"/>
  <c r="AQ51"/>
  <c r="AE51"/>
  <c r="AI51"/>
  <c r="AG51"/>
  <c r="AP51"/>
  <c r="V56"/>
  <c r="X71"/>
  <c r="X72" s="1"/>
  <c r="K58"/>
  <c r="F54"/>
  <c r="D55"/>
  <c r="N55"/>
  <c r="W57"/>
  <c r="E54"/>
  <c r="C55"/>
  <c r="U57"/>
  <c r="Q53"/>
  <c r="R55"/>
  <c r="H55"/>
  <c r="P62"/>
  <c r="G58"/>
  <c r="G59" s="1"/>
  <c r="M54"/>
  <c r="I54"/>
  <c r="M55"/>
  <c r="M56" s="1"/>
  <c r="T56"/>
  <c r="J54"/>
  <c r="M57"/>
  <c r="M58" s="1"/>
  <c r="M59"/>
  <c r="M60" s="1"/>
  <c r="V57"/>
  <c r="O56"/>
  <c r="H56"/>
  <c r="H57"/>
  <c r="H58" s="1"/>
  <c r="W73"/>
  <c r="S56"/>
  <c r="L55"/>
  <c r="D56"/>
  <c r="H59"/>
  <c r="H60" s="1"/>
  <c r="H61"/>
  <c r="H62" s="1"/>
  <c r="Y53" l="1"/>
  <c r="AT53" s="1"/>
  <c r="AR52"/>
  <c r="AD52"/>
  <c r="Z52"/>
  <c r="AB52"/>
  <c r="AV52"/>
  <c r="AH52"/>
  <c r="AL52"/>
  <c r="AK52"/>
  <c r="AS52"/>
  <c r="AM52"/>
  <c r="AF52"/>
  <c r="AO52"/>
  <c r="AC52"/>
  <c r="AA52"/>
  <c r="AJ52"/>
  <c r="AU52"/>
  <c r="AN52"/>
  <c r="AE52"/>
  <c r="AP52"/>
  <c r="AG52"/>
  <c r="AI52"/>
  <c r="AQ52"/>
  <c r="M61"/>
  <c r="P63"/>
  <c r="W58"/>
  <c r="W59"/>
  <c r="R56"/>
  <c r="F55"/>
  <c r="D57"/>
  <c r="H63"/>
  <c r="R57"/>
  <c r="M62"/>
  <c r="N56"/>
  <c r="E55"/>
  <c r="S57"/>
  <c r="C73"/>
  <c r="K75"/>
  <c r="T57"/>
  <c r="O57"/>
  <c r="G60"/>
  <c r="C56"/>
  <c r="C57" s="1"/>
  <c r="K59"/>
  <c r="G61"/>
  <c r="O58"/>
  <c r="H73"/>
  <c r="U58"/>
  <c r="Q54"/>
  <c r="M73"/>
  <c r="V58"/>
  <c r="I55"/>
  <c r="O59"/>
  <c r="O60" s="1"/>
  <c r="X73"/>
  <c r="L56"/>
  <c r="J55"/>
  <c r="U59"/>
  <c r="N73"/>
  <c r="Y54" l="1"/>
  <c r="AT54" s="1"/>
  <c r="AR53"/>
  <c r="AV53"/>
  <c r="AD53"/>
  <c r="AB53"/>
  <c r="Z53"/>
  <c r="AM53"/>
  <c r="AS53"/>
  <c r="AK53"/>
  <c r="AL53"/>
  <c r="AF53"/>
  <c r="AH53"/>
  <c r="AO53"/>
  <c r="AN53"/>
  <c r="AU53"/>
  <c r="AJ53"/>
  <c r="AC53"/>
  <c r="AA53"/>
  <c r="AI53"/>
  <c r="AP53"/>
  <c r="AE53"/>
  <c r="AQ53"/>
  <c r="AG53"/>
  <c r="I56"/>
  <c r="G62"/>
  <c r="C58"/>
  <c r="C59" s="1"/>
  <c r="M63"/>
  <c r="P64"/>
  <c r="I57"/>
  <c r="J56"/>
  <c r="I73"/>
  <c r="X75"/>
  <c r="D58"/>
  <c r="O73"/>
  <c r="R58"/>
  <c r="U60"/>
  <c r="J57"/>
  <c r="K76"/>
  <c r="F56"/>
  <c r="O76"/>
  <c r="X74"/>
  <c r="V59"/>
  <c r="K60"/>
  <c r="E56"/>
  <c r="W60"/>
  <c r="W61" s="1"/>
  <c r="T58"/>
  <c r="T59"/>
  <c r="H64"/>
  <c r="S58"/>
  <c r="Q55"/>
  <c r="Q56" s="1"/>
  <c r="O61"/>
  <c r="N57"/>
  <c r="L57"/>
  <c r="R59"/>
  <c r="R60" s="1"/>
  <c r="E73"/>
  <c r="M64"/>
  <c r="S59"/>
  <c r="P65"/>
  <c r="P66" s="1"/>
  <c r="P67" s="1"/>
  <c r="K61"/>
  <c r="K77" l="1"/>
  <c r="Y55"/>
  <c r="AT55" s="1"/>
  <c r="Y56"/>
  <c r="AT56" s="1"/>
  <c r="AD54"/>
  <c r="Z54"/>
  <c r="AB54"/>
  <c r="AV54"/>
  <c r="AR54"/>
  <c r="AF54"/>
  <c r="AL54"/>
  <c r="AK54"/>
  <c r="AS54"/>
  <c r="AM54"/>
  <c r="AH54"/>
  <c r="AO54"/>
  <c r="AJ54"/>
  <c r="AU54"/>
  <c r="AA54"/>
  <c r="AC54"/>
  <c r="AN54"/>
  <c r="AI54"/>
  <c r="AG54"/>
  <c r="AE54"/>
  <c r="AQ54"/>
  <c r="AP54"/>
  <c r="O77"/>
  <c r="P68"/>
  <c r="O62"/>
  <c r="O63" s="1"/>
  <c r="E57"/>
  <c r="F57"/>
  <c r="I58"/>
  <c r="G63"/>
  <c r="D59"/>
  <c r="M65"/>
  <c r="S60"/>
  <c r="D73"/>
  <c r="N58"/>
  <c r="I59"/>
  <c r="H65"/>
  <c r="L58"/>
  <c r="J73"/>
  <c r="U61"/>
  <c r="U62" s="1"/>
  <c r="K62"/>
  <c r="R61"/>
  <c r="R62" s="1"/>
  <c r="W62"/>
  <c r="V60"/>
  <c r="J58"/>
  <c r="J59" s="1"/>
  <c r="C60"/>
  <c r="C61" s="1"/>
  <c r="C62" s="1"/>
  <c r="C63" s="1"/>
  <c r="C64" s="1"/>
  <c r="C65" s="1"/>
  <c r="R63"/>
  <c r="X76"/>
  <c r="T60"/>
  <c r="F58"/>
  <c r="O64"/>
  <c r="Q57"/>
  <c r="F73"/>
  <c r="K63"/>
  <c r="K64"/>
  <c r="K65"/>
  <c r="K66" s="1"/>
  <c r="K67" s="1"/>
  <c r="X77" l="1"/>
  <c r="Y57"/>
  <c r="AE56"/>
  <c r="Z56"/>
  <c r="AD56"/>
  <c r="AV56"/>
  <c r="AB56"/>
  <c r="AR56"/>
  <c r="AL56"/>
  <c r="AF56"/>
  <c r="AM56"/>
  <c r="AP56"/>
  <c r="AC56"/>
  <c r="AS56"/>
  <c r="AJ56"/>
  <c r="AO56"/>
  <c r="AN56"/>
  <c r="AK56"/>
  <c r="AH56"/>
  <c r="AA56"/>
  <c r="AG56"/>
  <c r="AQ56"/>
  <c r="AU56"/>
  <c r="AR55"/>
  <c r="AD55"/>
  <c r="Z55"/>
  <c r="AB55"/>
  <c r="AV55"/>
  <c r="AF55"/>
  <c r="AL55"/>
  <c r="AN55"/>
  <c r="AH55"/>
  <c r="AM55"/>
  <c r="AS55"/>
  <c r="AK55"/>
  <c r="AJ55"/>
  <c r="AA55"/>
  <c r="AP55"/>
  <c r="AU55"/>
  <c r="AO55"/>
  <c r="AC55"/>
  <c r="AG55"/>
  <c r="AI55"/>
  <c r="AE55"/>
  <c r="AQ55"/>
  <c r="AI56"/>
  <c r="J60"/>
  <c r="J61" s="1"/>
  <c r="W63"/>
  <c r="D60"/>
  <c r="E58"/>
  <c r="E59" s="1"/>
  <c r="H66"/>
  <c r="N59"/>
  <c r="M66"/>
  <c r="T61"/>
  <c r="Q58"/>
  <c r="F59"/>
  <c r="R64"/>
  <c r="U63"/>
  <c r="H67"/>
  <c r="O65"/>
  <c r="T62"/>
  <c r="L73"/>
  <c r="K68"/>
  <c r="V61"/>
  <c r="L59"/>
  <c r="G64"/>
  <c r="P69"/>
  <c r="C66"/>
  <c r="C67"/>
  <c r="V75"/>
  <c r="U73"/>
  <c r="G75"/>
  <c r="L60"/>
  <c r="I60"/>
  <c r="M67"/>
  <c r="S61"/>
  <c r="T73"/>
  <c r="G65"/>
  <c r="G66" s="1"/>
  <c r="G67" s="1"/>
  <c r="Y58" l="1"/>
  <c r="Z57"/>
  <c r="AD57"/>
  <c r="AV57"/>
  <c r="AB57"/>
  <c r="AR57"/>
  <c r="AL57"/>
  <c r="AF57"/>
  <c r="AP57"/>
  <c r="AN57"/>
  <c r="AS57"/>
  <c r="AJ57"/>
  <c r="AC57"/>
  <c r="AM57"/>
  <c r="AG57"/>
  <c r="AQ57"/>
  <c r="AU57"/>
  <c r="AK57"/>
  <c r="AH57"/>
  <c r="AO57"/>
  <c r="AA57"/>
  <c r="AI57"/>
  <c r="AE57"/>
  <c r="AT57"/>
  <c r="M68"/>
  <c r="C68"/>
  <c r="V62"/>
  <c r="T63"/>
  <c r="E60"/>
  <c r="W64"/>
  <c r="S62"/>
  <c r="F60"/>
  <c r="T64"/>
  <c r="S73"/>
  <c r="Q59"/>
  <c r="N60"/>
  <c r="R65"/>
  <c r="F61"/>
  <c r="G68"/>
  <c r="L61"/>
  <c r="P70"/>
  <c r="P71" s="1"/>
  <c r="P72" s="1"/>
  <c r="P74" s="1"/>
  <c r="K69"/>
  <c r="H68"/>
  <c r="D61"/>
  <c r="J62"/>
  <c r="J63" s="1"/>
  <c r="J64" s="1"/>
  <c r="J65" s="1"/>
  <c r="L62"/>
  <c r="W75"/>
  <c r="S63"/>
  <c r="O66"/>
  <c r="I61"/>
  <c r="G76"/>
  <c r="V76"/>
  <c r="U64"/>
  <c r="R66"/>
  <c r="F62"/>
  <c r="F63" s="1"/>
  <c r="Y59" l="1"/>
  <c r="AT59" s="1"/>
  <c r="V77"/>
  <c r="G77"/>
  <c r="AR58"/>
  <c r="Z58"/>
  <c r="AD58"/>
  <c r="AV58"/>
  <c r="AB58"/>
  <c r="AL58"/>
  <c r="AF58"/>
  <c r="AP58"/>
  <c r="AN58"/>
  <c r="AJ58"/>
  <c r="AC58"/>
  <c r="AM58"/>
  <c r="AG58"/>
  <c r="AQ58"/>
  <c r="AS58"/>
  <c r="AK58"/>
  <c r="AI58"/>
  <c r="AE58"/>
  <c r="AO58"/>
  <c r="AH58"/>
  <c r="AU58"/>
  <c r="AA58"/>
  <c r="Z59"/>
  <c r="AD59"/>
  <c r="AB59"/>
  <c r="AR59"/>
  <c r="AV59"/>
  <c r="AL59"/>
  <c r="AF59"/>
  <c r="AP59"/>
  <c r="AN59"/>
  <c r="AJ59"/>
  <c r="AC59"/>
  <c r="AQ59"/>
  <c r="AS59"/>
  <c r="AM59"/>
  <c r="AG59"/>
  <c r="AO59"/>
  <c r="AU59"/>
  <c r="AI59"/>
  <c r="AE59"/>
  <c r="AH59"/>
  <c r="AK59"/>
  <c r="AA59"/>
  <c r="AT58"/>
  <c r="L63"/>
  <c r="L64" s="1"/>
  <c r="H69"/>
  <c r="G69"/>
  <c r="E61"/>
  <c r="C69"/>
  <c r="L65"/>
  <c r="N61"/>
  <c r="I62"/>
  <c r="J66"/>
  <c r="H75"/>
  <c r="T65"/>
  <c r="M75"/>
  <c r="N75"/>
  <c r="I63"/>
  <c r="F64"/>
  <c r="D62"/>
  <c r="K70"/>
  <c r="K71" s="1"/>
  <c r="K72" s="1"/>
  <c r="K74" s="1"/>
  <c r="W65"/>
  <c r="W66" s="1"/>
  <c r="W67" s="1"/>
  <c r="V63"/>
  <c r="M69"/>
  <c r="O67"/>
  <c r="W76"/>
  <c r="L66"/>
  <c r="Q60"/>
  <c r="R67"/>
  <c r="S64"/>
  <c r="J67"/>
  <c r="U65"/>
  <c r="R68"/>
  <c r="C75"/>
  <c r="D63"/>
  <c r="D64"/>
  <c r="D65"/>
  <c r="D66" s="1"/>
  <c r="D67" s="1"/>
  <c r="Y60" l="1"/>
  <c r="AT60" s="1"/>
  <c r="W77"/>
  <c r="AV76"/>
  <c r="AV75"/>
  <c r="AI75"/>
  <c r="AD73"/>
  <c r="AV73"/>
  <c r="AR73"/>
  <c r="AB73"/>
  <c r="AL73"/>
  <c r="AF73"/>
  <c r="AJ73"/>
  <c r="AC73"/>
  <c r="AP73"/>
  <c r="AS73"/>
  <c r="AG73"/>
  <c r="AE73"/>
  <c r="AI73"/>
  <c r="AM73"/>
  <c r="AH73"/>
  <c r="AA73"/>
  <c r="J68"/>
  <c r="M70"/>
  <c r="M71" s="1"/>
  <c r="M72" s="1"/>
  <c r="M74" s="1"/>
  <c r="W68"/>
  <c r="I64"/>
  <c r="E62"/>
  <c r="H70"/>
  <c r="H71" s="1"/>
  <c r="H72" s="1"/>
  <c r="H74" s="1"/>
  <c r="T66"/>
  <c r="L67"/>
  <c r="Q61"/>
  <c r="C76"/>
  <c r="M76"/>
  <c r="O75"/>
  <c r="D68"/>
  <c r="O68"/>
  <c r="V64"/>
  <c r="F65"/>
  <c r="F66" s="1"/>
  <c r="C70"/>
  <c r="C71" s="1"/>
  <c r="C72" s="1"/>
  <c r="C74" s="1"/>
  <c r="G70"/>
  <c r="G71" s="1"/>
  <c r="G72" s="1"/>
  <c r="G74" s="1"/>
  <c r="U66"/>
  <c r="U67" s="1"/>
  <c r="N62"/>
  <c r="N63" s="1"/>
  <c r="N64" s="1"/>
  <c r="N65" s="1"/>
  <c r="S65"/>
  <c r="S66" s="1"/>
  <c r="I75"/>
  <c r="N76"/>
  <c r="R69"/>
  <c r="H76"/>
  <c r="E75"/>
  <c r="T67"/>
  <c r="Q62"/>
  <c r="Q63" s="1"/>
  <c r="Q64"/>
  <c r="Q65" s="1"/>
  <c r="E63"/>
  <c r="E64"/>
  <c r="E65"/>
  <c r="E66" s="1"/>
  <c r="AC75" l="1"/>
  <c r="AM75"/>
  <c r="Y64"/>
  <c r="AH64" s="1"/>
  <c r="Y63"/>
  <c r="Y61"/>
  <c r="AT61" s="1"/>
  <c r="Y62"/>
  <c r="AH62" s="1"/>
  <c r="Z60"/>
  <c r="AV60"/>
  <c r="AL60"/>
  <c r="AP60"/>
  <c r="AJ60"/>
  <c r="AQ60"/>
  <c r="AS60"/>
  <c r="AO60"/>
  <c r="AM60"/>
  <c r="AA60"/>
  <c r="AH60"/>
  <c r="AR60"/>
  <c r="AD60"/>
  <c r="AB60"/>
  <c r="AF60"/>
  <c r="AN60"/>
  <c r="AC60"/>
  <c r="AG60"/>
  <c r="AE60"/>
  <c r="AU60"/>
  <c r="AI60"/>
  <c r="AK60"/>
  <c r="H77"/>
  <c r="AM76"/>
  <c r="M77"/>
  <c r="N77"/>
  <c r="C77"/>
  <c r="AI77" s="1"/>
  <c r="AI76"/>
  <c r="AV77"/>
  <c r="AM77"/>
  <c r="Q66"/>
  <c r="U68"/>
  <c r="V65"/>
  <c r="V66" s="1"/>
  <c r="V67" s="1"/>
  <c r="D69"/>
  <c r="L68"/>
  <c r="W69"/>
  <c r="J75"/>
  <c r="F75"/>
  <c r="N66"/>
  <c r="Q68"/>
  <c r="D75"/>
  <c r="E67"/>
  <c r="T68"/>
  <c r="F67"/>
  <c r="O69"/>
  <c r="I65"/>
  <c r="J69"/>
  <c r="Q67"/>
  <c r="E76"/>
  <c r="R70"/>
  <c r="R71" s="1"/>
  <c r="R72" s="1"/>
  <c r="S67"/>
  <c r="I76"/>
  <c r="N67"/>
  <c r="I66"/>
  <c r="Y65" l="1"/>
  <c r="AC76"/>
  <c r="AD75"/>
  <c r="Y66"/>
  <c r="AP66" s="1"/>
  <c r="AK63"/>
  <c r="Z63"/>
  <c r="AV63"/>
  <c r="AB63"/>
  <c r="AF63"/>
  <c r="AJ63"/>
  <c r="AP63"/>
  <c r="AS63"/>
  <c r="AU63"/>
  <c r="AO63"/>
  <c r="AA63"/>
  <c r="AD63"/>
  <c r="AR63"/>
  <c r="AL63"/>
  <c r="AN63"/>
  <c r="AC63"/>
  <c r="AG63"/>
  <c r="AQ63"/>
  <c r="AI63"/>
  <c r="AE63"/>
  <c r="AM63"/>
  <c r="AT62"/>
  <c r="AD62"/>
  <c r="AR62"/>
  <c r="AB62"/>
  <c r="AP62"/>
  <c r="AC62"/>
  <c r="AG62"/>
  <c r="AS62"/>
  <c r="AE62"/>
  <c r="AO62"/>
  <c r="AM62"/>
  <c r="AL62"/>
  <c r="Z62"/>
  <c r="AV62"/>
  <c r="AF62"/>
  <c r="AJ62"/>
  <c r="AN62"/>
  <c r="AQ62"/>
  <c r="AI62"/>
  <c r="AU62"/>
  <c r="AA62"/>
  <c r="AK62"/>
  <c r="Z61"/>
  <c r="AR61"/>
  <c r="AB61"/>
  <c r="AJ61"/>
  <c r="AP61"/>
  <c r="AQ61"/>
  <c r="AG61"/>
  <c r="AO61"/>
  <c r="AI61"/>
  <c r="AM61"/>
  <c r="AL61"/>
  <c r="AD61"/>
  <c r="AV61"/>
  <c r="AF61"/>
  <c r="AN61"/>
  <c r="AC61"/>
  <c r="AS61"/>
  <c r="AE61"/>
  <c r="AU61"/>
  <c r="AA61"/>
  <c r="AK61"/>
  <c r="AH61"/>
  <c r="AK64"/>
  <c r="AV64"/>
  <c r="AB64"/>
  <c r="AF64"/>
  <c r="AP64"/>
  <c r="AJ64"/>
  <c r="AQ64"/>
  <c r="AE64"/>
  <c r="AU64"/>
  <c r="AM64"/>
  <c r="AD64"/>
  <c r="AR64"/>
  <c r="AL64"/>
  <c r="AC64"/>
  <c r="AN64"/>
  <c r="AG64"/>
  <c r="AS64"/>
  <c r="AO64"/>
  <c r="AI64"/>
  <c r="AA64"/>
  <c r="Z64"/>
  <c r="AH63"/>
  <c r="AT63"/>
  <c r="AT64"/>
  <c r="AA75"/>
  <c r="I77"/>
  <c r="E77"/>
  <c r="AC77" s="1"/>
  <c r="AE75"/>
  <c r="AK65"/>
  <c r="AD65"/>
  <c r="AR65"/>
  <c r="AL65"/>
  <c r="AN65"/>
  <c r="AC65"/>
  <c r="AQ65"/>
  <c r="AG65"/>
  <c r="AO65"/>
  <c r="AI65"/>
  <c r="AH65"/>
  <c r="Z65"/>
  <c r="AV65"/>
  <c r="AB65"/>
  <c r="AF65"/>
  <c r="AJ65"/>
  <c r="AS65"/>
  <c r="AE65"/>
  <c r="AU65"/>
  <c r="AM65"/>
  <c r="AA65"/>
  <c r="AT65"/>
  <c r="AV66"/>
  <c r="AB66"/>
  <c r="AF66"/>
  <c r="AJ66"/>
  <c r="AG66"/>
  <c r="AE66"/>
  <c r="AU66"/>
  <c r="AH66"/>
  <c r="AA66"/>
  <c r="AK66"/>
  <c r="AD66"/>
  <c r="AR66"/>
  <c r="AL66"/>
  <c r="AC66"/>
  <c r="AN66"/>
  <c r="AQ66"/>
  <c r="AS66"/>
  <c r="AO66"/>
  <c r="AI66"/>
  <c r="AM66"/>
  <c r="AP65"/>
  <c r="AT66"/>
  <c r="N68"/>
  <c r="J70"/>
  <c r="J71" s="1"/>
  <c r="J72" s="1"/>
  <c r="O70"/>
  <c r="O71" s="1"/>
  <c r="O72" s="1"/>
  <c r="T69"/>
  <c r="W70"/>
  <c r="W71" s="1"/>
  <c r="W72" s="1"/>
  <c r="W74" s="1"/>
  <c r="D70"/>
  <c r="D71" s="1"/>
  <c r="D72" s="1"/>
  <c r="U69"/>
  <c r="Q69"/>
  <c r="F76"/>
  <c r="U75"/>
  <c r="J76"/>
  <c r="I67"/>
  <c r="S68"/>
  <c r="F68"/>
  <c r="E68"/>
  <c r="L69"/>
  <c r="V68"/>
  <c r="D76"/>
  <c r="T75"/>
  <c r="L75"/>
  <c r="J74"/>
  <c r="O74"/>
  <c r="D74"/>
  <c r="Y67" l="1"/>
  <c r="AP67" s="1"/>
  <c r="AJ75"/>
  <c r="AS75"/>
  <c r="AD76"/>
  <c r="AT67"/>
  <c r="AA76"/>
  <c r="AG75"/>
  <c r="AL75"/>
  <c r="AV67"/>
  <c r="AN67"/>
  <c r="AG67"/>
  <c r="AI67"/>
  <c r="AD67"/>
  <c r="AC67"/>
  <c r="AS67"/>
  <c r="AU67"/>
  <c r="AH67"/>
  <c r="AB67"/>
  <c r="J77"/>
  <c r="F77"/>
  <c r="AD77" s="1"/>
  <c r="AE76"/>
  <c r="AB75"/>
  <c r="AH75"/>
  <c r="D77"/>
  <c r="Z67"/>
  <c r="L70"/>
  <c r="L71" s="1"/>
  <c r="L72" s="1"/>
  <c r="S69"/>
  <c r="T70"/>
  <c r="T71" s="1"/>
  <c r="T72" s="1"/>
  <c r="R73"/>
  <c r="U76"/>
  <c r="V69"/>
  <c r="E69"/>
  <c r="F69"/>
  <c r="I68"/>
  <c r="U70"/>
  <c r="U71" s="1"/>
  <c r="U72" s="1"/>
  <c r="N69"/>
  <c r="S75"/>
  <c r="T76"/>
  <c r="R74"/>
  <c r="Q70"/>
  <c r="Q71" s="1"/>
  <c r="Q72" s="1"/>
  <c r="L76"/>
  <c r="L74"/>
  <c r="T74"/>
  <c r="U74"/>
  <c r="AK67" l="1"/>
  <c r="AF67"/>
  <c r="AA67"/>
  <c r="AE67"/>
  <c r="AJ67"/>
  <c r="AR67"/>
  <c r="AM67"/>
  <c r="AO67"/>
  <c r="AQ67"/>
  <c r="AL67"/>
  <c r="Y68"/>
  <c r="AJ76"/>
  <c r="AS76"/>
  <c r="AO73"/>
  <c r="AR75"/>
  <c r="AF75"/>
  <c r="AL76"/>
  <c r="AG76"/>
  <c r="AU73"/>
  <c r="AE77"/>
  <c r="AA77"/>
  <c r="U77"/>
  <c r="AH76"/>
  <c r="AP75"/>
  <c r="T77"/>
  <c r="L77"/>
  <c r="AB76"/>
  <c r="AQ73"/>
  <c r="I69"/>
  <c r="F70"/>
  <c r="F71" s="1"/>
  <c r="F72" s="1"/>
  <c r="S70"/>
  <c r="S71" s="1"/>
  <c r="S72" s="1"/>
  <c r="R75"/>
  <c r="S76"/>
  <c r="N70"/>
  <c r="N71" s="1"/>
  <c r="N72" s="1"/>
  <c r="E70"/>
  <c r="V70"/>
  <c r="V71" s="1"/>
  <c r="V72" s="1"/>
  <c r="V74" s="1"/>
  <c r="E71"/>
  <c r="E72" s="1"/>
  <c r="F74"/>
  <c r="S74"/>
  <c r="N74"/>
  <c r="E74"/>
  <c r="Y69" l="1"/>
  <c r="AH69" s="1"/>
  <c r="AH68"/>
  <c r="AV68"/>
  <c r="AJ68"/>
  <c r="AS68"/>
  <c r="AA68"/>
  <c r="AR68"/>
  <c r="AQ68"/>
  <c r="AO68"/>
  <c r="AM68"/>
  <c r="AL68"/>
  <c r="AF68"/>
  <c r="Z68"/>
  <c r="AT68"/>
  <c r="AB68"/>
  <c r="AP68"/>
  <c r="AI68"/>
  <c r="AD68"/>
  <c r="AC68"/>
  <c r="AU68"/>
  <c r="AE68"/>
  <c r="AN68"/>
  <c r="AG68"/>
  <c r="AK68"/>
  <c r="AR76"/>
  <c r="AO75"/>
  <c r="AG77"/>
  <c r="AJ77"/>
  <c r="AH77"/>
  <c r="AS77"/>
  <c r="AU75"/>
  <c r="AF76"/>
  <c r="AL77"/>
  <c r="AQ75"/>
  <c r="S77"/>
  <c r="AP76"/>
  <c r="AB77"/>
  <c r="Q73"/>
  <c r="R76"/>
  <c r="I70"/>
  <c r="Q74"/>
  <c r="I71"/>
  <c r="I72" s="1"/>
  <c r="I74"/>
  <c r="Y72" l="1"/>
  <c r="AH72" s="1"/>
  <c r="Y71"/>
  <c r="AH71" s="1"/>
  <c r="Y70"/>
  <c r="AT69"/>
  <c r="AB69"/>
  <c r="AP69"/>
  <c r="AA69"/>
  <c r="AR69"/>
  <c r="AS69"/>
  <c r="AO69"/>
  <c r="AN69"/>
  <c r="AL69"/>
  <c r="AU69"/>
  <c r="AK69"/>
  <c r="AV69"/>
  <c r="AJ69"/>
  <c r="AI69"/>
  <c r="AD69"/>
  <c r="AC69"/>
  <c r="AE69"/>
  <c r="AM69"/>
  <c r="AQ69"/>
  <c r="AG69"/>
  <c r="AF69"/>
  <c r="Z69"/>
  <c r="AN73"/>
  <c r="AO76"/>
  <c r="AP77"/>
  <c r="AR77"/>
  <c r="AU76"/>
  <c r="AF77"/>
  <c r="Y74"/>
  <c r="AT73"/>
  <c r="Y73"/>
  <c r="R77"/>
  <c r="AQ76"/>
  <c r="AK72"/>
  <c r="Z72"/>
  <c r="Q75"/>
  <c r="AV72" l="1"/>
  <c r="AI72"/>
  <c r="AA72"/>
  <c r="AE72"/>
  <c r="AM72"/>
  <c r="AF72"/>
  <c r="AP72"/>
  <c r="AB72"/>
  <c r="AG72"/>
  <c r="AO72"/>
  <c r="AU72"/>
  <c r="AQ72"/>
  <c r="AS72"/>
  <c r="AJ72"/>
  <c r="AL72"/>
  <c r="AD72"/>
  <c r="AN72"/>
  <c r="AT72"/>
  <c r="AC72"/>
  <c r="AR72"/>
  <c r="AT70"/>
  <c r="AD70"/>
  <c r="AC70"/>
  <c r="AE70"/>
  <c r="AV70"/>
  <c r="AJ70"/>
  <c r="AI70"/>
  <c r="AA70"/>
  <c r="AL70"/>
  <c r="AF70"/>
  <c r="Z70"/>
  <c r="AR70"/>
  <c r="AS70"/>
  <c r="AO70"/>
  <c r="AB70"/>
  <c r="AP70"/>
  <c r="AM70"/>
  <c r="AN70"/>
  <c r="AG70"/>
  <c r="AQ70"/>
  <c r="AU70"/>
  <c r="AK70"/>
  <c r="AT71"/>
  <c r="Z71"/>
  <c r="AJ71"/>
  <c r="AU71"/>
  <c r="AA71"/>
  <c r="AR71"/>
  <c r="AN71"/>
  <c r="AG71"/>
  <c r="AO71"/>
  <c r="AF71"/>
  <c r="AQ71"/>
  <c r="AK71"/>
  <c r="AV71"/>
  <c r="AE71"/>
  <c r="AM71"/>
  <c r="AD71"/>
  <c r="AL71"/>
  <c r="AC71"/>
  <c r="AS71"/>
  <c r="AI71"/>
  <c r="AB71"/>
  <c r="AP71"/>
  <c r="AH70"/>
  <c r="AN75"/>
  <c r="AU77"/>
  <c r="AO77"/>
  <c r="AT75"/>
  <c r="Y75"/>
  <c r="AQ77"/>
  <c r="AK74"/>
  <c r="Z74"/>
  <c r="AV74"/>
  <c r="AJ74"/>
  <c r="AG74"/>
  <c r="AU74"/>
  <c r="AO74"/>
  <c r="AD74"/>
  <c r="AR74"/>
  <c r="AC74"/>
  <c r="AS74"/>
  <c r="AI74"/>
  <c r="AM74"/>
  <c r="AA74"/>
  <c r="AE74"/>
  <c r="AN74"/>
  <c r="AL74"/>
  <c r="AH74"/>
  <c r="AF74"/>
  <c r="AB74"/>
  <c r="AP74"/>
  <c r="AQ74"/>
  <c r="AK73"/>
  <c r="Z73"/>
  <c r="AT74"/>
  <c r="Q76"/>
  <c r="AN76" l="1"/>
  <c r="Q77"/>
  <c r="AN77" s="1"/>
  <c r="AT76"/>
  <c r="Y76"/>
  <c r="AK75"/>
  <c r="Z75"/>
  <c r="AK76" l="1"/>
  <c r="Z76"/>
  <c r="AT77"/>
  <c r="Y77"/>
  <c r="AK77" l="1"/>
  <c r="Z77"/>
</calcChain>
</file>

<file path=xl/comments1.xml><?xml version="1.0" encoding="utf-8"?>
<comments xmlns="http://schemas.openxmlformats.org/spreadsheetml/2006/main">
  <authors>
    <author/>
  </authors>
  <commentList>
    <comment ref="Z2" authorId="0">
      <text>
        <r>
          <rPr>
            <sz val="10"/>
            <rFont val="Arial"/>
            <family val="2"/>
          </rPr>
          <t>T.b.v. Tussentijdse ranking</t>
        </r>
      </text>
    </comment>
    <comment ref="Q17" authorId="0">
      <text>
        <r>
          <rPr>
            <sz val="10"/>
            <rFont val="Arial"/>
            <family val="2"/>
          </rPr>
          <t>Rankvolgorde voor start zoals geloot</t>
        </r>
      </text>
    </comment>
    <comment ref="R17" authorId="0">
      <text>
        <r>
          <rPr>
            <sz val="10"/>
            <rFont val="Arial"/>
            <family val="2"/>
          </rPr>
          <t>Allemaal 1 wedstrijd gespeeld?</t>
        </r>
      </text>
    </comment>
    <comment ref="S17" authorId="0">
      <text>
        <r>
          <rPr>
            <sz val="10"/>
            <rFont val="Arial"/>
            <family val="2"/>
          </rPr>
          <t>Indien 1ste speelronde geweest rankvolgorde loting opheffen</t>
        </r>
      </text>
    </comment>
    <comment ref="U17" authorId="0">
      <text>
        <r>
          <rPr>
            <sz val="10"/>
            <rFont val="Arial"/>
            <family val="2"/>
          </rPr>
          <t>Alle wedstrijden gespeeld?</t>
        </r>
      </text>
    </comment>
  </commentList>
</comments>
</file>

<file path=xl/sharedStrings.xml><?xml version="1.0" encoding="utf-8"?>
<sst xmlns="http://schemas.openxmlformats.org/spreadsheetml/2006/main" count="15613" uniqueCount="532">
  <si>
    <t>Puntentelling per wedstrijd:</t>
  </si>
  <si>
    <t>Groepsfase</t>
  </si>
  <si>
    <t>Finales zonder de juiste landencombinatie ('lucky-loser'-punten)</t>
  </si>
  <si>
    <t>Finales met de juiste landencombinatie</t>
  </si>
  <si>
    <t>Doelpunten Thuisploeg</t>
  </si>
  <si>
    <t>Doelpunten Uitploeg</t>
  </si>
  <si>
    <t>Totaal aantal doelpunten</t>
  </si>
  <si>
    <t>Eindscore *</t>
  </si>
  <si>
    <t>Toto voorspelling</t>
  </si>
  <si>
    <t>Juiste landenpositie (per land)</t>
  </si>
  <si>
    <t>N.v.t</t>
  </si>
  <si>
    <t>Puntentelling voorspelling land in juiste finale (ongeacht de positie)</t>
  </si>
  <si>
    <t>Deelnemer 1/8 finale</t>
  </si>
  <si>
    <t>Deelnemer 1/4 finale</t>
  </si>
  <si>
    <t>Deelnemer 1/2 finale</t>
  </si>
  <si>
    <t>Deelnemer troost finale</t>
  </si>
  <si>
    <t>Deelnemer finale</t>
  </si>
  <si>
    <t>Wereldkampioen</t>
  </si>
  <si>
    <t>* Bij een juiste eindscore vervallen de te behalen punten voor: Doelpunten uit/thuis &amp; totaal</t>
  </si>
  <si>
    <t>Groep A</t>
  </si>
  <si>
    <t>Toto</t>
  </si>
  <si>
    <t>WG</t>
  </si>
  <si>
    <t>PT</t>
  </si>
  <si>
    <t>W</t>
  </si>
  <si>
    <t>G</t>
  </si>
  <si>
    <t>V</t>
  </si>
  <si>
    <t>DPV</t>
  </si>
  <si>
    <t>DPT</t>
  </si>
  <si>
    <t>DPS</t>
  </si>
  <si>
    <t>-</t>
  </si>
  <si>
    <t>Groep B</t>
  </si>
  <si>
    <t>Groep C</t>
  </si>
  <si>
    <t>USA</t>
  </si>
  <si>
    <t>Groep D</t>
  </si>
  <si>
    <t>Groep E</t>
  </si>
  <si>
    <t>Groep F</t>
  </si>
  <si>
    <t>Groep G</t>
  </si>
  <si>
    <t>Groep H</t>
  </si>
  <si>
    <t>Indien gelijkspel</t>
  </si>
  <si>
    <t>land1</t>
  </si>
  <si>
    <t>land2</t>
  </si>
  <si>
    <t>winnaar</t>
  </si>
  <si>
    <t>verliezer</t>
  </si>
  <si>
    <t>0=winnaar/verliezer gekend,1=niet</t>
  </si>
  <si>
    <t>Achste Finale</t>
  </si>
  <si>
    <t>Winnaar</t>
  </si>
  <si>
    <t>Kwart Finale</t>
  </si>
  <si>
    <t>Halve Finale</t>
  </si>
  <si>
    <t>Troostfinale</t>
  </si>
  <si>
    <t>Finale</t>
  </si>
  <si>
    <t xml:space="preserve">WERELDKAMPIOEN 2010 </t>
  </si>
  <si>
    <t>Willem</t>
  </si>
  <si>
    <t>Reindert</t>
  </si>
  <si>
    <t>PeterK</t>
  </si>
  <si>
    <t>Paul</t>
  </si>
  <si>
    <t>Matthijs</t>
  </si>
  <si>
    <t>Mariel</t>
  </si>
  <si>
    <t>City</t>
  </si>
  <si>
    <t>Lothar</t>
  </si>
  <si>
    <t>Linda</t>
  </si>
  <si>
    <t>LeSu</t>
  </si>
  <si>
    <t>Leen</t>
  </si>
  <si>
    <t>Lafleur</t>
  </si>
  <si>
    <t>José</t>
  </si>
  <si>
    <t>Joris</t>
  </si>
  <si>
    <t>Jerome</t>
  </si>
  <si>
    <t>Jan</t>
  </si>
  <si>
    <t>Harro</t>
  </si>
  <si>
    <t>Gerard</t>
  </si>
  <si>
    <t>Frank</t>
  </si>
  <si>
    <t>Eric</t>
  </si>
  <si>
    <t>Annita</t>
  </si>
  <si>
    <t>Angele</t>
  </si>
  <si>
    <t>A1</t>
  </si>
  <si>
    <t>A2</t>
  </si>
  <si>
    <t>B1</t>
  </si>
  <si>
    <t>B2</t>
  </si>
  <si>
    <t>C1</t>
  </si>
  <si>
    <t>C2</t>
  </si>
  <si>
    <t>D1</t>
  </si>
  <si>
    <t>D2</t>
  </si>
  <si>
    <t>E1</t>
  </si>
  <si>
    <t>E2</t>
  </si>
  <si>
    <t>F1</t>
  </si>
  <si>
    <t>F2</t>
  </si>
  <si>
    <t>G1</t>
  </si>
  <si>
    <t>G2</t>
  </si>
  <si>
    <t>H1</t>
  </si>
  <si>
    <t>H2</t>
  </si>
  <si>
    <t>Kwartfinales</t>
  </si>
  <si>
    <t>Halve finales</t>
  </si>
  <si>
    <t xml:space="preserve">  </t>
  </si>
  <si>
    <t>Boni 1/4</t>
  </si>
  <si>
    <t>Boni 1/2</t>
  </si>
  <si>
    <t>Boni finale</t>
  </si>
  <si>
    <t>Bonus winnaar</t>
  </si>
  <si>
    <t>Gemiddelde (N=22)</t>
  </si>
  <si>
    <t>Achtste finale</t>
  </si>
  <si>
    <t>Kwartfinale</t>
  </si>
  <si>
    <t>Halve finale</t>
  </si>
  <si>
    <t>Boni 1/8</t>
  </si>
  <si>
    <t>Boni finalisten</t>
  </si>
  <si>
    <t>sort1</t>
  </si>
  <si>
    <t>match nr.</t>
  </si>
  <si>
    <t>Voorspelling</t>
  </si>
  <si>
    <t>Uitslag</t>
  </si>
  <si>
    <t>Punten</t>
  </si>
  <si>
    <t>Zuid-Afrika</t>
  </si>
  <si>
    <t>  Mexico</t>
  </si>
  <si>
    <t>Uruguay</t>
  </si>
  <si>
    <t>  Frankrijk</t>
  </si>
  <si>
    <t>Zuid-Afrika  </t>
  </si>
  <si>
    <t>  Uruguay</t>
  </si>
  <si>
    <t>Frankrijk  </t>
  </si>
  <si>
    <t>Mexico  </t>
  </si>
  <si>
    <t>  Zuid-Afrika</t>
  </si>
  <si>
    <t>Argentinië</t>
  </si>
  <si>
    <t>  Nigeria</t>
  </si>
  <si>
    <t>Zuid-Korea</t>
  </si>
  <si>
    <t>  Griekenland</t>
  </si>
  <si>
    <t>Griekenland</t>
  </si>
  <si>
    <t>  Zuid-Korea</t>
  </si>
  <si>
    <t>Nigeria</t>
  </si>
  <si>
    <t>  Argentinië</t>
  </si>
  <si>
    <t>Engeland</t>
  </si>
  <si>
    <t>  USA</t>
  </si>
  <si>
    <t>Algerije</t>
  </si>
  <si>
    <t>  Slovenië</t>
  </si>
  <si>
    <t>Slovenië</t>
  </si>
  <si>
    <t>  Algerije</t>
  </si>
  <si>
    <t>  Engeland</t>
  </si>
  <si>
    <t>Duitsland  </t>
  </si>
  <si>
    <t>  Australië</t>
  </si>
  <si>
    <t>Servië  </t>
  </si>
  <si>
    <t>  Ghana</t>
  </si>
  <si>
    <t>  Servië</t>
  </si>
  <si>
    <t>Ghana  </t>
  </si>
  <si>
    <t>  Duitsland</t>
  </si>
  <si>
    <t>Australië  </t>
  </si>
  <si>
    <t>Nederland  </t>
  </si>
  <si>
    <t>  Denemarken</t>
  </si>
  <si>
    <t>Japan  </t>
  </si>
  <si>
    <t>  Kameroen</t>
  </si>
  <si>
    <t>  Japan</t>
  </si>
  <si>
    <t>Kameroen  </t>
  </si>
  <si>
    <t>Denemarken  </t>
  </si>
  <si>
    <t>  Nederland</t>
  </si>
  <si>
    <t>Italië  </t>
  </si>
  <si>
    <t>  Paraguay</t>
  </si>
  <si>
    <t>Nieuw-Zeeland  </t>
  </si>
  <si>
    <t>  Slowakije</t>
  </si>
  <si>
    <t>Slowakije  </t>
  </si>
  <si>
    <t>  Nieuw-Zeeland</t>
  </si>
  <si>
    <t>  Italië</t>
  </si>
  <si>
    <t>Paraguay  </t>
  </si>
  <si>
    <t>Ivoorkust  </t>
  </si>
  <si>
    <t>  Portugal</t>
  </si>
  <si>
    <t>Brazilië  </t>
  </si>
  <si>
    <t>  Noord-Korea</t>
  </si>
  <si>
    <t>  Ivoorkust</t>
  </si>
  <si>
    <t>Portugal  </t>
  </si>
  <si>
    <t>  Brazilië</t>
  </si>
  <si>
    <t>Noord-Korea  </t>
  </si>
  <si>
    <t>Honduras  </t>
  </si>
  <si>
    <t>  Chili</t>
  </si>
  <si>
    <t>Spanje  </t>
  </si>
  <si>
    <t>  Zwitserland</t>
  </si>
  <si>
    <t>Chili  </t>
  </si>
  <si>
    <t>  Honduras</t>
  </si>
  <si>
    <t>  Spanje</t>
  </si>
  <si>
    <t>Zwitserland  </t>
  </si>
  <si>
    <t>Winnaar Groep A</t>
  </si>
  <si>
    <t>Tweede Groep B</t>
  </si>
  <si>
    <t>Winnaar Groep C</t>
  </si>
  <si>
    <t>Tweede Groep D</t>
  </si>
  <si>
    <t>Winnaar Groep D</t>
  </si>
  <si>
    <t>Tweede Groep C</t>
  </si>
  <si>
    <t>Tweede Groep A</t>
  </si>
  <si>
    <t>Nederland</t>
  </si>
  <si>
    <t>Tweede Groep F</t>
  </si>
  <si>
    <t>Winnaar Groep G</t>
  </si>
  <si>
    <t>Tweede Groep H</t>
  </si>
  <si>
    <t>Paraguay</t>
  </si>
  <si>
    <t>Tweede Groep E</t>
  </si>
  <si>
    <t>Winnaar Groep H</t>
  </si>
  <si>
    <t>Tweede Groep G</t>
  </si>
  <si>
    <t>Kwart finale</t>
  </si>
  <si>
    <t>Winnaar 53</t>
  </si>
  <si>
    <t>Winnaar 54</t>
  </si>
  <si>
    <t>Winnaar 49</t>
  </si>
  <si>
    <t>Winnaar 50</t>
  </si>
  <si>
    <t>Winnaar 52</t>
  </si>
  <si>
    <t>Winnaar 51</t>
  </si>
  <si>
    <t>Winnaar 55</t>
  </si>
  <si>
    <t>Winnaar 56</t>
  </si>
  <si>
    <t>Winnaar 58</t>
  </si>
  <si>
    <t>Winnaar 57</t>
  </si>
  <si>
    <t>Winnaar 59</t>
  </si>
  <si>
    <t>Winnaar 60</t>
  </si>
  <si>
    <t>Wedstrijd om de derde en vierde plaats</t>
  </si>
  <si>
    <t>Spanje</t>
  </si>
  <si>
    <t>Resultaat groep A:</t>
  </si>
  <si>
    <t>Winnaar:</t>
  </si>
  <si>
    <t>  </t>
  </si>
  <si>
    <t>Tweede plaats:</t>
  </si>
  <si>
    <t>Frankrijk</t>
  </si>
  <si>
    <t>Overzicht landen groep A:</t>
  </si>
  <si>
    <t>Land</t>
  </si>
  <si>
    <t>Punten  </t>
  </si>
  <si>
    <t>Doelsaldo  </t>
  </si>
  <si>
    <t>Doelpunten</t>
  </si>
  <si>
    <t>  4</t>
  </si>
  <si>
    <t>  0</t>
  </si>
  <si>
    <t>  3</t>
  </si>
  <si>
    <t>Mexico</t>
  </si>
  <si>
    <t>  2</t>
  </si>
  <si>
    <t>  -1</t>
  </si>
  <si>
    <t>  5</t>
  </si>
  <si>
    <t>  1</t>
  </si>
  <si>
    <t>Uitleg berekening groep A:</t>
  </si>
  <si>
    <t>Winnaar groep A bepaald door hoogste aantal punten.</t>
  </si>
  <si>
    <t>Tweede plaats groep A bepaald door aantal doelpunten in de groep.</t>
  </si>
  <si>
    <t>Resultaat groep B:</t>
  </si>
  <si>
    <t>Overzicht landen groep B:</t>
  </si>
  <si>
    <t>  -5</t>
  </si>
  <si>
    <t>  9</t>
  </si>
  <si>
    <t>  6</t>
  </si>
  <si>
    <t>  -2</t>
  </si>
  <si>
    <t>Uitleg berekening groep B:</t>
  </si>
  <si>
    <t>Winnaar groep B bepaald door hoogste aantal punten.</t>
  </si>
  <si>
    <t>Tweede plaats groep B bepaald door hoogste aantal punten.</t>
  </si>
  <si>
    <t>Resultaat groep C:</t>
  </si>
  <si>
    <t>Overzicht landen groep C:</t>
  </si>
  <si>
    <t>  -3</t>
  </si>
  <si>
    <t>  7</t>
  </si>
  <si>
    <t>Uitleg berekening groep C:</t>
  </si>
  <si>
    <t>Winnaar groep C bepaald door hoogste aantal punten.</t>
  </si>
  <si>
    <t>Tweede plaats groep C bepaald door hoogste aantal punten.</t>
  </si>
  <si>
    <t>Resultaat groep D:</t>
  </si>
  <si>
    <t>Duitsland</t>
  </si>
  <si>
    <t>Servië</t>
  </si>
  <si>
    <t>Overzicht landen groep D:</t>
  </si>
  <si>
    <t>Australië</t>
  </si>
  <si>
    <t>  -4</t>
  </si>
  <si>
    <t>Ghana</t>
  </si>
  <si>
    <t>Uitleg berekening groep D:</t>
  </si>
  <si>
    <t>Winnaar en tweede plaats groep D bepaald door doelsaldo in de groep.</t>
  </si>
  <si>
    <t>Resultaat groep E:</t>
  </si>
  <si>
    <t>Kameroen</t>
  </si>
  <si>
    <t>Overzicht landen groep E:</t>
  </si>
  <si>
    <t>Denemarken</t>
  </si>
  <si>
    <t>Japan</t>
  </si>
  <si>
    <t>  -7</t>
  </si>
  <si>
    <t>Uitleg berekening groep E:</t>
  </si>
  <si>
    <t>Winnaar groep E bepaald door hoogste aantal punten.</t>
  </si>
  <si>
    <t>Tweede plaats groep E bepaald door hoogste aantal punten.</t>
  </si>
  <si>
    <t>Resultaat groep F:</t>
  </si>
  <si>
    <t>Italië</t>
  </si>
  <si>
    <t>Overzicht landen groep F:</t>
  </si>
  <si>
    <t>Nieuw-Zeeland</t>
  </si>
  <si>
    <t>Slowakije</t>
  </si>
  <si>
    <t>Uitleg berekening groep F:</t>
  </si>
  <si>
    <t>Winnaar groep F bepaald door hoogste aantal punten.</t>
  </si>
  <si>
    <t>Tweede plaats groep F bepaald door hoogste aantal punten.</t>
  </si>
  <si>
    <t>Resultaat groep G:</t>
  </si>
  <si>
    <t>Brazilië</t>
  </si>
  <si>
    <t>Ivoorkust</t>
  </si>
  <si>
    <t>Overzicht landen groep G:</t>
  </si>
  <si>
    <t>Portugal</t>
  </si>
  <si>
    <t>Noord-Korea</t>
  </si>
  <si>
    <t>Uitleg berekening groep G:</t>
  </si>
  <si>
    <t>Winnaar groep G bepaald door hoogste aantal punten.</t>
  </si>
  <si>
    <t>Tweede plaats groep G bepaald door hoogste aantal punten.</t>
  </si>
  <si>
    <t>Resultaat groep H:</t>
  </si>
  <si>
    <t>Chili</t>
  </si>
  <si>
    <t>Overzicht landen groep H:</t>
  </si>
  <si>
    <t>Zwitserland</t>
  </si>
  <si>
    <t>Honduras</t>
  </si>
  <si>
    <t>Uitleg berekening groep H:</t>
  </si>
  <si>
    <t>Winnaar groep H bepaald door hoogste aantal punten.</t>
  </si>
  <si>
    <t>Tweede plaats groep H bepaald door hoogste aantal punten.</t>
  </si>
  <si>
    <t>De vermelde cijfers zijn de totalen behaald binnen de groepen. Voor de bepaling van de uiteindelijke winnaar en tweede van groep kan gebruik zijn gemaakt van de punten, doelsaldi en doelpunten van de onderlinge wedstrijden tussen de betreffende landen.</t>
  </si>
  <si>
    <t>Klik hier voor meer infomatie m.b.t de berekening en de regels van de FIFA.   </t>
  </si>
  <si>
    <t>Klik hier voor de uitleg, de regels en de puntentelling van de pools op WK.nl.   </t>
  </si>
  <si>
    <t>Alles over ons</t>
  </si>
  <si>
    <t>Over WK.nl</t>
  </si>
  <si>
    <t>Adverteren</t>
  </si>
  <si>
    <t>Colofon</t>
  </si>
  <si>
    <t>Contact</t>
  </si>
  <si>
    <t>Gerelateerde websites</t>
  </si>
  <si>
    <t>VoetbalOnline.nl</t>
  </si>
  <si>
    <t>OranjeFestival</t>
  </si>
  <si>
    <t>EK.nl</t>
  </si>
  <si>
    <t>Voetbal Online</t>
  </si>
  <si>
    <t>Disclaimer</t>
  </si>
  <si>
    <t>Privacy statement</t>
  </si>
  <si>
    <t>Algemene voorwaarden</t>
  </si>
  <si>
    <t>Algemeen</t>
  </si>
  <si>
    <t>Vertel het door!</t>
  </si>
  <si>
    <t>© 2009 - 2010 WK.nl</t>
  </si>
  <si>
    <t>"Les Verts"</t>
  </si>
  <si>
    <t>Uruguay  </t>
  </si>
  <si>
    <t>Argentinië  </t>
  </si>
  <si>
    <t>Zuid-Korea  </t>
  </si>
  <si>
    <t>Griekenland  </t>
  </si>
  <si>
    <t>Nigeria  </t>
  </si>
  <si>
    <t>Engeland  </t>
  </si>
  <si>
    <t>Algerije  </t>
  </si>
  <si>
    <t>Slovenië  </t>
  </si>
  <si>
    <t>USA  </t>
  </si>
  <si>
    <t>Winnaar en tweede plaats groep A bepaald door aantal doelpunten in de groep.</t>
  </si>
  <si>
    <t>Winnaar en tweede plaats groep C bepaald door doelsaldo in de groep.</t>
  </si>
  <si>
    <t>Winnaar groep D bepaald door hoogste aantal punten.</t>
  </si>
  <si>
    <t>Tweede plaats groep D bepaald door hoogste aantal punten.</t>
  </si>
  <si>
    <t>  -6</t>
  </si>
  <si>
    <t>Winnaar en tweede plaats groep F bepaald door doelsaldo in de groep.</t>
  </si>
  <si>
    <t>  8</t>
  </si>
  <si>
    <t>  10</t>
  </si>
  <si>
    <t>"City United"</t>
  </si>
  <si>
    <t>Winnaar en tweede plaats groep A bepaald door doelsaldo in de groep.</t>
  </si>
  <si>
    <t>  -8</t>
  </si>
  <si>
    <t>Winnaar en tweede plaats groep G bepaald door doelsaldo in de groep.</t>
  </si>
  <si>
    <t>"roodhemden"</t>
  </si>
  <si>
    <t>Tweede plaats groep A bepaald door doelsaldo.</t>
  </si>
  <si>
    <t>Tweede plaats groep G bepaald door doelsaldo.</t>
  </si>
  <si>
    <t>"Kaap Braafhijt"</t>
  </si>
  <si>
    <t>Tweede plaats groep A bepaald door hoogste aantal punten.</t>
  </si>
  <si>
    <t>  -9</t>
  </si>
  <si>
    <t>Tweede plaats groep H bepaald door aantal doelpunten in de groep.</t>
  </si>
  <si>
    <t>"Blablablaf"</t>
  </si>
  <si>
    <t>  11</t>
  </si>
  <si>
    <t>  -11</t>
  </si>
  <si>
    <t>  12</t>
  </si>
  <si>
    <t>  -10</t>
  </si>
  <si>
    <t>"Ouderwetse linksbuiten"</t>
  </si>
  <si>
    <t>Winnaar en tweede plaats groep G bepaald door aantal doelpunten in de groep.</t>
  </si>
  <si>
    <t>"Thumping Pavlova"</t>
  </si>
  <si>
    <t>Winnaar groep D bepaald door aantal doelpunten in de groep.</t>
  </si>
  <si>
    <t>Tweede plaats groep D bepaald door aantal doelpunten in de groep.</t>
  </si>
  <si>
    <t>Tweede plaats groep H bepaald door doelsaldo.</t>
  </si>
  <si>
    <t>"Die Deutsche Fußballnationalmannschaft "</t>
  </si>
  <si>
    <t>Tweede plaats groep A bepaald door aantal punten onderlinge wedstrijd Frankrijk - Zuid-Afrika.</t>
  </si>
  <si>
    <t>Winnaar en tweede plaats groep H bepaald door aantal doelpunten in de groep.</t>
  </si>
  <si>
    <t>"Festbiest"</t>
  </si>
  <si>
    <t>Winnaar en tweede plaats groep B bepaald door doelsaldo in de groep.</t>
  </si>
  <si>
    <t>"groeten uit Mexico"</t>
  </si>
  <si>
    <t>"Chogogo"</t>
  </si>
  <si>
    <t>Tweede plaats groep F bepaald door doelsaldo.</t>
  </si>
  <si>
    <t>"WST3W"</t>
  </si>
  <si>
    <t>Tweede plaats groep D bepaald door doelsaldo.</t>
  </si>
  <si>
    <t>Tweede plaats groep H bepaald door (handmatig geselecteerde) loting door de FIFA.</t>
  </si>
  <si>
    <t>"Lothar"</t>
  </si>
  <si>
    <t>"de Lange Man"</t>
  </si>
  <si>
    <t>Winnaar en tweede plaats groep H bepaald door doelsaldo in de groep.</t>
  </si>
  <si>
    <t>"El Gran"</t>
  </si>
  <si>
    <t>Tweede plaats groep E bepaald door doelsaldo.</t>
  </si>
  <si>
    <t>"Mannshaft der Freund"</t>
  </si>
  <si>
    <t>"Grondnootjesboter"</t>
  </si>
  <si>
    <t>"Moskovskaja Kazanskaja"</t>
  </si>
  <si>
    <t>Nr.</t>
  </si>
  <si>
    <r>
      <t>  </t>
    </r>
    <r>
      <rPr>
        <b/>
        <sz val="11"/>
        <color indexed="8"/>
        <rFont val="Calibri"/>
        <family val="2"/>
      </rPr>
      <t>Mexico</t>
    </r>
  </si>
  <si>
    <r>
      <t>  </t>
    </r>
    <r>
      <rPr>
        <b/>
        <sz val="11"/>
        <color indexed="8"/>
        <rFont val="Calibri"/>
        <family val="2"/>
      </rPr>
      <t>Frankrijk</t>
    </r>
  </si>
  <si>
    <r>
      <t>  </t>
    </r>
    <r>
      <rPr>
        <b/>
        <sz val="11"/>
        <color indexed="8"/>
        <rFont val="Calibri"/>
        <family val="2"/>
      </rPr>
      <t>Uruguay</t>
    </r>
  </si>
  <si>
    <r>
      <t>Frankrijk</t>
    </r>
    <r>
      <rPr>
        <sz val="10"/>
        <rFont val="Arial"/>
        <family val="2"/>
      </rPr>
      <t>  </t>
    </r>
  </si>
  <si>
    <r>
      <t>Argentinië</t>
    </r>
    <r>
      <rPr>
        <sz val="10"/>
        <rFont val="Arial"/>
        <family val="2"/>
      </rPr>
      <t>  </t>
    </r>
  </si>
  <si>
    <r>
      <t>  </t>
    </r>
    <r>
      <rPr>
        <b/>
        <sz val="11"/>
        <color indexed="8"/>
        <rFont val="Calibri"/>
        <family val="2"/>
      </rPr>
      <t>Griekenland</t>
    </r>
  </si>
  <si>
    <r>
      <t>Griekenland</t>
    </r>
    <r>
      <rPr>
        <sz val="10"/>
        <rFont val="Arial"/>
        <family val="2"/>
      </rPr>
      <t>  </t>
    </r>
  </si>
  <si>
    <r>
      <t>  </t>
    </r>
    <r>
      <rPr>
        <b/>
        <sz val="11"/>
        <color indexed="8"/>
        <rFont val="Calibri"/>
        <family val="2"/>
      </rPr>
      <t>Argentinië</t>
    </r>
  </si>
  <si>
    <r>
      <t>Engeland</t>
    </r>
    <r>
      <rPr>
        <sz val="10"/>
        <rFont val="Arial"/>
        <family val="2"/>
      </rPr>
      <t>  </t>
    </r>
  </si>
  <si>
    <r>
      <t>  </t>
    </r>
    <r>
      <rPr>
        <b/>
        <sz val="11"/>
        <color indexed="8"/>
        <rFont val="Calibri"/>
        <family val="2"/>
      </rPr>
      <t>Slovenië</t>
    </r>
  </si>
  <si>
    <r>
      <t>  </t>
    </r>
    <r>
      <rPr>
        <b/>
        <sz val="11"/>
        <color indexed="8"/>
        <rFont val="Calibri"/>
        <family val="2"/>
      </rPr>
      <t>USA</t>
    </r>
  </si>
  <si>
    <r>
      <t>  </t>
    </r>
    <r>
      <rPr>
        <b/>
        <sz val="11"/>
        <color indexed="8"/>
        <rFont val="Calibri"/>
        <family val="2"/>
      </rPr>
      <t>Engeland</t>
    </r>
  </si>
  <si>
    <r>
      <t>USA</t>
    </r>
    <r>
      <rPr>
        <sz val="10"/>
        <rFont val="Arial"/>
        <family val="2"/>
      </rPr>
      <t>  </t>
    </r>
  </si>
  <si>
    <r>
      <t>Duitsland</t>
    </r>
    <r>
      <rPr>
        <sz val="10"/>
        <rFont val="Arial"/>
        <family val="2"/>
      </rPr>
      <t>  </t>
    </r>
  </si>
  <si>
    <r>
      <t>Servië</t>
    </r>
    <r>
      <rPr>
        <sz val="10"/>
        <rFont val="Arial"/>
        <family val="2"/>
      </rPr>
      <t>  </t>
    </r>
  </si>
  <si>
    <r>
      <t>  </t>
    </r>
    <r>
      <rPr>
        <b/>
        <sz val="11"/>
        <color indexed="8"/>
        <rFont val="Calibri"/>
        <family val="2"/>
      </rPr>
      <t>Australië</t>
    </r>
  </si>
  <si>
    <r>
      <t>  </t>
    </r>
    <r>
      <rPr>
        <b/>
        <sz val="11"/>
        <color indexed="8"/>
        <rFont val="Calibri"/>
        <family val="2"/>
      </rPr>
      <t>Duitsland</t>
    </r>
  </si>
  <si>
    <r>
      <t>Nederland</t>
    </r>
    <r>
      <rPr>
        <sz val="10"/>
        <rFont val="Arial"/>
        <family val="2"/>
      </rPr>
      <t>  </t>
    </r>
  </si>
  <si>
    <r>
      <t>  </t>
    </r>
    <r>
      <rPr>
        <b/>
        <sz val="11"/>
        <color indexed="8"/>
        <rFont val="Calibri"/>
        <family val="2"/>
      </rPr>
      <t>Kameroen</t>
    </r>
  </si>
  <si>
    <r>
      <t>Denemarken</t>
    </r>
    <r>
      <rPr>
        <sz val="10"/>
        <rFont val="Arial"/>
        <family val="2"/>
      </rPr>
      <t>  </t>
    </r>
  </si>
  <si>
    <r>
      <t>  </t>
    </r>
    <r>
      <rPr>
        <b/>
        <sz val="11"/>
        <color indexed="8"/>
        <rFont val="Calibri"/>
        <family val="2"/>
      </rPr>
      <t>Nederland</t>
    </r>
  </si>
  <si>
    <r>
      <t>Italië</t>
    </r>
    <r>
      <rPr>
        <sz val="10"/>
        <rFont val="Arial"/>
        <family val="2"/>
      </rPr>
      <t>  </t>
    </r>
  </si>
  <si>
    <r>
      <t>  </t>
    </r>
    <r>
      <rPr>
        <b/>
        <sz val="11"/>
        <color indexed="8"/>
        <rFont val="Calibri"/>
        <family val="2"/>
      </rPr>
      <t>Paraguay</t>
    </r>
  </si>
  <si>
    <r>
      <t>  </t>
    </r>
    <r>
      <rPr>
        <b/>
        <sz val="11"/>
        <color indexed="8"/>
        <rFont val="Calibri"/>
        <family val="2"/>
      </rPr>
      <t>Italië</t>
    </r>
  </si>
  <si>
    <r>
      <t>  </t>
    </r>
    <r>
      <rPr>
        <b/>
        <sz val="11"/>
        <color indexed="8"/>
        <rFont val="Calibri"/>
        <family val="2"/>
      </rPr>
      <t>Portugal</t>
    </r>
  </si>
  <si>
    <r>
      <t>Brazilië</t>
    </r>
    <r>
      <rPr>
        <sz val="10"/>
        <rFont val="Arial"/>
        <family val="2"/>
      </rPr>
      <t>  </t>
    </r>
  </si>
  <si>
    <r>
      <t>Portugal</t>
    </r>
    <r>
      <rPr>
        <sz val="10"/>
        <rFont val="Arial"/>
        <family val="2"/>
      </rPr>
      <t>  </t>
    </r>
  </si>
  <si>
    <r>
      <t>  </t>
    </r>
    <r>
      <rPr>
        <b/>
        <sz val="11"/>
        <color indexed="8"/>
        <rFont val="Calibri"/>
        <family val="2"/>
      </rPr>
      <t>Brazilië</t>
    </r>
  </si>
  <si>
    <r>
      <t>  </t>
    </r>
    <r>
      <rPr>
        <b/>
        <sz val="11"/>
        <color indexed="8"/>
        <rFont val="Calibri"/>
        <family val="2"/>
      </rPr>
      <t>Ivoorkust</t>
    </r>
  </si>
  <si>
    <r>
      <t>  </t>
    </r>
    <r>
      <rPr>
        <b/>
        <sz val="11"/>
        <color indexed="8"/>
        <rFont val="Calibri"/>
        <family val="2"/>
      </rPr>
      <t>Chili</t>
    </r>
  </si>
  <si>
    <r>
      <t>Spanje</t>
    </r>
    <r>
      <rPr>
        <sz val="10"/>
        <rFont val="Arial"/>
        <family val="2"/>
      </rPr>
      <t>  </t>
    </r>
  </si>
  <si>
    <r>
      <t>  </t>
    </r>
    <r>
      <rPr>
        <b/>
        <sz val="11"/>
        <color indexed="8"/>
        <rFont val="Calibri"/>
        <family val="2"/>
      </rPr>
      <t>Spanje</t>
    </r>
  </si>
  <si>
    <r>
      <t>Zwitserland</t>
    </r>
    <r>
      <rPr>
        <sz val="10"/>
        <rFont val="Arial"/>
        <family val="2"/>
      </rPr>
      <t>  </t>
    </r>
  </si>
  <si>
    <t>"Oranje Olifanten"</t>
  </si>
  <si>
    <t>Tweede plaats groep B bepaald door doelsaldo.</t>
  </si>
  <si>
    <t>Winnaar en tweede plaats groep D bepaald door aantal doelpunten in de groep.</t>
  </si>
  <si>
    <t>"Lesu"</t>
  </si>
  <si>
    <t>Winnaar en tweede plaats groep E bepaald door doelsaldo in de groep.</t>
  </si>
  <si>
    <t>Tweede plaats groep F bepaald door (handmatig geselecteerde) loting door de FIFA.</t>
  </si>
  <si>
    <t>Winnaar en tweede plaats groep H bepaald door puntenaantal onderlinge wedstrijd Spanje - Honduras.</t>
  </si>
  <si>
    <t>"kracht uit tegenslag"</t>
  </si>
  <si>
    <t>Winnaar en tweede plaats groep B bepaald door (handmatig geselecteerde) loting door de FIFA.</t>
  </si>
  <si>
    <t>Tweede plaats groep C bepaald door doelsaldo.</t>
  </si>
  <si>
    <t>"Pata Pata"</t>
  </si>
  <si>
    <t>Winnaar en tweede plaats groep G bepaald door (handmatig geselecteerde) loting door de FIFA.</t>
  </si>
  <si>
    <t>Bonusvragen</t>
  </si>
  <si>
    <t>Wie wordt de topscorer van dit WK?</t>
  </si>
  <si>
    <t>Hoeveel directe rode kaarten worden er gegeven tijdens dit WK?</t>
  </si>
  <si>
    <t>Hoeveel strafschoppen (excl. penaltyseries na verlenging) worden er gegeven tijdens dit WK?</t>
  </si>
  <si>
    <t>Hoeveel doelpunten (excl. penaltyseries na verlenging) scoort de wereldkampioen dit WK?</t>
  </si>
  <si>
    <t>Hoeveel doelpunten (excl. penaltyseries na verlenging) worden er in totaal gescoord tijdens dit WK?</t>
  </si>
  <si>
    <t>Puntentelling</t>
  </si>
  <si>
    <t>Final rank</t>
  </si>
  <si>
    <t>Rangschikking voor beëindiging poule fase</t>
  </si>
  <si>
    <t>Rangschikking na beëindiging poule fase</t>
  </si>
  <si>
    <t>(handmatig)</t>
  </si>
  <si>
    <t>Stap</t>
  </si>
  <si>
    <t>a)</t>
  </si>
  <si>
    <t>b)</t>
  </si>
  <si>
    <t>c)</t>
  </si>
  <si>
    <t>Stap a t/m f</t>
  </si>
  <si>
    <t>Pt</t>
  </si>
  <si>
    <t>Ranking</t>
  </si>
  <si>
    <t>Handmatig</t>
  </si>
  <si>
    <t>PT.</t>
  </si>
  <si>
    <t>Totaal</t>
  </si>
  <si>
    <t xml:space="preserve"> </t>
  </si>
  <si>
    <t>Rang</t>
  </si>
  <si>
    <t>Team</t>
  </si>
  <si>
    <t>DV</t>
  </si>
  <si>
    <t>DT</t>
  </si>
  <si>
    <t>P</t>
  </si>
  <si>
    <t>DA</t>
  </si>
  <si>
    <t>Criteria</t>
  </si>
  <si>
    <t>Teams</t>
  </si>
  <si>
    <t>Rangschikking stap:</t>
  </si>
  <si>
    <t>Toernooi gegevens</t>
  </si>
  <si>
    <t>A3</t>
  </si>
  <si>
    <t>A4</t>
  </si>
  <si>
    <t>B3</t>
  </si>
  <si>
    <t>B4</t>
  </si>
  <si>
    <t>C3</t>
  </si>
  <si>
    <t>C4</t>
  </si>
  <si>
    <t>D3</t>
  </si>
  <si>
    <t>D4</t>
  </si>
  <si>
    <t>E4</t>
  </si>
  <si>
    <t>E3</t>
  </si>
  <si>
    <t>F3</t>
  </si>
  <si>
    <t>F4</t>
  </si>
  <si>
    <t>G3</t>
  </si>
  <si>
    <t>G4</t>
  </si>
  <si>
    <t>H3</t>
  </si>
  <si>
    <t>H4</t>
  </si>
  <si>
    <t>Achtste Finale</t>
  </si>
  <si>
    <t>1A</t>
  </si>
  <si>
    <t>2B</t>
  </si>
  <si>
    <t>2A</t>
  </si>
  <si>
    <t>1C</t>
  </si>
  <si>
    <t>2D</t>
  </si>
  <si>
    <t>1B</t>
  </si>
  <si>
    <t>Winnaar Groep B</t>
  </si>
  <si>
    <t>1D</t>
  </si>
  <si>
    <t>2C</t>
  </si>
  <si>
    <t>1E</t>
  </si>
  <si>
    <t>2F</t>
  </si>
  <si>
    <t>Winnaar Groep E</t>
  </si>
  <si>
    <t>2E</t>
  </si>
  <si>
    <t>1G</t>
  </si>
  <si>
    <t>2H</t>
  </si>
  <si>
    <t>1F</t>
  </si>
  <si>
    <t>Winnaar Groep F</t>
  </si>
  <si>
    <t>2G</t>
  </si>
  <si>
    <t>1H</t>
  </si>
  <si>
    <t>W49</t>
  </si>
  <si>
    <t>W53</t>
  </si>
  <si>
    <t>W54</t>
  </si>
  <si>
    <t>W50</t>
  </si>
  <si>
    <t>W51</t>
  </si>
  <si>
    <t>W52</t>
  </si>
  <si>
    <t>W55</t>
  </si>
  <si>
    <t>W56</t>
  </si>
  <si>
    <t>W58</t>
  </si>
  <si>
    <t>W57</t>
  </si>
  <si>
    <t>W59</t>
  </si>
  <si>
    <t>W60</t>
  </si>
  <si>
    <t>V61</t>
  </si>
  <si>
    <t>V62</t>
  </si>
  <si>
    <t>W61</t>
  </si>
  <si>
    <t>Winnaar 61</t>
  </si>
  <si>
    <t>Verliezer 61</t>
  </si>
  <si>
    <t>W62</t>
  </si>
  <si>
    <t>Winnaar 62</t>
  </si>
  <si>
    <t>Verliezer 62</t>
  </si>
  <si>
    <t>v5</t>
  </si>
  <si>
    <t>EB</t>
  </si>
  <si>
    <t>macro's teruggezet, vanwege onderling resultaat</t>
  </si>
  <si>
    <t>boni ingevoegd op deelnemerssheet - als som van alle 16-8-4-2-1 landen</t>
  </si>
  <si>
    <t>boni ingevoegd in scoresheet - aan het eind van de ronde, dus niet na elke dag</t>
  </si>
  <si>
    <t>dat betekent dat je voor een mooie grafiek nu, op de score-sheet, de rijen met nog te spelen wedstrijden in die ronde moet verbergen</t>
  </si>
  <si>
    <t>daarom ook op scoresheet rechts (na aftrek gemiddelde) even de laatste score doorgekopieerd naar beneden</t>
  </si>
  <si>
    <t>scoresheet kolom A fungeert nu ook als x-aslabels voor de grafiek</t>
  </si>
  <si>
    <t>EC</t>
  </si>
  <si>
    <t>v5.1</t>
  </si>
  <si>
    <t>macro's NIET teruggezet. Zie dit als aparte versie zonder macro's. We hebben 2 jaar de tijd om het probleem 'onderling resultaat' op te lossen :-)</t>
  </si>
  <si>
    <t>v6.0</t>
  </si>
  <si>
    <t>boni-score gewijzigd (voor 1/8e finales) in per wedstrijd. EB vindt het optisch geen verbetering; kost ook erg veel rijen/grafiekruimte die je later toch weer moet verbergen</t>
  </si>
  <si>
    <t>de formule biedt wel perspectief als je bonuspunten zou willen geven voor juiste plek! Maar dan nog zou ik het liever op 1 rij zetten</t>
  </si>
  <si>
    <t>Boni</t>
  </si>
  <si>
    <t>sheet gemiddelden: hier is iets verneukt door verwijzingen naar files in te voegen, komt uit eerdere versies (waarschijnlijk in versie4 door EB) ???</t>
  </si>
  <si>
    <t>sheet gemiddelden: hier is iets verneukt door verwijzingen naar files in te voegen, komt uit eerdere versies (EC zelfde fout? verwijzing is nu ineens naar zijn desktop :-) )</t>
  </si>
  <si>
    <t>hersteld. Ook hele zooi namen verwijderd mbv Formules/Namen beheren</t>
  </si>
  <si>
    <t>ook dit maar laten staan, wil ik nog wel terugzetten in v6.1</t>
  </si>
  <si>
    <t>macro's weggehaald. Op zich prima, maar daardoor gaat het nu wel mis als je onderling resultaat moet berekenen (dat gebeurt niet meer)</t>
  </si>
  <si>
    <t>OPMERKINGEN</t>
  </si>
  <si>
    <t>op sheet gemiddelden klopt de puntentelling niet?</t>
  </si>
  <si>
    <t>verwijzingen zouden nog veel efficienter kunnen door slim gebruik van namen; met name de blokken op Invulblad waar veel naar verwezen wordt</t>
  </si>
  <si>
    <t>Invulblad!$F$76:$F$83</t>
  </si>
  <si>
    <t>Invulblad!$B$14:$P$89</t>
  </si>
  <si>
    <t>Invulblad!$J$76:$J$83</t>
  </si>
  <si>
    <t>final16_1</t>
  </si>
  <si>
    <t>final16_2</t>
  </si>
  <si>
    <t>uitslagen1</t>
  </si>
  <si>
    <t>etc. etc.</t>
  </si>
  <si>
    <t>grafiek is ook gewijzigd, maar niet goed (convergeert naar nul in laatste punt!). Is nu scrollgrafiek, als aparte grafiek op een sheet, dat is wel handig waarschijnlijk</t>
  </si>
  <si>
    <t>aangepast: x-aslabels in scoresheet kolom A en verbergen ongebruikte rijen; scrollgrafiek behouden als losse grafiek op sheet.</t>
  </si>
  <si>
    <t>In sheets score &amp; quickview titels vastgezet</t>
  </si>
  <si>
    <t>Er zit nog een FOUT in het aanwijzen van de wereldkampioen. Dat blijkt namelijk niet uit de deelnemerssheets, dus igv gelijkspel in finale neem ik er gewoon maar een van de twee…</t>
  </si>
  <si>
    <t>v6.1</t>
  </si>
  <si>
    <t xml:space="preserve">scores (tbv betere grafiek) voorzien van (2*random getal - 1). Blijft gemiddeld neutraal maar laat lijntjes beter zien in grafiek. </t>
  </si>
  <si>
    <t>v6.2</t>
  </si>
  <si>
    <t>foutje hersteld in boni 1/2e finale en hoger</t>
  </si>
  <si>
    <t>gewoon ff invullen nog</t>
  </si>
</sst>
</file>

<file path=xl/styles.xml><?xml version="1.0" encoding="utf-8"?>
<styleSheet xmlns="http://schemas.openxmlformats.org/spreadsheetml/2006/main">
  <numFmts count="8">
    <numFmt numFmtId="164" formatCode="ddd\ "/>
    <numFmt numFmtId="165" formatCode="d\ mmmm"/>
    <numFmt numFmtId="166" formatCode="h:mm"/>
    <numFmt numFmtId="167" formatCode="0.0"/>
    <numFmt numFmtId="168" formatCode="m/d/yyyy"/>
    <numFmt numFmtId="169" formatCode="d/m;@"/>
    <numFmt numFmtId="170" formatCode="h:mm;@"/>
    <numFmt numFmtId="171" formatCode="ddd"/>
  </numFmts>
  <fonts count="58">
    <font>
      <sz val="10"/>
      <name val="Arial"/>
      <family val="2"/>
    </font>
    <font>
      <u/>
      <sz val="11"/>
      <color indexed="12"/>
      <name val="Calibri"/>
      <family val="2"/>
    </font>
    <font>
      <sz val="11"/>
      <color indexed="8"/>
      <name val="Calibri"/>
      <family val="2"/>
    </font>
    <font>
      <sz val="10"/>
      <color indexed="47"/>
      <name val="Arial"/>
      <family val="2"/>
    </font>
    <font>
      <sz val="14"/>
      <name val="Arial"/>
      <family val="2"/>
    </font>
    <font>
      <b/>
      <sz val="10"/>
      <name val="Arial"/>
      <family val="2"/>
    </font>
    <font>
      <b/>
      <u/>
      <sz val="10"/>
      <color indexed="10"/>
      <name val="Arial"/>
      <family val="2"/>
    </font>
    <font>
      <u/>
      <sz val="10"/>
      <color indexed="12"/>
      <name val="Arial"/>
      <family val="2"/>
    </font>
    <font>
      <b/>
      <sz val="10"/>
      <color indexed="9"/>
      <name val="Arial"/>
      <family val="2"/>
    </font>
    <font>
      <b/>
      <sz val="8"/>
      <name val="Arial"/>
      <family val="2"/>
    </font>
    <font>
      <b/>
      <sz val="14"/>
      <name val="Arial"/>
      <family val="2"/>
    </font>
    <font>
      <sz val="8"/>
      <name val="Arial"/>
      <family val="2"/>
    </font>
    <font>
      <sz val="7"/>
      <color indexed="8"/>
      <name val="Arial"/>
      <family val="2"/>
    </font>
    <font>
      <b/>
      <sz val="8"/>
      <color indexed="10"/>
      <name val="Arial"/>
      <family val="2"/>
    </font>
    <font>
      <b/>
      <sz val="8"/>
      <color indexed="53"/>
      <name val="Arial"/>
      <family val="2"/>
    </font>
    <font>
      <sz val="8"/>
      <color indexed="9"/>
      <name val="Arial"/>
      <family val="2"/>
    </font>
    <font>
      <sz val="10"/>
      <color indexed="53"/>
      <name val="Arial"/>
      <family val="2"/>
    </font>
    <font>
      <sz val="8"/>
      <color indexed="47"/>
      <name val="Arial"/>
      <family val="2"/>
    </font>
    <font>
      <b/>
      <sz val="10"/>
      <color indexed="34"/>
      <name val="Calibri"/>
      <family val="2"/>
    </font>
    <font>
      <sz val="10"/>
      <color indexed="34"/>
      <name val="Arial"/>
      <family val="2"/>
    </font>
    <font>
      <sz val="10"/>
      <color indexed="41"/>
      <name val="Calibri"/>
      <family val="2"/>
    </font>
    <font>
      <sz val="10"/>
      <name val="Calibri"/>
      <family val="2"/>
    </font>
    <font>
      <b/>
      <sz val="10"/>
      <color indexed="9"/>
      <name val="Calibri"/>
      <family val="2"/>
    </font>
    <font>
      <sz val="10"/>
      <color indexed="9"/>
      <name val="Calibri"/>
      <family val="2"/>
    </font>
    <font>
      <b/>
      <sz val="10"/>
      <color indexed="41"/>
      <name val="Calibri"/>
      <family val="2"/>
    </font>
    <font>
      <b/>
      <sz val="10"/>
      <name val="Calibri"/>
      <family val="2"/>
    </font>
    <font>
      <sz val="9"/>
      <color indexed="8"/>
      <name val="Calibri"/>
      <family val="2"/>
    </font>
    <font>
      <sz val="10"/>
      <color indexed="27"/>
      <name val="Calibri"/>
      <family val="2"/>
    </font>
    <font>
      <sz val="10"/>
      <color indexed="10"/>
      <name val="Calibri"/>
      <family val="2"/>
    </font>
    <font>
      <sz val="11"/>
      <color indexed="23"/>
      <name val="Calibri"/>
      <family val="2"/>
    </font>
    <font>
      <sz val="11"/>
      <color indexed="60"/>
      <name val="Calibri"/>
      <family val="2"/>
    </font>
    <font>
      <sz val="16"/>
      <color indexed="30"/>
      <name val="Calibri"/>
      <family val="2"/>
    </font>
    <font>
      <b/>
      <sz val="16"/>
      <color indexed="30"/>
      <name val="Calibri"/>
      <family val="2"/>
    </font>
    <font>
      <sz val="16"/>
      <color indexed="60"/>
      <name val="Calibri"/>
      <family val="2"/>
    </font>
    <font>
      <u/>
      <sz val="11"/>
      <color indexed="8"/>
      <name val="Calibri"/>
      <family val="2"/>
    </font>
    <font>
      <i/>
      <sz val="11"/>
      <color indexed="40"/>
      <name val="Calibri"/>
      <family val="2"/>
    </font>
    <font>
      <sz val="11"/>
      <color indexed="40"/>
      <name val="Calibri"/>
      <family val="2"/>
    </font>
    <font>
      <b/>
      <sz val="11"/>
      <color indexed="8"/>
      <name val="Calibri"/>
      <family val="2"/>
    </font>
    <font>
      <b/>
      <sz val="11"/>
      <color indexed="60"/>
      <name val="Calibri"/>
      <family val="2"/>
    </font>
    <font>
      <sz val="11"/>
      <color indexed="10"/>
      <name val="Calibri"/>
      <family val="2"/>
    </font>
    <font>
      <sz val="11"/>
      <name val="Calibri"/>
      <family val="2"/>
    </font>
    <font>
      <b/>
      <sz val="11"/>
      <color indexed="23"/>
      <name val="Calibri"/>
      <family val="2"/>
    </font>
    <font>
      <sz val="11"/>
      <color indexed="41"/>
      <name val="Calibri"/>
      <family val="2"/>
    </font>
    <font>
      <sz val="11"/>
      <color indexed="9"/>
      <name val="Calibri"/>
      <family val="2"/>
    </font>
    <font>
      <sz val="16"/>
      <color indexed="41"/>
      <name val="Calibri"/>
      <family val="2"/>
    </font>
    <font>
      <sz val="16"/>
      <color indexed="9"/>
      <name val="Calibri"/>
      <family val="2"/>
    </font>
    <font>
      <b/>
      <sz val="11"/>
      <color indexed="41"/>
      <name val="Calibri"/>
      <family val="2"/>
    </font>
    <font>
      <b/>
      <sz val="11"/>
      <color indexed="9"/>
      <name val="Calibri"/>
      <family val="2"/>
    </font>
    <font>
      <b/>
      <sz val="11"/>
      <color indexed="63"/>
      <name val="Calibri"/>
      <family val="2"/>
    </font>
    <font>
      <b/>
      <u/>
      <sz val="10"/>
      <name val="Arial"/>
      <family val="2"/>
    </font>
    <font>
      <i/>
      <sz val="10"/>
      <name val="Arial"/>
      <family val="2"/>
    </font>
    <font>
      <sz val="10"/>
      <color rgb="FFFF0000"/>
      <name val="Arial"/>
      <family val="2"/>
    </font>
    <font>
      <sz val="10"/>
      <color theme="0" tint="-9.9978637043366805E-2"/>
      <name val="Calibri"/>
      <family val="2"/>
    </font>
    <font>
      <b/>
      <sz val="9"/>
      <color indexed="8"/>
      <name val="Calibri"/>
      <family val="2"/>
    </font>
    <font>
      <sz val="9"/>
      <color rgb="FFFFC000"/>
      <name val="Calibri"/>
      <family val="2"/>
    </font>
    <font>
      <b/>
      <sz val="10"/>
      <color rgb="FFFFC000"/>
      <name val="Calibri"/>
      <family val="2"/>
    </font>
    <font>
      <b/>
      <sz val="10"/>
      <color rgb="FFFF0000"/>
      <name val="Calibri"/>
      <family val="2"/>
    </font>
    <font>
      <sz val="10"/>
      <color rgb="FFFFC000"/>
      <name val="Calibri"/>
      <family val="2"/>
    </font>
  </fonts>
  <fills count="24">
    <fill>
      <patternFill patternType="none"/>
    </fill>
    <fill>
      <patternFill patternType="gray125"/>
    </fill>
    <fill>
      <patternFill patternType="solid">
        <fgColor indexed="9"/>
        <bgColor indexed="27"/>
      </patternFill>
    </fill>
    <fill>
      <patternFill patternType="solid">
        <fgColor indexed="52"/>
        <bgColor indexed="14"/>
      </patternFill>
    </fill>
    <fill>
      <patternFill patternType="solid">
        <fgColor indexed="51"/>
        <bgColor indexed="34"/>
      </patternFill>
    </fill>
    <fill>
      <patternFill patternType="solid">
        <fgColor indexed="47"/>
        <bgColor indexed="45"/>
      </patternFill>
    </fill>
    <fill>
      <patternFill patternType="solid">
        <fgColor indexed="10"/>
        <bgColor indexed="16"/>
      </patternFill>
    </fill>
    <fill>
      <patternFill patternType="solid">
        <fgColor indexed="16"/>
        <bgColor indexed="10"/>
      </patternFill>
    </fill>
    <fill>
      <patternFill patternType="solid">
        <fgColor indexed="8"/>
        <bgColor indexed="18"/>
      </patternFill>
    </fill>
    <fill>
      <patternFill patternType="solid">
        <fgColor indexed="60"/>
        <bgColor indexed="53"/>
      </patternFill>
    </fill>
    <fill>
      <patternFill patternType="solid">
        <fgColor indexed="14"/>
        <bgColor indexed="37"/>
      </patternFill>
    </fill>
    <fill>
      <patternFill patternType="solid">
        <fgColor indexed="13"/>
        <bgColor indexed="51"/>
      </patternFill>
    </fill>
    <fill>
      <patternFill patternType="solid">
        <fgColor indexed="36"/>
        <bgColor indexed="43"/>
      </patternFill>
    </fill>
    <fill>
      <patternFill patternType="solid">
        <fgColor indexed="42"/>
        <bgColor indexed="41"/>
      </patternFill>
    </fill>
    <fill>
      <patternFill patternType="solid">
        <fgColor indexed="11"/>
        <bgColor indexed="58"/>
      </patternFill>
    </fill>
    <fill>
      <patternFill patternType="solid">
        <fgColor indexed="19"/>
        <bgColor indexed="17"/>
      </patternFill>
    </fill>
    <fill>
      <patternFill patternType="solid">
        <fgColor indexed="24"/>
        <bgColor indexed="46"/>
      </patternFill>
    </fill>
    <fill>
      <patternFill patternType="solid">
        <fgColor indexed="38"/>
        <bgColor indexed="49"/>
      </patternFill>
    </fill>
    <fill>
      <patternFill patternType="solid">
        <fgColor indexed="34"/>
        <bgColor indexed="51"/>
      </patternFill>
    </fill>
    <fill>
      <patternFill patternType="solid">
        <fgColor indexed="46"/>
        <bgColor indexed="24"/>
      </patternFill>
    </fill>
    <fill>
      <patternFill patternType="solid">
        <fgColor indexed="26"/>
        <bgColor indexed="42"/>
      </patternFill>
    </fill>
    <fill>
      <patternFill patternType="solid">
        <fgColor rgb="FFFFFF00"/>
        <bgColor indexed="64"/>
      </patternFill>
    </fill>
    <fill>
      <patternFill patternType="solid">
        <fgColor theme="0" tint="-9.9978637043366805E-2"/>
        <bgColor indexed="64"/>
      </patternFill>
    </fill>
    <fill>
      <patternFill patternType="solid">
        <fgColor rgb="FFFFFF00"/>
        <bgColor indexed="51"/>
      </patternFill>
    </fill>
  </fills>
  <borders count="25">
    <border>
      <left/>
      <right/>
      <top/>
      <bottom/>
      <diagonal/>
    </border>
    <border>
      <left/>
      <right/>
      <top style="thin">
        <color indexed="53"/>
      </top>
      <bottom style="thin">
        <color indexed="53"/>
      </bottom>
      <diagonal/>
    </border>
    <border>
      <left/>
      <right/>
      <top style="thin">
        <color indexed="53"/>
      </top>
      <bottom/>
      <diagonal/>
    </border>
    <border>
      <left style="thin">
        <color indexed="60"/>
      </left>
      <right style="thin">
        <color indexed="60"/>
      </right>
      <top style="thin">
        <color indexed="60"/>
      </top>
      <bottom style="thin">
        <color indexed="60"/>
      </bottom>
      <diagonal/>
    </border>
    <border>
      <left/>
      <right/>
      <top style="thin">
        <color indexed="8"/>
      </top>
      <bottom style="thin">
        <color indexed="8"/>
      </bottom>
      <diagonal/>
    </border>
    <border>
      <left style="thin">
        <color indexed="53"/>
      </left>
      <right/>
      <top style="thin">
        <color indexed="53"/>
      </top>
      <bottom style="thin">
        <color indexed="53"/>
      </bottom>
      <diagonal/>
    </border>
    <border>
      <left/>
      <right style="thin">
        <color indexed="53"/>
      </right>
      <top style="thin">
        <color indexed="53"/>
      </top>
      <bottom style="thin">
        <color indexed="53"/>
      </bottom>
      <diagonal/>
    </border>
    <border>
      <left style="thin">
        <color indexed="53"/>
      </left>
      <right style="thin">
        <color indexed="53"/>
      </right>
      <top style="thin">
        <color indexed="53"/>
      </top>
      <bottom style="thin">
        <color indexed="53"/>
      </bottom>
      <diagonal/>
    </border>
    <border>
      <left/>
      <right/>
      <top/>
      <bottom style="thin">
        <color indexed="53"/>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thin">
        <color indexed="53"/>
      </left>
      <right/>
      <top/>
      <bottom/>
      <diagonal/>
    </border>
    <border>
      <left/>
      <right/>
      <top/>
      <bottom style="medium">
        <color indexed="8"/>
      </bottom>
      <diagonal/>
    </border>
    <border>
      <left/>
      <right style="medium">
        <color indexed="8"/>
      </right>
      <top/>
      <bottom style="medium">
        <color indexed="8"/>
      </bottom>
      <diagonal/>
    </border>
    <border>
      <left/>
      <right/>
      <top/>
      <bottom style="medium">
        <color indexed="9"/>
      </bottom>
      <diagonal/>
    </border>
    <border>
      <left/>
      <right/>
      <top style="medium">
        <color indexed="9"/>
      </top>
      <bottom/>
      <diagonal/>
    </border>
    <border>
      <left/>
      <right/>
      <top/>
      <bottom style="thin">
        <color indexed="8"/>
      </bottom>
      <diagonal/>
    </border>
    <border>
      <left/>
      <right/>
      <top style="medium">
        <color indexed="9"/>
      </top>
      <bottom style="thin">
        <color indexed="8"/>
      </bottom>
      <diagonal/>
    </border>
    <border>
      <left/>
      <right/>
      <top style="medium">
        <color indexed="31"/>
      </top>
      <bottom style="medium">
        <color indexed="31"/>
      </bottom>
      <diagonal/>
    </border>
    <border>
      <left/>
      <right/>
      <top/>
      <bottom style="medium">
        <color indexed="31"/>
      </bottom>
      <diagonal/>
    </border>
    <border>
      <left style="hair">
        <color indexed="53"/>
      </left>
      <right/>
      <top/>
      <bottom/>
      <diagonal/>
    </border>
    <border>
      <left/>
      <right/>
      <top/>
      <bottom style="hair">
        <color indexed="53"/>
      </bottom>
      <diagonal/>
    </border>
  </borders>
  <cellStyleXfs count="5">
    <xf numFmtId="0" fontId="0" fillId="0" borderId="0"/>
    <xf numFmtId="0" fontId="7" fillId="0" borderId="0"/>
    <xf numFmtId="0" fontId="1" fillId="0" borderId="0"/>
    <xf numFmtId="0" fontId="2" fillId="0" borderId="0"/>
    <xf numFmtId="0" fontId="2" fillId="0" borderId="0"/>
  </cellStyleXfs>
  <cellXfs count="372">
    <xf numFmtId="0" fontId="0" fillId="0" borderId="0" xfId="0"/>
    <xf numFmtId="0" fontId="0" fillId="0" borderId="0" xfId="0" applyFont="1" applyFill="1" applyBorder="1" applyProtection="1"/>
    <xf numFmtId="0" fontId="0" fillId="0" borderId="0" xfId="0" applyFont="1" applyFill="1" applyBorder="1"/>
    <xf numFmtId="0" fontId="3" fillId="2" borderId="0" xfId="0" applyFont="1" applyFill="1" applyBorder="1" applyProtection="1">
      <protection locked="0"/>
    </xf>
    <xf numFmtId="0" fontId="0" fillId="0" borderId="0" xfId="0" applyFont="1" applyFill="1" applyBorder="1" applyProtection="1">
      <protection locked="0"/>
    </xf>
    <xf numFmtId="0" fontId="0" fillId="2" borderId="0" xfId="0" applyFont="1" applyFill="1" applyBorder="1"/>
    <xf numFmtId="0" fontId="4" fillId="2" borderId="0" xfId="0" applyFont="1" applyFill="1" applyBorder="1" applyAlignment="1" applyProtection="1"/>
    <xf numFmtId="0" fontId="4" fillId="2" borderId="0" xfId="0" applyFont="1" applyFill="1" applyBorder="1" applyAlignment="1"/>
    <xf numFmtId="0" fontId="4" fillId="0" borderId="0" xfId="0" applyFont="1" applyFill="1" applyBorder="1" applyAlignment="1"/>
    <xf numFmtId="0" fontId="0" fillId="2" borderId="0" xfId="0" applyFont="1" applyFill="1" applyBorder="1" applyProtection="1">
      <protection locked="0"/>
    </xf>
    <xf numFmtId="0" fontId="0" fillId="2" borderId="0" xfId="0" applyFont="1" applyFill="1" applyBorder="1" applyProtection="1"/>
    <xf numFmtId="0" fontId="5" fillId="2" borderId="0" xfId="0" applyFont="1" applyFill="1" applyBorder="1" applyAlignment="1" applyProtection="1"/>
    <xf numFmtId="0" fontId="0" fillId="2" borderId="0" xfId="0" applyFont="1" applyFill="1" applyBorder="1" applyAlignment="1" applyProtection="1"/>
    <xf numFmtId="0" fontId="5" fillId="3" borderId="1" xfId="0" applyFont="1" applyFill="1" applyBorder="1" applyProtection="1"/>
    <xf numFmtId="0" fontId="0" fillId="3" borderId="1" xfId="0" applyFont="1" applyFill="1" applyBorder="1" applyProtection="1"/>
    <xf numFmtId="0" fontId="5" fillId="3" borderId="1" xfId="0" applyFont="1" applyFill="1" applyBorder="1" applyAlignment="1" applyProtection="1"/>
    <xf numFmtId="0" fontId="0" fillId="3" borderId="1" xfId="0" applyFont="1" applyFill="1" applyBorder="1" applyAlignment="1" applyProtection="1"/>
    <xf numFmtId="0" fontId="5" fillId="3" borderId="2" xfId="0" applyFont="1" applyFill="1" applyBorder="1" applyAlignment="1" applyProtection="1">
      <alignment horizontal="center"/>
    </xf>
    <xf numFmtId="0" fontId="0" fillId="3" borderId="2" xfId="0" applyFont="1" applyFill="1" applyBorder="1" applyAlignment="1" applyProtection="1">
      <alignment horizontal="center" wrapText="1"/>
    </xf>
    <xf numFmtId="0" fontId="0" fillId="3" borderId="0" xfId="0" applyFont="1" applyFill="1" applyBorder="1"/>
    <xf numFmtId="0" fontId="5" fillId="2" borderId="0" xfId="0" applyFont="1" applyFill="1" applyBorder="1" applyProtection="1"/>
    <xf numFmtId="0" fontId="6" fillId="2" borderId="0" xfId="0" applyFont="1" applyFill="1" applyBorder="1" applyProtection="1"/>
    <xf numFmtId="0" fontId="5" fillId="2" borderId="3" xfId="0" applyFont="1" applyFill="1" applyBorder="1" applyAlignment="1" applyProtection="1">
      <alignment horizontal="center" vertical="top" wrapText="1"/>
    </xf>
    <xf numFmtId="0" fontId="5" fillId="2" borderId="0" xfId="0" applyFont="1" applyFill="1" applyBorder="1" applyAlignment="1" applyProtection="1">
      <alignment wrapText="1"/>
    </xf>
    <xf numFmtId="0" fontId="0" fillId="4" borderId="1" xfId="0" applyFont="1" applyFill="1" applyBorder="1" applyProtection="1"/>
    <xf numFmtId="0" fontId="5" fillId="4" borderId="1" xfId="0" applyFont="1" applyFill="1" applyBorder="1" applyAlignment="1" applyProtection="1"/>
    <xf numFmtId="0" fontId="0" fillId="4" borderId="1" xfId="0" applyFont="1" applyFill="1" applyBorder="1" applyAlignment="1" applyProtection="1"/>
    <xf numFmtId="0" fontId="0" fillId="4" borderId="3" xfId="0" applyFont="1" applyFill="1" applyBorder="1" applyAlignment="1" applyProtection="1">
      <alignment horizontal="center"/>
    </xf>
    <xf numFmtId="0" fontId="0" fillId="4" borderId="1" xfId="0" applyFont="1" applyFill="1" applyBorder="1"/>
    <xf numFmtId="0" fontId="0" fillId="4" borderId="4" xfId="0" applyFont="1" applyFill="1" applyBorder="1"/>
    <xf numFmtId="0" fontId="0" fillId="2" borderId="3" xfId="0" applyFont="1" applyFill="1" applyBorder="1" applyAlignment="1" applyProtection="1">
      <alignment horizontal="center"/>
    </xf>
    <xf numFmtId="0" fontId="0" fillId="4" borderId="1" xfId="0" applyFont="1" applyFill="1" applyBorder="1" applyAlignment="1" applyProtection="1">
      <alignment horizontal="center"/>
    </xf>
    <xf numFmtId="0" fontId="0" fillId="2" borderId="0" xfId="0" applyFont="1" applyFill="1" applyBorder="1" applyAlignment="1" applyProtection="1">
      <alignment horizontal="center"/>
    </xf>
    <xf numFmtId="0" fontId="0" fillId="3" borderId="1" xfId="0" applyFont="1" applyFill="1" applyBorder="1" applyProtection="1">
      <protection locked="0"/>
    </xf>
    <xf numFmtId="0" fontId="0" fillId="5" borderId="0" xfId="0" applyFont="1" applyFill="1" applyBorder="1" applyProtection="1">
      <protection locked="0"/>
    </xf>
    <xf numFmtId="1" fontId="0" fillId="2" borderId="0" xfId="0" applyNumberFormat="1" applyFont="1" applyFill="1"/>
    <xf numFmtId="0" fontId="0" fillId="2" borderId="0" xfId="0" applyFont="1" applyFill="1"/>
    <xf numFmtId="0" fontId="0" fillId="2" borderId="0" xfId="0" applyFont="1" applyFill="1" applyAlignment="1">
      <alignment horizontal="left"/>
    </xf>
    <xf numFmtId="0" fontId="0" fillId="2" borderId="0" xfId="0" applyFont="1" applyFill="1" applyAlignment="1">
      <alignment horizontal="center"/>
    </xf>
    <xf numFmtId="0" fontId="0" fillId="2" borderId="0" xfId="0" applyFill="1" applyProtection="1"/>
    <xf numFmtId="0" fontId="0" fillId="0" borderId="0" xfId="0" applyFill="1" applyBorder="1" applyProtection="1"/>
    <xf numFmtId="0" fontId="0" fillId="0" borderId="0" xfId="0" applyFill="1" applyBorder="1" applyAlignment="1" applyProtection="1">
      <alignment horizontal="center"/>
    </xf>
    <xf numFmtId="1" fontId="0" fillId="2" borderId="0" xfId="0" applyNumberFormat="1" applyFont="1" applyFill="1" applyBorder="1"/>
    <xf numFmtId="0" fontId="0" fillId="2" borderId="0" xfId="0" applyFont="1" applyFill="1" applyBorder="1" applyAlignment="1">
      <alignment horizontal="left"/>
    </xf>
    <xf numFmtId="0" fontId="0" fillId="2" borderId="0" xfId="0" applyFont="1" applyFill="1" applyBorder="1" applyAlignment="1">
      <alignment horizontal="center"/>
    </xf>
    <xf numFmtId="0" fontId="0" fillId="2" borderId="0" xfId="0" applyFill="1" applyBorder="1" applyProtection="1"/>
    <xf numFmtId="0" fontId="0" fillId="0" borderId="0" xfId="0" applyNumberFormat="1" applyFill="1" applyBorder="1" applyProtection="1"/>
    <xf numFmtId="1" fontId="9" fillId="2" borderId="0" xfId="0" applyNumberFormat="1" applyFont="1" applyFill="1" applyAlignment="1">
      <alignment horizontal="left" vertical="top"/>
    </xf>
    <xf numFmtId="0" fontId="10" fillId="2" borderId="0" xfId="0" applyFont="1" applyFill="1"/>
    <xf numFmtId="0" fontId="0" fillId="2" borderId="0" xfId="0" applyFont="1" applyFill="1" applyAlignment="1" applyProtection="1">
      <alignment horizontal="left"/>
    </xf>
    <xf numFmtId="0" fontId="0" fillId="2" borderId="0" xfId="0" applyFont="1" applyFill="1" applyProtection="1"/>
    <xf numFmtId="0" fontId="0" fillId="2" borderId="0" xfId="0" applyFont="1" applyFill="1" applyAlignment="1" applyProtection="1">
      <alignment wrapText="1"/>
    </xf>
    <xf numFmtId="0" fontId="11" fillId="2" borderId="0" xfId="1" applyNumberFormat="1" applyFont="1" applyFill="1" applyBorder="1" applyAlignment="1" applyProtection="1">
      <alignment horizontal="left" vertical="top"/>
      <protection locked="0"/>
    </xf>
    <xf numFmtId="1" fontId="0" fillId="2" borderId="0" xfId="0" applyNumberFormat="1" applyFont="1" applyFill="1" applyProtection="1"/>
    <xf numFmtId="0" fontId="0" fillId="2" borderId="0" xfId="0" applyFont="1" applyFill="1" applyAlignment="1" applyProtection="1">
      <alignment horizontal="center"/>
    </xf>
    <xf numFmtId="0" fontId="12" fillId="2" borderId="0" xfId="0" applyFont="1" applyFill="1" applyBorder="1" applyAlignment="1" applyProtection="1">
      <alignment horizontal="left" vertical="center"/>
    </xf>
    <xf numFmtId="1" fontId="9" fillId="4" borderId="5" xfId="0" applyNumberFormat="1" applyFont="1" applyFill="1" applyBorder="1" applyAlignment="1"/>
    <xf numFmtId="0" fontId="9" fillId="4" borderId="1" xfId="0" applyFont="1" applyFill="1" applyBorder="1" applyAlignment="1"/>
    <xf numFmtId="1" fontId="9" fillId="4" borderId="1" xfId="0" applyNumberFormat="1" applyFont="1" applyFill="1" applyBorder="1" applyAlignment="1"/>
    <xf numFmtId="0" fontId="9" fillId="4" borderId="6" xfId="0" applyFont="1" applyFill="1" applyBorder="1" applyAlignment="1"/>
    <xf numFmtId="0" fontId="11" fillId="2" borderId="0" xfId="0" applyFont="1" applyFill="1"/>
    <xf numFmtId="0" fontId="9" fillId="4" borderId="7" xfId="0" applyFont="1" applyFill="1" applyBorder="1" applyAlignment="1">
      <alignment horizontal="center"/>
    </xf>
    <xf numFmtId="0" fontId="9" fillId="4" borderId="7" xfId="0" applyFont="1" applyFill="1" applyBorder="1" applyAlignment="1" applyProtection="1">
      <alignment horizontal="left"/>
    </xf>
    <xf numFmtId="0" fontId="9" fillId="4" borderId="7" xfId="0" applyFont="1" applyFill="1" applyBorder="1" applyAlignment="1" applyProtection="1"/>
    <xf numFmtId="0" fontId="9" fillId="4" borderId="7" xfId="0" applyFont="1" applyFill="1" applyBorder="1" applyProtection="1"/>
    <xf numFmtId="1" fontId="11" fillId="2" borderId="7" xfId="0" applyNumberFormat="1" applyFont="1" applyFill="1" applyBorder="1" applyAlignment="1">
      <alignment horizontal="left"/>
    </xf>
    <xf numFmtId="164" fontId="11" fillId="2" borderId="7" xfId="0" applyNumberFormat="1" applyFont="1" applyFill="1" applyBorder="1" applyAlignment="1">
      <alignment horizontal="left"/>
    </xf>
    <xf numFmtId="165" fontId="11" fillId="2" borderId="7" xfId="0" applyNumberFormat="1" applyFont="1" applyFill="1" applyBorder="1" applyAlignment="1">
      <alignment horizontal="left" wrapText="1"/>
    </xf>
    <xf numFmtId="166" fontId="11" fillId="2" borderId="7" xfId="0" applyNumberFormat="1" applyFont="1" applyFill="1" applyBorder="1"/>
    <xf numFmtId="0" fontId="11" fillId="2" borderId="7" xfId="0" applyFont="1" applyFill="1" applyBorder="1" applyAlignment="1"/>
    <xf numFmtId="0" fontId="11" fillId="2" borderId="7" xfId="0" applyFont="1" applyFill="1" applyBorder="1"/>
    <xf numFmtId="1" fontId="11" fillId="2" borderId="7" xfId="0" applyNumberFormat="1" applyFont="1" applyFill="1" applyBorder="1" applyProtection="1">
      <protection locked="0"/>
    </xf>
    <xf numFmtId="0" fontId="11" fillId="2" borderId="7" xfId="0" applyFont="1" applyFill="1" applyBorder="1" applyAlignment="1">
      <alignment horizontal="center"/>
    </xf>
    <xf numFmtId="0" fontId="11" fillId="2" borderId="7" xfId="0" applyFont="1" applyFill="1" applyBorder="1" applyAlignment="1" applyProtection="1">
      <alignment horizontal="left"/>
    </xf>
    <xf numFmtId="0" fontId="11" fillId="2" borderId="7" xfId="0" applyFont="1" applyFill="1" applyBorder="1" applyProtection="1"/>
    <xf numFmtId="1" fontId="11" fillId="5" borderId="7" xfId="0" applyNumberFormat="1" applyFont="1" applyFill="1" applyBorder="1" applyAlignment="1">
      <alignment horizontal="left"/>
    </xf>
    <xf numFmtId="164" fontId="11" fillId="5" borderId="7" xfId="0" applyNumberFormat="1" applyFont="1" applyFill="1" applyBorder="1" applyAlignment="1">
      <alignment horizontal="left"/>
    </xf>
    <xf numFmtId="165" fontId="11" fillId="5" borderId="7" xfId="0" applyNumberFormat="1" applyFont="1" applyFill="1" applyBorder="1" applyAlignment="1">
      <alignment horizontal="left" wrapText="1"/>
    </xf>
    <xf numFmtId="166" fontId="11" fillId="5" borderId="7" xfId="0" applyNumberFormat="1" applyFont="1" applyFill="1" applyBorder="1"/>
    <xf numFmtId="0" fontId="11" fillId="5" borderId="7" xfId="0" applyFont="1" applyFill="1" applyBorder="1" applyAlignment="1"/>
    <xf numFmtId="0" fontId="11" fillId="5" borderId="7" xfId="0" applyFont="1" applyFill="1" applyBorder="1"/>
    <xf numFmtId="1" fontId="11" fillId="5" borderId="7" xfId="0" applyNumberFormat="1" applyFont="1" applyFill="1" applyBorder="1" applyProtection="1">
      <protection locked="0"/>
    </xf>
    <xf numFmtId="0" fontId="11" fillId="5" borderId="7" xfId="0" applyFont="1" applyFill="1" applyBorder="1" applyAlignment="1">
      <alignment horizontal="center"/>
    </xf>
    <xf numFmtId="0" fontId="11" fillId="5" borderId="7" xfId="0" applyFont="1" applyFill="1" applyBorder="1" applyAlignment="1" applyProtection="1">
      <alignment horizontal="left"/>
    </xf>
    <xf numFmtId="0" fontId="11" fillId="5" borderId="7" xfId="0" applyFont="1" applyFill="1" applyBorder="1" applyProtection="1"/>
    <xf numFmtId="0" fontId="13" fillId="2" borderId="0" xfId="0" applyFont="1" applyFill="1" applyAlignment="1" applyProtection="1">
      <alignment horizontal="left"/>
    </xf>
    <xf numFmtId="0" fontId="11" fillId="2" borderId="0" xfId="0" applyFont="1" applyFill="1" applyProtection="1"/>
    <xf numFmtId="0" fontId="11" fillId="2" borderId="0" xfId="0" applyFont="1" applyFill="1" applyAlignment="1" applyProtection="1">
      <alignment horizontal="left"/>
    </xf>
    <xf numFmtId="1" fontId="11" fillId="2" borderId="0" xfId="0" applyNumberFormat="1" applyFont="1" applyFill="1"/>
    <xf numFmtId="0" fontId="11" fillId="2" borderId="0" xfId="0" applyFont="1" applyFill="1" applyAlignment="1">
      <alignment horizontal="left"/>
    </xf>
    <xf numFmtId="166" fontId="11" fillId="2" borderId="0" xfId="0" applyNumberFormat="1" applyFont="1" applyFill="1"/>
    <xf numFmtId="0" fontId="11" fillId="2" borderId="0" xfId="0" applyFont="1" applyFill="1" applyAlignment="1"/>
    <xf numFmtId="0" fontId="11" fillId="2" borderId="0" xfId="0" applyFont="1" applyFill="1" applyAlignment="1">
      <alignment horizontal="center"/>
    </xf>
    <xf numFmtId="0" fontId="11" fillId="4" borderId="7" xfId="0" applyFont="1" applyFill="1" applyBorder="1" applyAlignment="1" applyProtection="1"/>
    <xf numFmtId="1" fontId="11" fillId="2" borderId="7" xfId="0" applyNumberFormat="1" applyFont="1" applyFill="1" applyBorder="1" applyAlignment="1" applyProtection="1">
      <alignment horizontal="center"/>
      <protection locked="0"/>
    </xf>
    <xf numFmtId="1" fontId="11" fillId="5" borderId="7" xfId="0" applyNumberFormat="1" applyFont="1" applyFill="1" applyBorder="1" applyAlignment="1" applyProtection="1">
      <alignment horizontal="center"/>
      <protection locked="0"/>
    </xf>
    <xf numFmtId="165" fontId="11" fillId="2" borderId="0" xfId="0" applyNumberFormat="1" applyFont="1" applyFill="1" applyAlignment="1">
      <alignment horizontal="left"/>
    </xf>
    <xf numFmtId="1" fontId="11" fillId="2" borderId="7" xfId="0" applyNumberFormat="1" applyFont="1" applyFill="1" applyBorder="1" applyAlignment="1" applyProtection="1">
      <alignment horizontal="left"/>
    </xf>
    <xf numFmtId="164" fontId="11" fillId="2" borderId="7" xfId="0" applyNumberFormat="1" applyFont="1" applyFill="1" applyBorder="1" applyAlignment="1" applyProtection="1">
      <alignment horizontal="left"/>
    </xf>
    <xf numFmtId="165" fontId="11" fillId="2" borderId="7" xfId="0" applyNumberFormat="1" applyFont="1" applyFill="1" applyBorder="1" applyAlignment="1" applyProtection="1">
      <alignment horizontal="left" wrapText="1"/>
    </xf>
    <xf numFmtId="166" fontId="11" fillId="2" borderId="7" xfId="0" applyNumberFormat="1" applyFont="1" applyFill="1" applyBorder="1" applyProtection="1"/>
    <xf numFmtId="0" fontId="11" fillId="2" borderId="7" xfId="0" applyFont="1" applyFill="1" applyBorder="1" applyAlignment="1" applyProtection="1"/>
    <xf numFmtId="0" fontId="11" fillId="2" borderId="7" xfId="0" applyFont="1" applyFill="1" applyBorder="1" applyAlignment="1" applyProtection="1">
      <alignment horizontal="center"/>
    </xf>
    <xf numFmtId="1" fontId="11" fillId="5" borderId="7" xfId="0" applyNumberFormat="1" applyFont="1" applyFill="1" applyBorder="1" applyAlignment="1" applyProtection="1">
      <alignment horizontal="left"/>
    </xf>
    <xf numFmtId="164" fontId="11" fillId="5" borderId="7" xfId="0" applyNumberFormat="1" applyFont="1" applyFill="1" applyBorder="1" applyAlignment="1" applyProtection="1">
      <alignment horizontal="left"/>
    </xf>
    <xf numFmtId="165" fontId="11" fillId="5" borderId="7" xfId="0" applyNumberFormat="1" applyFont="1" applyFill="1" applyBorder="1" applyAlignment="1" applyProtection="1">
      <alignment horizontal="left" wrapText="1"/>
    </xf>
    <xf numFmtId="166" fontId="11" fillId="5" borderId="7" xfId="0" applyNumberFormat="1" applyFont="1" applyFill="1" applyBorder="1" applyProtection="1"/>
    <xf numFmtId="0" fontId="11" fillId="5" borderId="7" xfId="0" applyFont="1" applyFill="1" applyBorder="1" applyAlignment="1" applyProtection="1"/>
    <xf numFmtId="0" fontId="11" fillId="5" borderId="7" xfId="0" applyFont="1" applyFill="1" applyBorder="1" applyAlignment="1" applyProtection="1">
      <alignment horizontal="center"/>
    </xf>
    <xf numFmtId="1" fontId="0" fillId="2" borderId="8" xfId="0" applyNumberFormat="1" applyFont="1" applyFill="1" applyBorder="1" applyProtection="1"/>
    <xf numFmtId="0" fontId="0" fillId="2" borderId="8" xfId="0" applyFont="1" applyFill="1" applyBorder="1" applyProtection="1"/>
    <xf numFmtId="0" fontId="0" fillId="2" borderId="8" xfId="0" applyFont="1" applyFill="1" applyBorder="1" applyAlignment="1" applyProtection="1">
      <alignment horizontal="left"/>
    </xf>
    <xf numFmtId="0" fontId="0" fillId="2" borderId="8" xfId="0" applyFont="1" applyFill="1" applyBorder="1" applyAlignment="1" applyProtection="1">
      <alignment horizontal="center"/>
    </xf>
    <xf numFmtId="1" fontId="0" fillId="2" borderId="0" xfId="0" applyNumberFormat="1" applyFont="1" applyFill="1" applyBorder="1" applyProtection="1"/>
    <xf numFmtId="0" fontId="5" fillId="2" borderId="9" xfId="0" applyFont="1" applyFill="1" applyBorder="1" applyProtection="1"/>
    <xf numFmtId="0" fontId="5" fillId="2" borderId="10" xfId="0" applyFont="1" applyFill="1" applyBorder="1" applyProtection="1"/>
    <xf numFmtId="0" fontId="5" fillId="2" borderId="11" xfId="0" applyFont="1" applyFill="1" applyBorder="1" applyProtection="1"/>
    <xf numFmtId="1" fontId="9" fillId="4" borderId="5" xfId="0" applyNumberFormat="1" applyFont="1" applyFill="1" applyBorder="1" applyAlignment="1" applyProtection="1"/>
    <xf numFmtId="0" fontId="9" fillId="4" borderId="1" xfId="0" applyFont="1" applyFill="1" applyBorder="1" applyAlignment="1" applyProtection="1"/>
    <xf numFmtId="1" fontId="9" fillId="4" borderId="1" xfId="0" applyNumberFormat="1" applyFont="1" applyFill="1" applyBorder="1" applyAlignment="1" applyProtection="1"/>
    <xf numFmtId="0" fontId="9" fillId="4" borderId="6" xfId="0" applyFont="1" applyFill="1" applyBorder="1" applyAlignment="1" applyProtection="1"/>
    <xf numFmtId="0" fontId="9" fillId="4" borderId="7" xfId="0" applyFont="1" applyFill="1" applyBorder="1" applyAlignment="1" applyProtection="1">
      <alignment horizontal="center"/>
    </xf>
    <xf numFmtId="0" fontId="9" fillId="2" borderId="0" xfId="0" applyFont="1" applyFill="1" applyBorder="1" applyAlignment="1" applyProtection="1">
      <alignment horizontal="center"/>
    </xf>
    <xf numFmtId="0" fontId="0" fillId="2" borderId="12" xfId="0" applyFill="1" applyBorder="1" applyProtection="1"/>
    <xf numFmtId="0" fontId="0" fillId="2" borderId="13" xfId="0" applyFill="1" applyBorder="1" applyProtection="1"/>
    <xf numFmtId="1" fontId="15" fillId="2" borderId="7" xfId="0" applyNumberFormat="1" applyFont="1" applyFill="1" applyBorder="1" applyProtection="1"/>
    <xf numFmtId="1" fontId="11" fillId="2" borderId="7" xfId="0" applyNumberFormat="1" applyFont="1" applyFill="1" applyBorder="1" applyProtection="1"/>
    <xf numFmtId="0" fontId="15" fillId="2" borderId="7" xfId="0" applyFont="1" applyFill="1" applyBorder="1" applyAlignment="1" applyProtection="1"/>
    <xf numFmtId="0" fontId="16" fillId="2" borderId="0" xfId="0" applyFont="1" applyFill="1" applyAlignment="1" applyProtection="1">
      <alignment horizontal="center"/>
    </xf>
    <xf numFmtId="0" fontId="11" fillId="2" borderId="7" xfId="0" applyFont="1" applyFill="1" applyBorder="1" applyAlignment="1" applyProtection="1">
      <alignment horizont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1" fontId="0" fillId="2" borderId="12" xfId="0" applyNumberFormat="1" applyFill="1" applyBorder="1" applyProtection="1"/>
    <xf numFmtId="1" fontId="17" fillId="5" borderId="7" xfId="0" applyNumberFormat="1" applyFont="1" applyFill="1" applyBorder="1" applyProtection="1"/>
    <xf numFmtId="1" fontId="11" fillId="5" borderId="7" xfId="0" applyNumberFormat="1" applyFont="1" applyFill="1" applyBorder="1" applyProtection="1"/>
    <xf numFmtId="0" fontId="17" fillId="5" borderId="7" xfId="0" applyFont="1" applyFill="1" applyBorder="1" applyAlignment="1" applyProtection="1"/>
    <xf numFmtId="0" fontId="11" fillId="5" borderId="7" xfId="0" applyFont="1" applyFill="1" applyBorder="1" applyAlignment="1" applyProtection="1">
      <alignment horizontal="center"/>
      <protection locked="0"/>
    </xf>
    <xf numFmtId="0" fontId="0" fillId="2" borderId="8" xfId="0" applyFont="1" applyFill="1" applyBorder="1" applyAlignment="1" applyProtection="1"/>
    <xf numFmtId="0" fontId="0" fillId="0" borderId="0" xfId="0" applyFont="1" applyFill="1" applyBorder="1" applyAlignment="1" applyProtection="1">
      <alignment horizontal="center"/>
    </xf>
    <xf numFmtId="0" fontId="0" fillId="2" borderId="0" xfId="0" applyFill="1" applyBorder="1" applyAlignment="1" applyProtection="1">
      <alignment horizontal="center"/>
    </xf>
    <xf numFmtId="1" fontId="11" fillId="2" borderId="7" xfId="0" applyNumberFormat="1" applyFont="1" applyFill="1" applyBorder="1" applyAlignment="1" applyProtection="1">
      <protection locked="0"/>
    </xf>
    <xf numFmtId="1" fontId="11" fillId="5" borderId="7" xfId="0" applyNumberFormat="1" applyFont="1" applyFill="1" applyBorder="1" applyAlignment="1" applyProtection="1">
      <protection locked="0"/>
    </xf>
    <xf numFmtId="0" fontId="16" fillId="2" borderId="0" xfId="0" applyFont="1" applyFill="1" applyBorder="1" applyAlignment="1" applyProtection="1">
      <alignment horizontal="center"/>
    </xf>
    <xf numFmtId="0" fontId="16" fillId="2" borderId="8" xfId="0" applyFont="1" applyFill="1" applyBorder="1" applyProtection="1"/>
    <xf numFmtId="0" fontId="0" fillId="2" borderId="0" xfId="0" applyFont="1" applyFill="1" applyBorder="1" applyAlignment="1" applyProtection="1">
      <alignment horizontal="left"/>
    </xf>
    <xf numFmtId="0" fontId="16" fillId="2" borderId="0" xfId="0" applyFont="1" applyFill="1" applyProtection="1"/>
    <xf numFmtId="166" fontId="15" fillId="2" borderId="7" xfId="0" applyNumberFormat="1" applyFont="1" applyFill="1" applyBorder="1"/>
    <xf numFmtId="0" fontId="9" fillId="4" borderId="5" xfId="0" applyFont="1" applyFill="1" applyBorder="1" applyAlignment="1">
      <alignment horizontal="center"/>
    </xf>
    <xf numFmtId="0" fontId="11" fillId="2" borderId="5" xfId="0" applyFont="1" applyFill="1" applyBorder="1" applyAlignment="1">
      <alignment horizontal="center"/>
    </xf>
    <xf numFmtId="0" fontId="0" fillId="2" borderId="15" xfId="0" applyFill="1" applyBorder="1" applyProtection="1"/>
    <xf numFmtId="0" fontId="0" fillId="2" borderId="16" xfId="0" applyFill="1" applyBorder="1" applyProtection="1"/>
    <xf numFmtId="1" fontId="18" fillId="6" borderId="0" xfId="0" applyNumberFormat="1" applyFont="1" applyFill="1" applyProtection="1"/>
    <xf numFmtId="0" fontId="0" fillId="6" borderId="0" xfId="0" applyFont="1" applyFill="1" applyProtection="1"/>
    <xf numFmtId="0" fontId="0" fillId="6" borderId="0" xfId="0" applyFont="1" applyFill="1" applyAlignment="1" applyProtection="1">
      <alignment horizontal="left"/>
    </xf>
    <xf numFmtId="0" fontId="19" fillId="7" borderId="0" xfId="0" applyFont="1" applyFill="1" applyProtection="1">
      <protection locked="0"/>
    </xf>
    <xf numFmtId="1" fontId="0" fillId="7" borderId="0" xfId="0" applyNumberFormat="1" applyFont="1" applyFill="1" applyProtection="1"/>
    <xf numFmtId="0" fontId="0" fillId="7" borderId="0" xfId="0" applyFont="1" applyFill="1" applyAlignment="1" applyProtection="1">
      <alignment horizontal="center"/>
    </xf>
    <xf numFmtId="1" fontId="0" fillId="0" borderId="0" xfId="0" applyNumberFormat="1" applyFill="1" applyBorder="1" applyAlignment="1" applyProtection="1">
      <alignment horizontal="center"/>
    </xf>
    <xf numFmtId="1" fontId="0" fillId="2" borderId="0" xfId="0" applyNumberFormat="1" applyFont="1" applyFill="1" applyProtection="1">
      <protection locked="0"/>
    </xf>
    <xf numFmtId="0" fontId="0" fillId="2" borderId="0" xfId="0" applyFont="1" applyFill="1" applyProtection="1">
      <protection locked="0"/>
    </xf>
    <xf numFmtId="0" fontId="0" fillId="2" borderId="0" xfId="0" applyFont="1" applyFill="1" applyAlignment="1" applyProtection="1">
      <alignment horizontal="left"/>
      <protection locked="0"/>
    </xf>
    <xf numFmtId="0" fontId="0" fillId="2" borderId="0" xfId="0" applyFont="1" applyFill="1" applyAlignment="1" applyProtection="1">
      <alignment horizontal="center"/>
      <protection locked="0"/>
    </xf>
    <xf numFmtId="0" fontId="20" fillId="0" borderId="0" xfId="0" applyFont="1"/>
    <xf numFmtId="0" fontId="21" fillId="0" borderId="0" xfId="0" applyFont="1"/>
    <xf numFmtId="0" fontId="22" fillId="8" borderId="17" xfId="0" applyFont="1" applyFill="1" applyBorder="1"/>
    <xf numFmtId="0" fontId="23" fillId="9" borderId="0" xfId="0" applyFont="1" applyFill="1"/>
    <xf numFmtId="0" fontId="23" fillId="10" borderId="0" xfId="0" applyFont="1" applyFill="1"/>
    <xf numFmtId="0" fontId="24" fillId="0" borderId="0" xfId="0" applyFont="1"/>
    <xf numFmtId="0" fontId="22" fillId="9" borderId="0" xfId="0" applyFont="1" applyFill="1"/>
    <xf numFmtId="0" fontId="25" fillId="0" borderId="0" xfId="0" applyFont="1"/>
    <xf numFmtId="0" fontId="22" fillId="10" borderId="0" xfId="0" applyFont="1" applyFill="1"/>
    <xf numFmtId="0" fontId="20" fillId="0" borderId="0" xfId="0" applyFont="1" applyFill="1"/>
    <xf numFmtId="1" fontId="21" fillId="0" borderId="18" xfId="0" applyNumberFormat="1" applyFont="1" applyFill="1" applyBorder="1"/>
    <xf numFmtId="0" fontId="26" fillId="11" borderId="18" xfId="0" applyFont="1" applyFill="1" applyBorder="1"/>
    <xf numFmtId="0" fontId="26" fillId="0" borderId="18" xfId="0" applyFont="1" applyFill="1" applyBorder="1"/>
    <xf numFmtId="0" fontId="21" fillId="0" borderId="0" xfId="0" applyFont="1" applyFill="1"/>
    <xf numFmtId="0" fontId="26" fillId="11" borderId="19" xfId="0" applyFont="1" applyFill="1" applyBorder="1"/>
    <xf numFmtId="0" fontId="26" fillId="0" borderId="19" xfId="0" applyFont="1" applyFill="1" applyBorder="1"/>
    <xf numFmtId="1" fontId="21" fillId="0" borderId="0" xfId="0" applyNumberFormat="1" applyFont="1"/>
    <xf numFmtId="0" fontId="26" fillId="0" borderId="0" xfId="0" applyFont="1" applyFill="1" applyBorder="1"/>
    <xf numFmtId="0" fontId="26" fillId="11" borderId="0" xfId="0" applyFont="1" applyFill="1" applyBorder="1"/>
    <xf numFmtId="0" fontId="26" fillId="0" borderId="20" xfId="0" applyFont="1" applyFill="1" applyBorder="1"/>
    <xf numFmtId="0" fontId="26" fillId="11" borderId="20" xfId="0" applyFont="1" applyFill="1" applyBorder="1"/>
    <xf numFmtId="0" fontId="21" fillId="0" borderId="19" xfId="0" applyFont="1" applyBorder="1"/>
    <xf numFmtId="0" fontId="22" fillId="10" borderId="0" xfId="0" applyNumberFormat="1" applyFont="1" applyFill="1"/>
    <xf numFmtId="0" fontId="20" fillId="12" borderId="0" xfId="0" applyFont="1" applyFill="1"/>
    <xf numFmtId="0" fontId="21" fillId="12" borderId="0" xfId="0" applyFont="1" applyFill="1"/>
    <xf numFmtId="0" fontId="20" fillId="13" borderId="0" xfId="0" applyFont="1" applyFill="1"/>
    <xf numFmtId="0" fontId="21" fillId="13" borderId="0" xfId="0" applyFont="1" applyFill="1"/>
    <xf numFmtId="0" fontId="27" fillId="0" borderId="0" xfId="0" applyFont="1"/>
    <xf numFmtId="0" fontId="28" fillId="0" borderId="0" xfId="0" applyFont="1"/>
    <xf numFmtId="49" fontId="27" fillId="0" borderId="0" xfId="0" applyNumberFormat="1" applyFont="1"/>
    <xf numFmtId="49" fontId="22" fillId="8" borderId="17" xfId="0" applyNumberFormat="1" applyFont="1" applyFill="1" applyBorder="1"/>
    <xf numFmtId="49" fontId="21" fillId="0" borderId="0" xfId="0" applyNumberFormat="1" applyFont="1"/>
    <xf numFmtId="167" fontId="28" fillId="0" borderId="0" xfId="0" applyNumberFormat="1" applyFont="1"/>
    <xf numFmtId="167" fontId="21" fillId="0" borderId="0" xfId="0" applyNumberFormat="1" applyFont="1"/>
    <xf numFmtId="1" fontId="27" fillId="0" borderId="0" xfId="0" applyNumberFormat="1" applyFont="1" applyFill="1"/>
    <xf numFmtId="1" fontId="21" fillId="0" borderId="0" xfId="0" applyNumberFormat="1" applyFont="1" applyFill="1"/>
    <xf numFmtId="167" fontId="28" fillId="0" borderId="0" xfId="0" applyNumberFormat="1" applyFont="1" applyFill="1"/>
    <xf numFmtId="167" fontId="21" fillId="0" borderId="0" xfId="0" applyNumberFormat="1" applyFont="1" applyFill="1"/>
    <xf numFmtId="0" fontId="23" fillId="14" borderId="0" xfId="0" applyFont="1" applyFill="1"/>
    <xf numFmtId="0" fontId="23" fillId="15" borderId="0" xfId="0" applyFont="1" applyFill="1"/>
    <xf numFmtId="0" fontId="23" fillId="16" borderId="0" xfId="0" applyFont="1" applyFill="1"/>
    <xf numFmtId="0" fontId="23" fillId="17" borderId="0" xfId="0" applyFont="1" applyFill="1"/>
    <xf numFmtId="0" fontId="21" fillId="11" borderId="0" xfId="0" applyFont="1" applyFill="1"/>
    <xf numFmtId="0" fontId="29" fillId="0" borderId="0" xfId="4" applyFont="1" applyAlignment="1">
      <alignment horizontal="left"/>
    </xf>
    <xf numFmtId="0" fontId="2" fillId="0" borderId="0" xfId="4" applyAlignment="1"/>
    <xf numFmtId="0" fontId="30" fillId="0" borderId="0" xfId="4" applyFont="1" applyAlignment="1"/>
    <xf numFmtId="0" fontId="31" fillId="0" borderId="0" xfId="4" applyFont="1" applyAlignment="1">
      <alignment horizontal="left"/>
    </xf>
    <xf numFmtId="0" fontId="32" fillId="0" borderId="0" xfId="4" applyFont="1" applyAlignment="1"/>
    <xf numFmtId="0" fontId="31" fillId="0" borderId="0" xfId="4" applyFont="1" applyAlignment="1"/>
    <xf numFmtId="0" fontId="33" fillId="0" borderId="0" xfId="4" applyFont="1" applyAlignment="1"/>
    <xf numFmtId="0" fontId="2" fillId="0" borderId="0" xfId="4" applyAlignment="1">
      <alignment horizontal="left"/>
    </xf>
    <xf numFmtId="0" fontId="34" fillId="0" borderId="0" xfId="4" applyFont="1" applyAlignment="1">
      <alignment horizontal="left"/>
    </xf>
    <xf numFmtId="0" fontId="30" fillId="0" borderId="0" xfId="4" applyFont="1" applyAlignment="1">
      <alignment horizontal="left"/>
    </xf>
    <xf numFmtId="0" fontId="35" fillId="18" borderId="0" xfId="4" applyFont="1" applyFill="1" applyAlignment="1">
      <alignment horizontal="left"/>
    </xf>
    <xf numFmtId="0" fontId="36" fillId="18" borderId="0" xfId="4" applyFont="1" applyFill="1" applyAlignment="1">
      <alignment horizontal="left"/>
    </xf>
    <xf numFmtId="1" fontId="36" fillId="18" borderId="0" xfId="4" applyNumberFormat="1" applyFont="1" applyFill="1" applyAlignment="1">
      <alignment horizontal="center"/>
    </xf>
    <xf numFmtId="0" fontId="37" fillId="0" borderId="0" xfId="4" applyFont="1" applyAlignment="1"/>
    <xf numFmtId="0" fontId="37" fillId="11" borderId="0" xfId="4" applyFont="1" applyFill="1" applyAlignment="1"/>
    <xf numFmtId="1" fontId="36" fillId="11" borderId="0" xfId="4" applyNumberFormat="1" applyFont="1" applyFill="1" applyAlignment="1">
      <alignment horizontal="center"/>
    </xf>
    <xf numFmtId="0" fontId="38" fillId="0" borderId="0" xfId="4" applyFont="1" applyAlignment="1"/>
    <xf numFmtId="0" fontId="37" fillId="0" borderId="0" xfId="4" applyFont="1" applyAlignment="1">
      <alignment horizontal="left"/>
    </xf>
    <xf numFmtId="0" fontId="37" fillId="0" borderId="0" xfId="4" applyFont="1" applyAlignment="1">
      <alignment horizontal="right"/>
    </xf>
    <xf numFmtId="0" fontId="37" fillId="0" borderId="0" xfId="4" applyFont="1" applyAlignment="1">
      <alignment horizontal="center"/>
    </xf>
    <xf numFmtId="0" fontId="38" fillId="0" borderId="0" xfId="4" applyFont="1" applyAlignment="1">
      <alignment horizontal="center"/>
    </xf>
    <xf numFmtId="168" fontId="2" fillId="0" borderId="0" xfId="4" applyNumberFormat="1" applyAlignment="1">
      <alignment horizontal="left"/>
    </xf>
    <xf numFmtId="166" fontId="2" fillId="0" borderId="0" xfId="4" applyNumberFormat="1" applyAlignment="1">
      <alignment horizontal="left"/>
    </xf>
    <xf numFmtId="0" fontId="2" fillId="0" borderId="0" xfId="4" applyFont="1" applyAlignment="1">
      <alignment horizontal="right"/>
    </xf>
    <xf numFmtId="0" fontId="2" fillId="0" borderId="0" xfId="4" applyFont="1" applyAlignment="1">
      <alignment horizontal="center"/>
    </xf>
    <xf numFmtId="0" fontId="2" fillId="0" borderId="0" xfId="4" applyFont="1" applyAlignment="1">
      <alignment horizontal="left"/>
    </xf>
    <xf numFmtId="167" fontId="2" fillId="0" borderId="0" xfId="4" applyNumberFormat="1" applyAlignment="1">
      <alignment horizontal="center"/>
    </xf>
    <xf numFmtId="1" fontId="2" fillId="19" borderId="0" xfId="4" applyNumberFormat="1" applyFill="1" applyAlignment="1">
      <alignment horizontal="center"/>
    </xf>
    <xf numFmtId="1" fontId="30" fillId="0" borderId="0" xfId="4" applyNumberFormat="1" applyFont="1" applyAlignment="1">
      <alignment horizontal="center"/>
    </xf>
    <xf numFmtId="1" fontId="2" fillId="0" borderId="0" xfId="4" applyNumberFormat="1" applyAlignment="1">
      <alignment horizontal="center"/>
    </xf>
    <xf numFmtId="0" fontId="2" fillId="19" borderId="0" xfId="4" applyFill="1" applyAlignment="1">
      <alignment horizontal="center"/>
    </xf>
    <xf numFmtId="0" fontId="2" fillId="0" borderId="0" xfId="4" applyFill="1" applyAlignment="1">
      <alignment horizontal="center"/>
    </xf>
    <xf numFmtId="0" fontId="26" fillId="0" borderId="0" xfId="4" applyFont="1" applyAlignment="1">
      <alignment horizontal="right"/>
    </xf>
    <xf numFmtId="0" fontId="26" fillId="0" borderId="0" xfId="4" applyFont="1" applyAlignment="1">
      <alignment horizontal="left"/>
    </xf>
    <xf numFmtId="0" fontId="30" fillId="0" borderId="0" xfId="4" applyFont="1" applyAlignment="1">
      <alignment horizontal="right"/>
    </xf>
    <xf numFmtId="0" fontId="37" fillId="0" borderId="21" xfId="4" applyFont="1" applyBorder="1" applyAlignment="1"/>
    <xf numFmtId="0" fontId="2" fillId="20" borderId="22" xfId="4" applyFont="1" applyFill="1" applyBorder="1" applyAlignment="1"/>
    <xf numFmtId="0" fontId="2" fillId="0" borderId="22" xfId="4" applyFont="1" applyBorder="1" applyAlignment="1"/>
    <xf numFmtId="0" fontId="2" fillId="0" borderId="19" xfId="4" applyBorder="1" applyAlignment="1"/>
    <xf numFmtId="0" fontId="30" fillId="0" borderId="19" xfId="4" applyFont="1" applyBorder="1" applyAlignment="1"/>
    <xf numFmtId="0" fontId="1" fillId="0" borderId="0" xfId="2" applyNumberFormat="1" applyFont="1" applyFill="1" applyBorder="1" applyAlignment="1" applyProtection="1"/>
    <xf numFmtId="0" fontId="1" fillId="0" borderId="0" xfId="2" applyNumberFormat="1" applyFont="1" applyFill="1" applyBorder="1" applyAlignment="1" applyProtection="1">
      <alignment horizontal="left"/>
    </xf>
    <xf numFmtId="0" fontId="39" fillId="0" borderId="0" xfId="4" applyFont="1" applyAlignment="1">
      <alignment horizontal="center"/>
    </xf>
    <xf numFmtId="49" fontId="2" fillId="0" borderId="0" xfId="4" applyNumberFormat="1" applyFont="1" applyAlignment="1">
      <alignment horizontal="left"/>
    </xf>
    <xf numFmtId="49" fontId="2" fillId="0" borderId="0" xfId="4" applyNumberFormat="1" applyAlignment="1">
      <alignment horizontal="left"/>
    </xf>
    <xf numFmtId="0" fontId="36" fillId="18" borderId="0" xfId="4" applyFont="1" applyFill="1" applyAlignment="1">
      <alignment horizontal="center"/>
    </xf>
    <xf numFmtId="0" fontId="40" fillId="11" borderId="0" xfId="4" applyFont="1" applyFill="1" applyAlignment="1">
      <alignment horizontal="center"/>
    </xf>
    <xf numFmtId="0" fontId="41" fillId="0" borderId="0" xfId="4" applyFont="1" applyAlignment="1">
      <alignment horizontal="left"/>
    </xf>
    <xf numFmtId="0" fontId="42" fillId="0" borderId="0" xfId="4" applyFont="1" applyAlignment="1"/>
    <xf numFmtId="0" fontId="43" fillId="0" borderId="0" xfId="4" applyFont="1" applyAlignment="1"/>
    <xf numFmtId="0" fontId="44" fillId="0" borderId="0" xfId="4" applyFont="1" applyAlignment="1"/>
    <xf numFmtId="0" fontId="45" fillId="0" borderId="0" xfId="4" applyFont="1" applyAlignment="1"/>
    <xf numFmtId="0" fontId="42" fillId="0" borderId="0" xfId="4" applyFont="1" applyAlignment="1">
      <alignment horizontal="left"/>
    </xf>
    <xf numFmtId="0" fontId="43" fillId="0" borderId="0" xfId="4" applyFont="1" applyAlignment="1">
      <alignment horizontal="left"/>
    </xf>
    <xf numFmtId="0" fontId="46" fillId="0" borderId="0" xfId="4" applyFont="1" applyAlignment="1"/>
    <xf numFmtId="0" fontId="47" fillId="0" borderId="0" xfId="4" applyFont="1" applyAlignment="1"/>
    <xf numFmtId="0" fontId="46" fillId="0" borderId="0" xfId="4" applyFont="1" applyAlignment="1">
      <alignment horizontal="center"/>
    </xf>
    <xf numFmtId="0" fontId="47" fillId="0" borderId="0" xfId="4" applyFont="1" applyAlignment="1">
      <alignment horizontal="center"/>
    </xf>
    <xf numFmtId="0" fontId="42" fillId="19" borderId="0" xfId="4" applyFont="1" applyFill="1" applyAlignment="1">
      <alignment horizontal="center"/>
    </xf>
    <xf numFmtId="1" fontId="43" fillId="0" borderId="0" xfId="4" applyNumberFormat="1" applyFont="1" applyAlignment="1">
      <alignment horizontal="center"/>
    </xf>
    <xf numFmtId="0" fontId="42" fillId="0" borderId="0" xfId="4" applyFont="1" applyFill="1" applyAlignment="1">
      <alignment horizontal="center"/>
    </xf>
    <xf numFmtId="0" fontId="42" fillId="0" borderId="0" xfId="4" applyFont="1" applyAlignment="1">
      <alignment horizontal="right"/>
    </xf>
    <xf numFmtId="0" fontId="43" fillId="0" borderId="0" xfId="4" applyFont="1" applyAlignment="1">
      <alignment horizontal="right"/>
    </xf>
    <xf numFmtId="0" fontId="42" fillId="0" borderId="19" xfId="4" applyFont="1" applyBorder="1" applyAlignment="1"/>
    <xf numFmtId="0" fontId="43" fillId="0" borderId="19" xfId="4" applyFont="1" applyBorder="1" applyAlignment="1"/>
    <xf numFmtId="0" fontId="48" fillId="0" borderId="0" xfId="4" applyFont="1" applyAlignment="1">
      <alignment horizontal="left"/>
    </xf>
    <xf numFmtId="0" fontId="0" fillId="2" borderId="0" xfId="0" applyFill="1"/>
    <xf numFmtId="0" fontId="9" fillId="4" borderId="7" xfId="0" applyFont="1" applyFill="1" applyBorder="1" applyAlignment="1"/>
    <xf numFmtId="0" fontId="9" fillId="4" borderId="7" xfId="0" applyFont="1" applyFill="1" applyBorder="1" applyAlignment="1" applyProtection="1">
      <protection hidden="1"/>
    </xf>
    <xf numFmtId="1" fontId="11" fillId="5" borderId="7" xfId="0" applyNumberFormat="1" applyFont="1" applyFill="1" applyBorder="1" applyAlignment="1" applyProtection="1">
      <alignment horizontal="left"/>
      <protection locked="0"/>
    </xf>
    <xf numFmtId="1" fontId="11" fillId="2" borderId="7" xfId="0" applyNumberFormat="1" applyFont="1" applyFill="1" applyBorder="1" applyAlignment="1" applyProtection="1">
      <alignment horizontal="left"/>
      <protection locked="0"/>
    </xf>
    <xf numFmtId="0" fontId="11" fillId="2" borderId="23" xfId="0" applyFont="1" applyFill="1" applyBorder="1"/>
    <xf numFmtId="0" fontId="11" fillId="2" borderId="0" xfId="0" applyFont="1" applyFill="1" applyProtection="1">
      <protection locked="0"/>
    </xf>
    <xf numFmtId="0" fontId="11" fillId="2" borderId="23" xfId="0" applyFont="1" applyFill="1" applyBorder="1" applyProtection="1">
      <protection locked="0"/>
    </xf>
    <xf numFmtId="0" fontId="9" fillId="2" borderId="0" xfId="0" applyFont="1" applyFill="1" applyProtection="1">
      <protection locked="0"/>
    </xf>
    <xf numFmtId="0" fontId="9" fillId="2" borderId="7" xfId="0" applyFont="1" applyFill="1" applyBorder="1" applyProtection="1"/>
    <xf numFmtId="0" fontId="9" fillId="5" borderId="7" xfId="0" applyFont="1" applyFill="1" applyBorder="1" applyProtection="1"/>
    <xf numFmtId="0" fontId="9" fillId="2" borderId="0" xfId="0" applyFont="1" applyFill="1" applyAlignment="1">
      <alignment horizontal="center"/>
    </xf>
    <xf numFmtId="0" fontId="9" fillId="2" borderId="0" xfId="0" applyFont="1" applyFill="1"/>
    <xf numFmtId="0" fontId="9" fillId="2" borderId="0" xfId="0" applyFont="1" applyFill="1" applyAlignment="1"/>
    <xf numFmtId="0" fontId="9" fillId="4" borderId="7" xfId="0" applyFont="1" applyFill="1" applyBorder="1"/>
    <xf numFmtId="0" fontId="11" fillId="4" borderId="7" xfId="0" applyFont="1" applyFill="1" applyBorder="1"/>
    <xf numFmtId="1" fontId="11" fillId="2" borderId="0" xfId="0" applyNumberFormat="1" applyFont="1" applyFill="1" applyBorder="1" applyAlignment="1">
      <alignment horizontal="left" vertical="center"/>
    </xf>
    <xf numFmtId="169" fontId="11" fillId="2" borderId="0" xfId="0" applyNumberFormat="1" applyFont="1" applyFill="1" applyBorder="1" applyAlignment="1">
      <alignment horizontal="left" vertical="center"/>
    </xf>
    <xf numFmtId="170" fontId="11" fillId="2" borderId="0" xfId="0" applyNumberFormat="1" applyFont="1" applyFill="1" applyBorder="1" applyAlignment="1">
      <alignment horizontal="left" vertical="center"/>
    </xf>
    <xf numFmtId="0" fontId="11" fillId="2" borderId="0" xfId="0" applyNumberFormat="1" applyFont="1" applyFill="1" applyBorder="1" applyAlignment="1">
      <alignment horizontal="left" vertical="center"/>
    </xf>
    <xf numFmtId="0" fontId="11" fillId="2" borderId="0" xfId="0" applyNumberFormat="1" applyFont="1" applyFill="1" applyBorder="1" applyAlignment="1">
      <alignment horizontal="left"/>
    </xf>
    <xf numFmtId="1" fontId="11" fillId="2" borderId="0" xfId="0" applyNumberFormat="1" applyFont="1" applyFill="1" applyBorder="1" applyAlignment="1">
      <alignment horizontal="center" vertical="center"/>
    </xf>
    <xf numFmtId="0" fontId="11" fillId="2" borderId="0" xfId="0" applyFont="1" applyFill="1" applyBorder="1"/>
    <xf numFmtId="0" fontId="11" fillId="2" borderId="7" xfId="0" applyFont="1" applyFill="1" applyBorder="1" applyAlignment="1">
      <alignment horizontal="left"/>
    </xf>
    <xf numFmtId="0" fontId="11" fillId="5" borderId="7" xfId="0" applyFont="1" applyFill="1" applyBorder="1" applyAlignment="1">
      <alignment horizontal="left"/>
    </xf>
    <xf numFmtId="0" fontId="0" fillId="2" borderId="0" xfId="0" applyNumberFormat="1" applyFont="1" applyFill="1" applyBorder="1" applyAlignment="1">
      <alignment horizontal="left"/>
    </xf>
    <xf numFmtId="0" fontId="0" fillId="2" borderId="0" xfId="0" applyNumberFormat="1" applyFont="1" applyFill="1" applyBorder="1" applyAlignment="1">
      <alignment horizontal="left" vertical="center"/>
    </xf>
    <xf numFmtId="0" fontId="9" fillId="4" borderId="7" xfId="0" applyFont="1" applyFill="1" applyBorder="1" applyProtection="1">
      <protection locked="0"/>
    </xf>
    <xf numFmtId="1" fontId="10" fillId="2" borderId="0" xfId="0" applyNumberFormat="1" applyFont="1" applyFill="1" applyProtection="1"/>
    <xf numFmtId="0" fontId="10" fillId="2" borderId="0" xfId="0" applyFont="1" applyFill="1" applyProtection="1"/>
    <xf numFmtId="0" fontId="0" fillId="2" borderId="0" xfId="0" applyFont="1" applyFill="1" applyAlignment="1" applyProtection="1">
      <alignment wrapText="1"/>
      <protection locked="0"/>
    </xf>
    <xf numFmtId="0" fontId="0" fillId="2" borderId="0" xfId="0" applyFont="1" applyFill="1" applyBorder="1" applyAlignment="1" applyProtection="1">
      <alignment horizontal="center"/>
      <protection locked="0"/>
    </xf>
    <xf numFmtId="0" fontId="49" fillId="2" borderId="0" xfId="1" applyNumberFormat="1" applyFont="1" applyFill="1" applyBorder="1" applyAlignment="1" applyProtection="1">
      <alignment horizontal="right"/>
      <protection locked="0" hidden="1"/>
    </xf>
    <xf numFmtId="0" fontId="49" fillId="2" borderId="0" xfId="1" applyNumberFormat="1" applyFont="1" applyFill="1" applyBorder="1" applyAlignment="1" applyProtection="1">
      <protection locked="0" hidden="1"/>
    </xf>
    <xf numFmtId="0" fontId="11" fillId="2" borderId="0" xfId="0" applyFont="1" applyFill="1" applyBorder="1" applyProtection="1">
      <protection locked="0"/>
    </xf>
    <xf numFmtId="0" fontId="9" fillId="2" borderId="0" xfId="0" applyFont="1" applyFill="1" applyBorder="1" applyAlignment="1" applyProtection="1">
      <alignment horizontal="center"/>
      <protection locked="0"/>
    </xf>
    <xf numFmtId="0" fontId="9" fillId="2" borderId="0" xfId="0" applyFont="1" applyFill="1" applyBorder="1" applyAlignment="1" applyProtection="1">
      <protection locked="0"/>
    </xf>
    <xf numFmtId="0" fontId="9" fillId="0" borderId="0" xfId="0" applyFont="1" applyFill="1" applyBorder="1" applyProtection="1">
      <protection locked="0"/>
    </xf>
    <xf numFmtId="0" fontId="11" fillId="0" borderId="0" xfId="0" applyFont="1" applyFill="1" applyBorder="1" applyProtection="1">
      <protection locked="0"/>
    </xf>
    <xf numFmtId="171" fontId="11" fillId="2" borderId="7" xfId="0" applyNumberFormat="1" applyFont="1" applyFill="1" applyBorder="1" applyAlignment="1" applyProtection="1">
      <alignment horizontal="left"/>
      <protection locked="0"/>
    </xf>
    <xf numFmtId="165" fontId="11" fillId="2" borderId="7" xfId="0" applyNumberFormat="1" applyFont="1" applyFill="1" applyBorder="1" applyAlignment="1" applyProtection="1">
      <alignment horizontal="left" wrapText="1"/>
      <protection locked="0"/>
    </xf>
    <xf numFmtId="166" fontId="11" fillId="2" borderId="7" xfId="0" applyNumberFormat="1" applyFont="1" applyFill="1" applyBorder="1" applyProtection="1">
      <protection locked="0"/>
    </xf>
    <xf numFmtId="0" fontId="11" fillId="2" borderId="7" xfId="0" applyFont="1" applyFill="1" applyBorder="1" applyAlignment="1" applyProtection="1">
      <protection locked="0"/>
    </xf>
    <xf numFmtId="0" fontId="11" fillId="2" borderId="0" xfId="0" applyFont="1" applyFill="1" applyBorder="1" applyAlignment="1" applyProtection="1">
      <alignment horizontal="center"/>
      <protection locked="0"/>
    </xf>
    <xf numFmtId="0" fontId="11" fillId="2" borderId="7" xfId="0" applyFont="1" applyFill="1" applyBorder="1" applyProtection="1">
      <protection locked="0"/>
    </xf>
    <xf numFmtId="171" fontId="11" fillId="5" borderId="7" xfId="0" applyNumberFormat="1" applyFont="1" applyFill="1" applyBorder="1" applyAlignment="1" applyProtection="1">
      <alignment horizontal="left"/>
      <protection locked="0"/>
    </xf>
    <xf numFmtId="165" fontId="11" fillId="5" borderId="7" xfId="0" applyNumberFormat="1" applyFont="1" applyFill="1" applyBorder="1" applyAlignment="1" applyProtection="1">
      <alignment horizontal="left" wrapText="1"/>
      <protection locked="0"/>
    </xf>
    <xf numFmtId="166" fontId="11" fillId="5" borderId="7" xfId="0" applyNumberFormat="1" applyFont="1" applyFill="1" applyBorder="1" applyProtection="1">
      <protection locked="0"/>
    </xf>
    <xf numFmtId="0" fontId="11" fillId="5" borderId="7" xfId="0" applyFont="1" applyFill="1" applyBorder="1" applyAlignment="1" applyProtection="1">
      <protection locked="0"/>
    </xf>
    <xf numFmtId="0" fontId="11" fillId="5" borderId="7" xfId="0" applyFont="1" applyFill="1" applyBorder="1" applyProtection="1">
      <protection locked="0"/>
    </xf>
    <xf numFmtId="1" fontId="11" fillId="2" borderId="0" xfId="0" applyNumberFormat="1" applyFont="1" applyFill="1" applyBorder="1" applyProtection="1"/>
    <xf numFmtId="0" fontId="11" fillId="2" borderId="0" xfId="0" applyFont="1" applyFill="1" applyBorder="1" applyProtection="1"/>
    <xf numFmtId="0" fontId="11" fillId="2" borderId="0" xfId="0" applyFont="1" applyFill="1" applyBorder="1" applyAlignment="1" applyProtection="1">
      <alignment horizontal="left"/>
    </xf>
    <xf numFmtId="166" fontId="11" fillId="2" borderId="0" xfId="0" applyNumberFormat="1" applyFont="1" applyFill="1" applyBorder="1" applyProtection="1"/>
    <xf numFmtId="165" fontId="11" fillId="2" borderId="0" xfId="0" applyNumberFormat="1" applyFont="1" applyFill="1" applyBorder="1" applyAlignment="1" applyProtection="1">
      <alignment horizontal="left"/>
    </xf>
    <xf numFmtId="0" fontId="0" fillId="2" borderId="8" xfId="0" applyFont="1" applyFill="1" applyBorder="1" applyProtection="1">
      <protection locked="0"/>
    </xf>
    <xf numFmtId="1" fontId="0" fillId="2" borderId="8" xfId="0" applyNumberFormat="1" applyFont="1" applyFill="1" applyBorder="1" applyProtection="1">
      <protection locked="0"/>
    </xf>
    <xf numFmtId="0" fontId="0" fillId="2" borderId="8" xfId="0" applyFont="1" applyFill="1" applyBorder="1" applyAlignment="1" applyProtection="1">
      <alignment horizontal="left"/>
      <protection locked="0"/>
    </xf>
    <xf numFmtId="0" fontId="0" fillId="2" borderId="8" xfId="0" applyFont="1" applyFill="1" applyBorder="1" applyAlignment="1" applyProtection="1">
      <protection locked="0"/>
    </xf>
    <xf numFmtId="0" fontId="0" fillId="2" borderId="8" xfId="0" applyFont="1" applyFill="1" applyBorder="1" applyAlignment="1" applyProtection="1">
      <alignment horizontal="center"/>
      <protection locked="0"/>
    </xf>
    <xf numFmtId="0" fontId="0" fillId="2" borderId="24" xfId="0" applyFont="1" applyFill="1" applyBorder="1" applyProtection="1">
      <protection locked="0"/>
    </xf>
    <xf numFmtId="0" fontId="26" fillId="21" borderId="0" xfId="0" applyFont="1" applyFill="1" applyBorder="1"/>
    <xf numFmtId="0" fontId="26" fillId="21" borderId="20" xfId="0" applyFont="1" applyFill="1" applyBorder="1"/>
    <xf numFmtId="0" fontId="50" fillId="0" borderId="0" xfId="0" applyFont="1"/>
    <xf numFmtId="0" fontId="51" fillId="0" borderId="0" xfId="0" applyFont="1"/>
    <xf numFmtId="0" fontId="51" fillId="0" borderId="0" xfId="0" applyFont="1" applyFill="1"/>
    <xf numFmtId="0" fontId="0" fillId="22" borderId="0" xfId="0" applyFill="1"/>
    <xf numFmtId="0" fontId="0" fillId="0" borderId="0" xfId="0" applyFont="1"/>
    <xf numFmtId="0" fontId="26" fillId="23" borderId="20" xfId="0" applyFont="1" applyFill="1" applyBorder="1"/>
    <xf numFmtId="1" fontId="23" fillId="9" borderId="0" xfId="0" applyNumberFormat="1" applyFont="1" applyFill="1"/>
    <xf numFmtId="1" fontId="23" fillId="10" borderId="0" xfId="0" applyNumberFormat="1" applyFont="1" applyFill="1"/>
    <xf numFmtId="1" fontId="23" fillId="14" borderId="0" xfId="0" applyNumberFormat="1" applyFont="1" applyFill="1"/>
    <xf numFmtId="1" fontId="23" fillId="15" borderId="0" xfId="0" applyNumberFormat="1" applyFont="1" applyFill="1"/>
    <xf numFmtId="1" fontId="23" fillId="16" borderId="0" xfId="0" applyNumberFormat="1" applyFont="1" applyFill="1"/>
    <xf numFmtId="1" fontId="23" fillId="17" borderId="0" xfId="0" applyNumberFormat="1" applyFont="1" applyFill="1"/>
    <xf numFmtId="1" fontId="21" fillId="11" borderId="0" xfId="0" applyNumberFormat="1" applyFont="1" applyFill="1"/>
    <xf numFmtId="0" fontId="52" fillId="0" borderId="0" xfId="0" applyFont="1"/>
    <xf numFmtId="1" fontId="52" fillId="0" borderId="0" xfId="0" applyNumberFormat="1" applyFont="1"/>
    <xf numFmtId="0" fontId="53" fillId="0" borderId="0" xfId="0" applyFont="1" applyFill="1" applyBorder="1"/>
    <xf numFmtId="0" fontId="54" fillId="0" borderId="0" xfId="0" applyFont="1" applyFill="1" applyBorder="1"/>
    <xf numFmtId="0" fontId="54" fillId="0" borderId="19" xfId="0" applyFont="1" applyFill="1" applyBorder="1"/>
    <xf numFmtId="0" fontId="21" fillId="0" borderId="0" xfId="0" applyNumberFormat="1" applyFont="1"/>
    <xf numFmtId="0" fontId="28" fillId="0" borderId="0" xfId="0" applyNumberFormat="1" applyFont="1"/>
    <xf numFmtId="0" fontId="55" fillId="9" borderId="0" xfId="0" applyFont="1" applyFill="1"/>
    <xf numFmtId="0" fontId="4" fillId="2" borderId="0" xfId="0" applyFont="1" applyFill="1" applyBorder="1" applyAlignment="1" applyProtection="1"/>
    <xf numFmtId="0" fontId="0" fillId="2" borderId="0" xfId="0" applyFont="1" applyFill="1" applyBorder="1" applyAlignment="1" applyProtection="1"/>
    <xf numFmtId="0" fontId="8" fillId="3" borderId="1" xfId="1" applyNumberFormat="1" applyFont="1" applyFill="1" applyBorder="1" applyAlignment="1" applyProtection="1">
      <protection locked="0"/>
    </xf>
    <xf numFmtId="0" fontId="11" fillId="5" borderId="7" xfId="0" applyFont="1" applyFill="1" applyBorder="1" applyAlignment="1" applyProtection="1">
      <alignment horizontal="center"/>
      <protection locked="0"/>
    </xf>
    <xf numFmtId="0" fontId="14" fillId="2" borderId="1" xfId="0" applyFont="1" applyFill="1" applyBorder="1" applyAlignment="1" applyProtection="1">
      <alignment horizontal="center"/>
    </xf>
    <xf numFmtId="0" fontId="9" fillId="4" borderId="7" xfId="0" applyFont="1" applyFill="1" applyBorder="1" applyAlignment="1" applyProtection="1">
      <alignment horizontal="center"/>
    </xf>
    <xf numFmtId="0" fontId="11" fillId="2" borderId="7" xfId="0" applyFont="1" applyFill="1" applyBorder="1" applyAlignment="1" applyProtection="1">
      <alignment horizontal="center"/>
      <protection locked="0"/>
    </xf>
    <xf numFmtId="0" fontId="9" fillId="2" borderId="14" xfId="0" applyFont="1" applyFill="1" applyBorder="1" applyAlignment="1" applyProtection="1">
      <alignment horizontal="center"/>
    </xf>
    <xf numFmtId="0" fontId="16" fillId="2" borderId="14" xfId="0" applyFont="1" applyFill="1" applyBorder="1" applyAlignment="1" applyProtection="1">
      <alignment horizontal="center"/>
    </xf>
    <xf numFmtId="0" fontId="0" fillId="2" borderId="0" xfId="0" applyNumberFormat="1" applyFont="1" applyFill="1" applyBorder="1" applyAlignment="1">
      <alignment horizontal="left" vertical="center"/>
    </xf>
    <xf numFmtId="0" fontId="9" fillId="4" borderId="7" xfId="0" applyFont="1" applyFill="1" applyBorder="1" applyAlignment="1" applyProtection="1"/>
    <xf numFmtId="1" fontId="9" fillId="4" borderId="7" xfId="0" applyNumberFormat="1" applyFont="1" applyFill="1" applyBorder="1" applyAlignment="1" applyProtection="1"/>
    <xf numFmtId="0" fontId="56" fillId="0" borderId="0" xfId="0" applyFont="1"/>
    <xf numFmtId="0" fontId="56" fillId="10" borderId="0" xfId="0" applyNumberFormat="1" applyFont="1" applyFill="1"/>
    <xf numFmtId="0" fontId="56" fillId="10" borderId="0" xfId="0" applyFont="1" applyFill="1"/>
    <xf numFmtId="0" fontId="57" fillId="0" borderId="0" xfId="0" applyFont="1"/>
    <xf numFmtId="0" fontId="57" fillId="0" borderId="0" xfId="0" applyFont="1" applyFill="1"/>
  </cellXfs>
  <cellStyles count="5">
    <cellStyle name="Hyperlink" xfId="1" builtinId="8"/>
    <cellStyle name="Hyperlink 2" xfId="2"/>
    <cellStyle name="Standaard" xfId="0" builtinId="0"/>
    <cellStyle name="Standaard 2" xfId="3"/>
    <cellStyle name="Standaard 2 2" xfId="4"/>
  </cellStyles>
  <dxfs count="4">
    <dxf>
      <font>
        <b val="0"/>
        <i val="0"/>
        <strike val="0"/>
        <condense val="0"/>
        <extend val="0"/>
        <u val="none"/>
        <sz val="10"/>
        <color indexed="10"/>
      </font>
      <fill>
        <patternFill patternType="none">
          <fgColor indexed="64"/>
          <bgColor indexed="65"/>
        </patternFill>
      </fill>
      <border>
        <left/>
        <right/>
        <top/>
        <bottom/>
      </border>
    </dxf>
    <dxf>
      <font>
        <b/>
        <i val="0"/>
        <strike val="0"/>
        <condense val="0"/>
        <extend val="0"/>
        <u val="none"/>
        <sz val="10"/>
        <color indexed="9"/>
      </font>
      <fill>
        <patternFill patternType="solid">
          <fgColor indexed="16"/>
          <bgColor indexed="10"/>
        </patternFill>
      </fill>
      <border>
        <left/>
        <right/>
        <top/>
        <bottom/>
      </border>
    </dxf>
    <dxf>
      <font>
        <b val="0"/>
        <i val="0"/>
        <strike val="0"/>
        <condense val="0"/>
        <extend val="0"/>
        <u val="none"/>
        <sz val="10"/>
        <color indexed="0"/>
      </font>
      <fill>
        <patternFill patternType="solid">
          <fgColor indexed="16"/>
          <bgColor indexed="10"/>
        </patternFill>
      </fill>
      <border>
        <left/>
        <right/>
        <top/>
        <bottom/>
      </border>
    </dxf>
    <dxf>
      <font>
        <b val="0"/>
        <i val="0"/>
        <strike val="0"/>
        <condense val="0"/>
        <extend val="0"/>
        <u val="none"/>
        <sz val="10"/>
        <color indexed="10"/>
      </font>
      <fill>
        <patternFill patternType="none">
          <fgColor indexed="64"/>
          <bgColor indexed="65"/>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2D050"/>
      <rgbColor rgb="000000FF"/>
      <rgbColor rgb="00FFFF00"/>
      <rgbColor rgb="00F79646"/>
      <rgbColor rgb="0077B6CC"/>
      <rgbColor rgb="00C00000"/>
      <rgbColor rgb="00789142"/>
      <rgbColor rgb="00000080"/>
      <rgbColor rgb="0077933C"/>
      <rgbColor rgb="00C77978"/>
      <rgbColor rgb="003A6293"/>
      <rgbColor rgb="00BDB4CB"/>
      <rgbColor rgb="00808080"/>
      <rgbColor rgb="008EB4E3"/>
      <rgbColor rgb="00953B38"/>
      <rgbColor rgb="00E8F6C0"/>
      <rgbColor rgb="00E6E6E6"/>
      <rgbColor rgb="00660066"/>
      <rgbColor rgb="00FF8080"/>
      <rgbColor rgb="000070C0"/>
      <rgbColor rgb="00CCCCCC"/>
      <rgbColor rgb="00000080"/>
      <rgbColor rgb="00F5A574"/>
      <rgbColor rgb="00FFC000"/>
      <rgbColor rgb="007997C4"/>
      <rgbColor rgb="00C3D69B"/>
      <rgbColor rgb="00E5883B"/>
      <rgbColor rgb="00558ED5"/>
      <rgbColor rgb="000000FF"/>
      <rgbColor rgb="0000B0F0"/>
      <rgbColor rgb="00D9D9D9"/>
      <rgbColor rgb="00D7E4BD"/>
      <rgbColor rgb="00C7D6B1"/>
      <rgbColor rgb="00B0BED7"/>
      <rgbColor rgb="00D9B0B0"/>
      <rgbColor rgb="0095B3D7"/>
      <rgbColor rgb="00FFCC99"/>
      <rgbColor rgb="004475B0"/>
      <rgbColor rgb="00419FB7"/>
      <rgbColor rgb="0099CC00"/>
      <rgbColor rgb="00FFCC00"/>
      <rgbColor rgb="00FF9900"/>
      <rgbColor rgb="00FF6600"/>
      <rgbColor rgb="00745994"/>
      <rgbColor rgb="00A6A6A6"/>
      <rgbColor rgb="008EAD4F"/>
      <rgbColor rgb="0037859A"/>
      <rgbColor rgb="00A9C37E"/>
      <rgbColor rgb="009684AF"/>
      <rgbColor rgb="00E46C0A"/>
      <rgbColor rgb="00B24543"/>
      <rgbColor rgb="00624B7D"/>
      <rgbColor rgb="00404040"/>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nl-NL"/>
  <c:chart>
    <c:title>
      <c:tx>
        <c:rich>
          <a:bodyPr/>
          <a:lstStyle/>
          <a:p>
            <a:pPr>
              <a:defRPr sz="2000" b="1" i="0" u="none" strike="noStrike" baseline="0">
                <a:solidFill>
                  <a:srgbClr val="FFFF00"/>
                </a:solidFill>
                <a:latin typeface="Arial"/>
                <a:ea typeface="Arial"/>
                <a:cs typeface="Arial"/>
              </a:defRPr>
            </a:pPr>
            <a:r>
              <a:rPr lang="nl-NL" sz="2000"/>
              <a:t>Lothar's Loterij - WK2010</a:t>
            </a:r>
          </a:p>
        </c:rich>
      </c:tx>
      <c:layout>
        <c:manualLayout>
          <c:xMode val="edge"/>
          <c:yMode val="edge"/>
          <c:x val="0.43313304721030044"/>
          <c:y val="2.6389444222311081E-2"/>
        </c:manualLayout>
      </c:layout>
      <c:spPr>
        <a:noFill/>
        <a:ln w="25400">
          <a:noFill/>
        </a:ln>
      </c:spPr>
    </c:title>
    <c:plotArea>
      <c:layout>
        <c:manualLayout>
          <c:layoutTarget val="inner"/>
          <c:xMode val="edge"/>
          <c:yMode val="edge"/>
          <c:x val="2.8326180257510727E-2"/>
          <c:y val="0.11515393842463016"/>
          <c:w val="0.90077253218884301"/>
          <c:h val="0.81087564974010395"/>
        </c:manualLayout>
      </c:layout>
      <c:lineChart>
        <c:grouping val="standard"/>
        <c:ser>
          <c:idx val="0"/>
          <c:order val="0"/>
          <c:tx>
            <c:strRef>
              <c:f>score!$AA$1</c:f>
              <c:strCache>
                <c:ptCount val="1"/>
                <c:pt idx="0">
                  <c:v>Leen</c:v>
                </c:pt>
              </c:strCache>
            </c:strRef>
          </c:tx>
          <c:spPr>
            <a:ln w="38100">
              <a:solidFill>
                <a:srgbClr val="FF8080"/>
              </a:solidFill>
              <a:prstDash val="solid"/>
            </a:ln>
          </c:spPr>
          <c:marker>
            <c:symbol val="circle"/>
            <c:size val="5"/>
            <c:spPr>
              <a:solidFill>
                <a:srgbClr val="FF8080"/>
              </a:solidFill>
              <a:ln>
                <a:solidFill>
                  <a:srgbClr val="FF8080"/>
                </a:solidFill>
                <a:prstDash val="solid"/>
              </a:ln>
            </c:spPr>
          </c:marker>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score!$AA$2:$AA$77</c:f>
              <c:numCache>
                <c:formatCode>0.0</c:formatCode>
                <c:ptCount val="49"/>
                <c:pt idx="0">
                  <c:v>-2.7272727272727271</c:v>
                </c:pt>
                <c:pt idx="1">
                  <c:v>-7.5</c:v>
                </c:pt>
                <c:pt idx="2">
                  <c:v>-13.181818181818183</c:v>
                </c:pt>
                <c:pt idx="3">
                  <c:v>-13.18181818181818</c:v>
                </c:pt>
                <c:pt idx="4">
                  <c:v>-9.3181818181818201</c:v>
                </c:pt>
                <c:pt idx="5">
                  <c:v>-14.772727272727273</c:v>
                </c:pt>
                <c:pt idx="6">
                  <c:v>-9.3181818181818201</c:v>
                </c:pt>
                <c:pt idx="7">
                  <c:v>-10.909090909090907</c:v>
                </c:pt>
                <c:pt idx="8">
                  <c:v>0.45454545454545325</c:v>
                </c:pt>
                <c:pt idx="9">
                  <c:v>4.318181818181813</c:v>
                </c:pt>
                <c:pt idx="10">
                  <c:v>4.0909090909090935</c:v>
                </c:pt>
                <c:pt idx="11">
                  <c:v>5.9090909090909065</c:v>
                </c:pt>
                <c:pt idx="12">
                  <c:v>5</c:v>
                </c:pt>
                <c:pt idx="13">
                  <c:v>-0.22727272727273373</c:v>
                </c:pt>
                <c:pt idx="14">
                  <c:v>-2.9545454545454533</c:v>
                </c:pt>
                <c:pt idx="15">
                  <c:v>-1.818181818181813</c:v>
                </c:pt>
                <c:pt idx="16">
                  <c:v>-1.3636363636363598</c:v>
                </c:pt>
                <c:pt idx="17">
                  <c:v>3.181818181818187</c:v>
                </c:pt>
                <c:pt idx="18">
                  <c:v>3.636363636363626</c:v>
                </c:pt>
                <c:pt idx="19">
                  <c:v>1.818181818181813</c:v>
                </c:pt>
                <c:pt idx="20">
                  <c:v>0.45454545454546746</c:v>
                </c:pt>
                <c:pt idx="21">
                  <c:v>0</c:v>
                </c:pt>
                <c:pt idx="22">
                  <c:v>-0.45454545454546746</c:v>
                </c:pt>
                <c:pt idx="23">
                  <c:v>0</c:v>
                </c:pt>
                <c:pt idx="24">
                  <c:v>0</c:v>
                </c:pt>
                <c:pt idx="25">
                  <c:v>-0.68181818181818699</c:v>
                </c:pt>
                <c:pt idx="26">
                  <c:v>-0.22727272727271952</c:v>
                </c:pt>
                <c:pt idx="27">
                  <c:v>2.7272727272727195</c:v>
                </c:pt>
                <c:pt idx="28">
                  <c:v>3.181818181818187</c:v>
                </c:pt>
                <c:pt idx="29">
                  <c:v>7.2727272727272805</c:v>
                </c:pt>
                <c:pt idx="30">
                  <c:v>7.5</c:v>
                </c:pt>
                <c:pt idx="31">
                  <c:v>10.909090909090907</c:v>
                </c:pt>
                <c:pt idx="32">
                  <c:v>15</c:v>
                </c:pt>
                <c:pt idx="33">
                  <c:v>11.590909090909093</c:v>
                </c:pt>
                <c:pt idx="34">
                  <c:v>9.7727272727272805</c:v>
                </c:pt>
                <c:pt idx="35">
                  <c:v>10.681818181818187</c:v>
                </c:pt>
                <c:pt idx="36">
                  <c:v>6.136363636363626</c:v>
                </c:pt>
                <c:pt idx="37">
                  <c:v>5.2272727272727195</c:v>
                </c:pt>
                <c:pt idx="38">
                  <c:v>4.5454545454545325</c:v>
                </c:pt>
                <c:pt idx="39">
                  <c:v>2.7272727272727479</c:v>
                </c:pt>
                <c:pt idx="40">
                  <c:v>3.863636363636374</c:v>
                </c:pt>
                <c:pt idx="41">
                  <c:v>5.9090909090909349</c:v>
                </c:pt>
                <c:pt idx="42">
                  <c:v>19.318181818181813</c:v>
                </c:pt>
                <c:pt idx="43">
                  <c:v>8.863636363636374</c:v>
                </c:pt>
                <c:pt idx="44">
                  <c:v>11.590909090909065</c:v>
                </c:pt>
                <c:pt idx="45">
                  <c:v>12.272727272727252</c:v>
                </c:pt>
                <c:pt idx="46">
                  <c:v>73.636363636363626</c:v>
                </c:pt>
                <c:pt idx="47">
                  <c:v>75</c:v>
                </c:pt>
                <c:pt idx="48">
                  <c:v>78.636363636363626</c:v>
                </c:pt>
              </c:numCache>
            </c:numRef>
          </c:val>
        </c:ser>
        <c:ser>
          <c:idx val="1"/>
          <c:order val="1"/>
          <c:tx>
            <c:strRef>
              <c:f>score!$AB$1</c:f>
              <c:strCache>
                <c:ptCount val="1"/>
                <c:pt idx="0">
                  <c:v>Willem</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score!$AB$2:$AB$77</c:f>
              <c:numCache>
                <c:formatCode>0.0</c:formatCode>
                <c:ptCount val="49"/>
                <c:pt idx="0">
                  <c:v>7.2727272727272734</c:v>
                </c:pt>
                <c:pt idx="1">
                  <c:v>7.5</c:v>
                </c:pt>
                <c:pt idx="2">
                  <c:v>1.8181818181818166</c:v>
                </c:pt>
                <c:pt idx="3">
                  <c:v>1.8181818181818201</c:v>
                </c:pt>
                <c:pt idx="4">
                  <c:v>0.68181818181817988</c:v>
                </c:pt>
                <c:pt idx="5">
                  <c:v>-4.7727272727272734</c:v>
                </c:pt>
                <c:pt idx="6">
                  <c:v>-9.3181818181818201</c:v>
                </c:pt>
                <c:pt idx="7">
                  <c:v>-5.9090909090909065</c:v>
                </c:pt>
                <c:pt idx="8">
                  <c:v>0.45454545454545325</c:v>
                </c:pt>
                <c:pt idx="9">
                  <c:v>-0.68181818181818699</c:v>
                </c:pt>
                <c:pt idx="10">
                  <c:v>-0.90909090909090651</c:v>
                </c:pt>
                <c:pt idx="11">
                  <c:v>-9.0909090909090935</c:v>
                </c:pt>
                <c:pt idx="12">
                  <c:v>-10</c:v>
                </c:pt>
                <c:pt idx="13">
                  <c:v>-5.2272727272727337</c:v>
                </c:pt>
                <c:pt idx="14">
                  <c:v>-7.9545454545454533</c:v>
                </c:pt>
                <c:pt idx="15">
                  <c:v>-6.818181818181813</c:v>
                </c:pt>
                <c:pt idx="16">
                  <c:v>-11.36363636363636</c:v>
                </c:pt>
                <c:pt idx="17">
                  <c:v>-6.818181818181813</c:v>
                </c:pt>
                <c:pt idx="18">
                  <c:v>-6.363636363636374</c:v>
                </c:pt>
                <c:pt idx="19">
                  <c:v>-8.181818181818187</c:v>
                </c:pt>
                <c:pt idx="20">
                  <c:v>-9.5454545454545325</c:v>
                </c:pt>
                <c:pt idx="21">
                  <c:v>-10</c:v>
                </c:pt>
                <c:pt idx="22">
                  <c:v>-10.454545454545467</c:v>
                </c:pt>
                <c:pt idx="23">
                  <c:v>-10</c:v>
                </c:pt>
                <c:pt idx="24">
                  <c:v>-10</c:v>
                </c:pt>
                <c:pt idx="25">
                  <c:v>-15.681818181818187</c:v>
                </c:pt>
                <c:pt idx="26">
                  <c:v>-15.22727272727272</c:v>
                </c:pt>
                <c:pt idx="27">
                  <c:v>-17.27272727272728</c:v>
                </c:pt>
                <c:pt idx="28">
                  <c:v>-16.818181818181813</c:v>
                </c:pt>
                <c:pt idx="29">
                  <c:v>-22.72727272727272</c:v>
                </c:pt>
                <c:pt idx="30">
                  <c:v>-22.5</c:v>
                </c:pt>
                <c:pt idx="31">
                  <c:v>-19.090909090909093</c:v>
                </c:pt>
                <c:pt idx="32">
                  <c:v>-15</c:v>
                </c:pt>
                <c:pt idx="33">
                  <c:v>-13.409090909090907</c:v>
                </c:pt>
                <c:pt idx="34">
                  <c:v>-10.22727272727272</c:v>
                </c:pt>
                <c:pt idx="35">
                  <c:v>-14.318181818181813</c:v>
                </c:pt>
                <c:pt idx="36">
                  <c:v>-13.863636363636374</c:v>
                </c:pt>
                <c:pt idx="37">
                  <c:v>-14.77272727272728</c:v>
                </c:pt>
                <c:pt idx="38">
                  <c:v>-15.454545454545467</c:v>
                </c:pt>
                <c:pt idx="39">
                  <c:v>-12.272727272727252</c:v>
                </c:pt>
                <c:pt idx="40">
                  <c:v>-11.136363636363626</c:v>
                </c:pt>
                <c:pt idx="41">
                  <c:v>-9.0909090909090651</c:v>
                </c:pt>
                <c:pt idx="42">
                  <c:v>9.318181818181813</c:v>
                </c:pt>
                <c:pt idx="43">
                  <c:v>-1.136363636363626</c:v>
                </c:pt>
                <c:pt idx="44">
                  <c:v>1.5909090909090651</c:v>
                </c:pt>
                <c:pt idx="45">
                  <c:v>2.2727272727272521</c:v>
                </c:pt>
                <c:pt idx="46">
                  <c:v>63.636363636363626</c:v>
                </c:pt>
                <c:pt idx="47">
                  <c:v>60</c:v>
                </c:pt>
                <c:pt idx="48">
                  <c:v>63.636363636363626</c:v>
                </c:pt>
              </c:numCache>
            </c:numRef>
          </c:val>
        </c:ser>
        <c:ser>
          <c:idx val="2"/>
          <c:order val="2"/>
          <c:tx>
            <c:strRef>
              <c:f>score!$AC$1</c:f>
              <c:strCache>
                <c:ptCount val="1"/>
                <c:pt idx="0">
                  <c:v>Paul</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score!$AC$2:$AC$77</c:f>
              <c:numCache>
                <c:formatCode>0.0</c:formatCode>
                <c:ptCount val="49"/>
                <c:pt idx="0">
                  <c:v>-2.7272727272727271</c:v>
                </c:pt>
                <c:pt idx="1">
                  <c:v>2.5</c:v>
                </c:pt>
                <c:pt idx="2">
                  <c:v>6.8181818181818166</c:v>
                </c:pt>
                <c:pt idx="3">
                  <c:v>1.8181818181818201</c:v>
                </c:pt>
                <c:pt idx="4">
                  <c:v>-4.3181818181818201</c:v>
                </c:pt>
                <c:pt idx="5">
                  <c:v>-4.7727272727272734</c:v>
                </c:pt>
                <c:pt idx="6">
                  <c:v>-4.3181818181818201</c:v>
                </c:pt>
                <c:pt idx="7">
                  <c:v>-5.9090909090909065</c:v>
                </c:pt>
                <c:pt idx="8">
                  <c:v>-4.5454545454545467</c:v>
                </c:pt>
                <c:pt idx="9">
                  <c:v>-5.681818181818187</c:v>
                </c:pt>
                <c:pt idx="10">
                  <c:v>-5.9090909090909065</c:v>
                </c:pt>
                <c:pt idx="11">
                  <c:v>-4.0909090909090935</c:v>
                </c:pt>
                <c:pt idx="12">
                  <c:v>-5</c:v>
                </c:pt>
                <c:pt idx="13">
                  <c:v>-5.2272727272727337</c:v>
                </c:pt>
                <c:pt idx="14">
                  <c:v>2.0454545454545467</c:v>
                </c:pt>
                <c:pt idx="15">
                  <c:v>-1.818181818181813</c:v>
                </c:pt>
                <c:pt idx="16">
                  <c:v>-1.3636363636363598</c:v>
                </c:pt>
                <c:pt idx="17">
                  <c:v>-6.818181818181813</c:v>
                </c:pt>
                <c:pt idx="18">
                  <c:v>-6.363636363636374</c:v>
                </c:pt>
                <c:pt idx="19">
                  <c:v>-8.181818181818187</c:v>
                </c:pt>
                <c:pt idx="20">
                  <c:v>-9.5454545454545325</c:v>
                </c:pt>
                <c:pt idx="21">
                  <c:v>-10</c:v>
                </c:pt>
                <c:pt idx="22">
                  <c:v>-10.454545454545467</c:v>
                </c:pt>
                <c:pt idx="23">
                  <c:v>-10</c:v>
                </c:pt>
                <c:pt idx="24">
                  <c:v>-10</c:v>
                </c:pt>
                <c:pt idx="25">
                  <c:v>-5.681818181818187</c:v>
                </c:pt>
                <c:pt idx="26">
                  <c:v>-5.2272727272727195</c:v>
                </c:pt>
                <c:pt idx="27">
                  <c:v>-7.2727272727272805</c:v>
                </c:pt>
                <c:pt idx="28">
                  <c:v>-6.818181818181813</c:v>
                </c:pt>
                <c:pt idx="29">
                  <c:v>-2.7272727272727195</c:v>
                </c:pt>
                <c:pt idx="30">
                  <c:v>-2.5</c:v>
                </c:pt>
                <c:pt idx="31">
                  <c:v>-4.0909090909090935</c:v>
                </c:pt>
                <c:pt idx="32">
                  <c:v>-10</c:v>
                </c:pt>
                <c:pt idx="33">
                  <c:v>-13.409090909090907</c:v>
                </c:pt>
                <c:pt idx="34">
                  <c:v>-15.22727272727272</c:v>
                </c:pt>
                <c:pt idx="35">
                  <c:v>-14.318181818181813</c:v>
                </c:pt>
                <c:pt idx="36">
                  <c:v>-18.863636363636374</c:v>
                </c:pt>
                <c:pt idx="37">
                  <c:v>-19.77272727272728</c:v>
                </c:pt>
                <c:pt idx="38">
                  <c:v>-20.454545454545467</c:v>
                </c:pt>
                <c:pt idx="39">
                  <c:v>-22.272727272727252</c:v>
                </c:pt>
                <c:pt idx="40">
                  <c:v>-26.136363636363626</c:v>
                </c:pt>
                <c:pt idx="41">
                  <c:v>-24.090909090909065</c:v>
                </c:pt>
                <c:pt idx="42">
                  <c:v>-15.681818181818187</c:v>
                </c:pt>
                <c:pt idx="43">
                  <c:v>-26.136363636363626</c:v>
                </c:pt>
                <c:pt idx="44">
                  <c:v>-23.409090909090935</c:v>
                </c:pt>
                <c:pt idx="45">
                  <c:v>-17.727272727272748</c:v>
                </c:pt>
                <c:pt idx="46">
                  <c:v>43.636363636363626</c:v>
                </c:pt>
                <c:pt idx="47">
                  <c:v>45</c:v>
                </c:pt>
                <c:pt idx="48">
                  <c:v>48.636363636363626</c:v>
                </c:pt>
              </c:numCache>
            </c:numRef>
          </c:val>
        </c:ser>
        <c:ser>
          <c:idx val="3"/>
          <c:order val="3"/>
          <c:tx>
            <c:strRef>
              <c:f>score!$AD$1</c:f>
              <c:strCache>
                <c:ptCount val="1"/>
                <c:pt idx="0">
                  <c:v>Harro</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score!$AD$2:$AD$77</c:f>
              <c:numCache>
                <c:formatCode>0.0</c:formatCode>
                <c:ptCount val="49"/>
                <c:pt idx="0">
                  <c:v>-2.7272727272727271</c:v>
                </c:pt>
                <c:pt idx="1">
                  <c:v>7.5</c:v>
                </c:pt>
                <c:pt idx="2">
                  <c:v>11.818181818181817</c:v>
                </c:pt>
                <c:pt idx="3">
                  <c:v>11.81818181818182</c:v>
                </c:pt>
                <c:pt idx="4">
                  <c:v>15.68181818181818</c:v>
                </c:pt>
                <c:pt idx="5">
                  <c:v>15.227272727272727</c:v>
                </c:pt>
                <c:pt idx="6">
                  <c:v>25.68181818181818</c:v>
                </c:pt>
                <c:pt idx="7">
                  <c:v>29.090909090909093</c:v>
                </c:pt>
                <c:pt idx="8">
                  <c:v>30.454545454545453</c:v>
                </c:pt>
                <c:pt idx="9">
                  <c:v>29.318181818181813</c:v>
                </c:pt>
                <c:pt idx="10">
                  <c:v>29.090909090909093</c:v>
                </c:pt>
                <c:pt idx="11">
                  <c:v>20.909090909090907</c:v>
                </c:pt>
                <c:pt idx="12">
                  <c:v>20</c:v>
                </c:pt>
                <c:pt idx="13">
                  <c:v>19.772727272727266</c:v>
                </c:pt>
                <c:pt idx="14">
                  <c:v>27.045454545454547</c:v>
                </c:pt>
                <c:pt idx="15">
                  <c:v>28.181818181818187</c:v>
                </c:pt>
                <c:pt idx="16">
                  <c:v>23.63636363636364</c:v>
                </c:pt>
                <c:pt idx="17">
                  <c:v>18.181818181818187</c:v>
                </c:pt>
                <c:pt idx="18">
                  <c:v>18.636363636363626</c:v>
                </c:pt>
                <c:pt idx="19">
                  <c:v>16.818181818181813</c:v>
                </c:pt>
                <c:pt idx="20">
                  <c:v>25.454545454545467</c:v>
                </c:pt>
                <c:pt idx="21">
                  <c:v>25</c:v>
                </c:pt>
                <c:pt idx="22">
                  <c:v>24.545454545454533</c:v>
                </c:pt>
                <c:pt idx="23">
                  <c:v>25</c:v>
                </c:pt>
                <c:pt idx="24">
                  <c:v>25</c:v>
                </c:pt>
                <c:pt idx="25">
                  <c:v>29.318181818181813</c:v>
                </c:pt>
                <c:pt idx="26">
                  <c:v>29.77272727272728</c:v>
                </c:pt>
                <c:pt idx="27">
                  <c:v>27.72727272727272</c:v>
                </c:pt>
                <c:pt idx="28">
                  <c:v>23.181818181818187</c:v>
                </c:pt>
                <c:pt idx="29">
                  <c:v>27.27272727272728</c:v>
                </c:pt>
                <c:pt idx="30">
                  <c:v>27.5</c:v>
                </c:pt>
                <c:pt idx="31">
                  <c:v>25.909090909090907</c:v>
                </c:pt>
                <c:pt idx="32">
                  <c:v>20</c:v>
                </c:pt>
                <c:pt idx="33">
                  <c:v>26.590909090909093</c:v>
                </c:pt>
                <c:pt idx="34">
                  <c:v>24.77272727272728</c:v>
                </c:pt>
                <c:pt idx="35">
                  <c:v>25.681818181818187</c:v>
                </c:pt>
                <c:pt idx="36">
                  <c:v>31.136363636363626</c:v>
                </c:pt>
                <c:pt idx="37">
                  <c:v>30.22727272727272</c:v>
                </c:pt>
                <c:pt idx="38">
                  <c:v>24.545454545454533</c:v>
                </c:pt>
                <c:pt idx="39">
                  <c:v>22.727272727272748</c:v>
                </c:pt>
                <c:pt idx="40">
                  <c:v>23.863636363636374</c:v>
                </c:pt>
                <c:pt idx="41">
                  <c:v>25.909090909090935</c:v>
                </c:pt>
                <c:pt idx="42">
                  <c:v>34.318181818181813</c:v>
                </c:pt>
                <c:pt idx="43">
                  <c:v>23.863636363636374</c:v>
                </c:pt>
                <c:pt idx="44">
                  <c:v>21.590909090909065</c:v>
                </c:pt>
                <c:pt idx="45">
                  <c:v>22.272727272727252</c:v>
                </c:pt>
                <c:pt idx="46">
                  <c:v>38.636363636363626</c:v>
                </c:pt>
                <c:pt idx="47">
                  <c:v>40</c:v>
                </c:pt>
                <c:pt idx="48">
                  <c:v>43.636363636363626</c:v>
                </c:pt>
              </c:numCache>
            </c:numRef>
          </c:val>
        </c:ser>
        <c:ser>
          <c:idx val="4"/>
          <c:order val="4"/>
          <c:tx>
            <c:strRef>
              <c:f>score!$AE$1</c:f>
              <c:strCache>
                <c:ptCount val="1"/>
                <c:pt idx="0">
                  <c:v>Reindert</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score!$AE$2:$AE$77</c:f>
              <c:numCache>
                <c:formatCode>0.0</c:formatCode>
                <c:ptCount val="49"/>
                <c:pt idx="0">
                  <c:v>7.2727272727272734</c:v>
                </c:pt>
                <c:pt idx="1">
                  <c:v>7.5</c:v>
                </c:pt>
                <c:pt idx="2">
                  <c:v>6.8181818181818166</c:v>
                </c:pt>
                <c:pt idx="3">
                  <c:v>1.8181818181818201</c:v>
                </c:pt>
                <c:pt idx="4">
                  <c:v>0.68181818181817988</c:v>
                </c:pt>
                <c:pt idx="5">
                  <c:v>0.22727272727272663</c:v>
                </c:pt>
                <c:pt idx="6">
                  <c:v>5.6818181818181799</c:v>
                </c:pt>
                <c:pt idx="7">
                  <c:v>9.0909090909090935</c:v>
                </c:pt>
                <c:pt idx="8">
                  <c:v>0.45454545454545325</c:v>
                </c:pt>
                <c:pt idx="9">
                  <c:v>-0.68181818181818699</c:v>
                </c:pt>
                <c:pt idx="10">
                  <c:v>-0.90909090909090651</c:v>
                </c:pt>
                <c:pt idx="11">
                  <c:v>0.90909090909090651</c:v>
                </c:pt>
                <c:pt idx="12">
                  <c:v>0</c:v>
                </c:pt>
                <c:pt idx="13">
                  <c:v>-0.22727272727273373</c:v>
                </c:pt>
                <c:pt idx="14">
                  <c:v>7.0454545454545467</c:v>
                </c:pt>
                <c:pt idx="15">
                  <c:v>8.181818181818187</c:v>
                </c:pt>
                <c:pt idx="16">
                  <c:v>8.6363636363636402</c:v>
                </c:pt>
                <c:pt idx="17">
                  <c:v>13.181818181818187</c:v>
                </c:pt>
                <c:pt idx="18">
                  <c:v>13.636363636363626</c:v>
                </c:pt>
                <c:pt idx="19">
                  <c:v>11.818181818181813</c:v>
                </c:pt>
                <c:pt idx="20">
                  <c:v>10.454545454545467</c:v>
                </c:pt>
                <c:pt idx="21">
                  <c:v>10</c:v>
                </c:pt>
                <c:pt idx="22">
                  <c:v>9.5454545454545325</c:v>
                </c:pt>
                <c:pt idx="23">
                  <c:v>10</c:v>
                </c:pt>
                <c:pt idx="24">
                  <c:v>10</c:v>
                </c:pt>
                <c:pt idx="25">
                  <c:v>14.318181818181813</c:v>
                </c:pt>
                <c:pt idx="26">
                  <c:v>14.77272727272728</c:v>
                </c:pt>
                <c:pt idx="27">
                  <c:v>12.72727272727272</c:v>
                </c:pt>
                <c:pt idx="28">
                  <c:v>18.181818181818187</c:v>
                </c:pt>
                <c:pt idx="29">
                  <c:v>12.27272727272728</c:v>
                </c:pt>
                <c:pt idx="30">
                  <c:v>7.5</c:v>
                </c:pt>
                <c:pt idx="31">
                  <c:v>5.9090909090909065</c:v>
                </c:pt>
                <c:pt idx="32">
                  <c:v>0</c:v>
                </c:pt>
                <c:pt idx="33">
                  <c:v>6.5909090909090935</c:v>
                </c:pt>
                <c:pt idx="34">
                  <c:v>4.7727272727272805</c:v>
                </c:pt>
                <c:pt idx="35">
                  <c:v>0.68181818181818699</c:v>
                </c:pt>
                <c:pt idx="36">
                  <c:v>1.136363636363626</c:v>
                </c:pt>
                <c:pt idx="37">
                  <c:v>0.22727272727271952</c:v>
                </c:pt>
                <c:pt idx="38">
                  <c:v>4.5454545454545325</c:v>
                </c:pt>
                <c:pt idx="39">
                  <c:v>2.7272727272727479</c:v>
                </c:pt>
                <c:pt idx="40">
                  <c:v>3.863636363636374</c:v>
                </c:pt>
                <c:pt idx="41">
                  <c:v>5.9090909090909349</c:v>
                </c:pt>
                <c:pt idx="42">
                  <c:v>14.318181818181813</c:v>
                </c:pt>
                <c:pt idx="43">
                  <c:v>3.863636363636374</c:v>
                </c:pt>
                <c:pt idx="44">
                  <c:v>1.5909090909090651</c:v>
                </c:pt>
                <c:pt idx="45">
                  <c:v>7.2727272727272521</c:v>
                </c:pt>
                <c:pt idx="46">
                  <c:v>23.636363636363626</c:v>
                </c:pt>
                <c:pt idx="47">
                  <c:v>30</c:v>
                </c:pt>
                <c:pt idx="48">
                  <c:v>33.636363636363626</c:v>
                </c:pt>
              </c:numCache>
            </c:numRef>
          </c:val>
        </c:ser>
        <c:ser>
          <c:idx val="5"/>
          <c:order val="5"/>
          <c:tx>
            <c:strRef>
              <c:f>score!$AF$1</c:f>
              <c:strCache>
                <c:ptCount val="1"/>
                <c:pt idx="0">
                  <c:v>PeterK</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score!$AF$2:$AF$77</c:f>
              <c:numCache>
                <c:formatCode>0.0</c:formatCode>
                <c:ptCount val="49"/>
                <c:pt idx="0">
                  <c:v>7.2727272727272734</c:v>
                </c:pt>
                <c:pt idx="1">
                  <c:v>17.5</c:v>
                </c:pt>
                <c:pt idx="2">
                  <c:v>11.818181818181817</c:v>
                </c:pt>
                <c:pt idx="3">
                  <c:v>16.81818181818182</c:v>
                </c:pt>
                <c:pt idx="4">
                  <c:v>15.68181818181818</c:v>
                </c:pt>
                <c:pt idx="5">
                  <c:v>15.227272727272727</c:v>
                </c:pt>
                <c:pt idx="6">
                  <c:v>15.68181818181818</c:v>
                </c:pt>
                <c:pt idx="7">
                  <c:v>19.090909090909093</c:v>
                </c:pt>
                <c:pt idx="8">
                  <c:v>5.4545454545454533</c:v>
                </c:pt>
                <c:pt idx="9">
                  <c:v>4.318181818181813</c:v>
                </c:pt>
                <c:pt idx="10">
                  <c:v>4.0909090909090935</c:v>
                </c:pt>
                <c:pt idx="11">
                  <c:v>5.9090909090909065</c:v>
                </c:pt>
                <c:pt idx="12">
                  <c:v>5</c:v>
                </c:pt>
                <c:pt idx="13">
                  <c:v>-0.22727272727273373</c:v>
                </c:pt>
                <c:pt idx="14">
                  <c:v>7.0454545454545467</c:v>
                </c:pt>
                <c:pt idx="15">
                  <c:v>3.181818181818187</c:v>
                </c:pt>
                <c:pt idx="16">
                  <c:v>3.6363636363636402</c:v>
                </c:pt>
                <c:pt idx="17">
                  <c:v>8.181818181818187</c:v>
                </c:pt>
                <c:pt idx="18">
                  <c:v>3.636363636363626</c:v>
                </c:pt>
                <c:pt idx="19">
                  <c:v>11.818181818181813</c:v>
                </c:pt>
                <c:pt idx="20">
                  <c:v>10.454545454545467</c:v>
                </c:pt>
                <c:pt idx="21">
                  <c:v>10</c:v>
                </c:pt>
                <c:pt idx="22">
                  <c:v>9.5454545454545325</c:v>
                </c:pt>
                <c:pt idx="23">
                  <c:v>0</c:v>
                </c:pt>
                <c:pt idx="24">
                  <c:v>0</c:v>
                </c:pt>
                <c:pt idx="25">
                  <c:v>-5.681818181818187</c:v>
                </c:pt>
                <c:pt idx="26">
                  <c:v>-5.2272727272727195</c:v>
                </c:pt>
                <c:pt idx="27">
                  <c:v>-2.2727272727272805</c:v>
                </c:pt>
                <c:pt idx="28">
                  <c:v>-6.818181818181813</c:v>
                </c:pt>
                <c:pt idx="29">
                  <c:v>-12.72727272727272</c:v>
                </c:pt>
                <c:pt idx="30">
                  <c:v>-17.5</c:v>
                </c:pt>
                <c:pt idx="31">
                  <c:v>-19.090909090909093</c:v>
                </c:pt>
                <c:pt idx="32">
                  <c:v>-15</c:v>
                </c:pt>
                <c:pt idx="33">
                  <c:v>-13.409090909090907</c:v>
                </c:pt>
                <c:pt idx="34">
                  <c:v>-15.22727272727272</c:v>
                </c:pt>
                <c:pt idx="35">
                  <c:v>-14.318181818181813</c:v>
                </c:pt>
                <c:pt idx="36">
                  <c:v>-18.863636363636374</c:v>
                </c:pt>
                <c:pt idx="37">
                  <c:v>-14.77272727272728</c:v>
                </c:pt>
                <c:pt idx="38">
                  <c:v>-10.454545454545467</c:v>
                </c:pt>
                <c:pt idx="39">
                  <c:v>-2.2727272727272521</c:v>
                </c:pt>
                <c:pt idx="40">
                  <c:v>-1.136363636363626</c:v>
                </c:pt>
                <c:pt idx="41">
                  <c:v>0.90909090909093493</c:v>
                </c:pt>
                <c:pt idx="42">
                  <c:v>9.318181818181813</c:v>
                </c:pt>
                <c:pt idx="43">
                  <c:v>8.863636363636374</c:v>
                </c:pt>
                <c:pt idx="44">
                  <c:v>11.590909090909065</c:v>
                </c:pt>
                <c:pt idx="45">
                  <c:v>12.272727272727252</c:v>
                </c:pt>
                <c:pt idx="46">
                  <c:v>28.636363636363626</c:v>
                </c:pt>
                <c:pt idx="47">
                  <c:v>30</c:v>
                </c:pt>
                <c:pt idx="48">
                  <c:v>28.636363636363626</c:v>
                </c:pt>
              </c:numCache>
            </c:numRef>
          </c:val>
        </c:ser>
        <c:ser>
          <c:idx val="6"/>
          <c:order val="6"/>
          <c:tx>
            <c:strRef>
              <c:f>score!$AG$1</c:f>
              <c:strCache>
                <c:ptCount val="1"/>
                <c:pt idx="0">
                  <c:v>José</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score!$AG$2:$AG$77</c:f>
              <c:numCache>
                <c:formatCode>0.0</c:formatCode>
                <c:ptCount val="49"/>
                <c:pt idx="0">
                  <c:v>-2.7272727272727271</c:v>
                </c:pt>
                <c:pt idx="1">
                  <c:v>-7.5</c:v>
                </c:pt>
                <c:pt idx="2">
                  <c:v>-8.1818181818181834</c:v>
                </c:pt>
                <c:pt idx="3">
                  <c:v>-8.1818181818181799</c:v>
                </c:pt>
                <c:pt idx="4">
                  <c:v>-9.3181818181818201</c:v>
                </c:pt>
                <c:pt idx="5">
                  <c:v>-4.7727272727272734</c:v>
                </c:pt>
                <c:pt idx="6">
                  <c:v>-9.3181818181818201</c:v>
                </c:pt>
                <c:pt idx="7">
                  <c:v>-10.909090909090907</c:v>
                </c:pt>
                <c:pt idx="8">
                  <c:v>-9.5454545454545467</c:v>
                </c:pt>
                <c:pt idx="9">
                  <c:v>-10.681818181818187</c:v>
                </c:pt>
                <c:pt idx="10">
                  <c:v>-10.909090909090907</c:v>
                </c:pt>
                <c:pt idx="11">
                  <c:v>-9.0909090909090935</c:v>
                </c:pt>
                <c:pt idx="12">
                  <c:v>-5</c:v>
                </c:pt>
                <c:pt idx="13">
                  <c:v>-5.2272727272727337</c:v>
                </c:pt>
                <c:pt idx="14">
                  <c:v>-7.9545454545454533</c:v>
                </c:pt>
                <c:pt idx="15">
                  <c:v>-6.818181818181813</c:v>
                </c:pt>
                <c:pt idx="16">
                  <c:v>-1.3636363636363598</c:v>
                </c:pt>
                <c:pt idx="17">
                  <c:v>3.181818181818187</c:v>
                </c:pt>
                <c:pt idx="18">
                  <c:v>3.636363636363626</c:v>
                </c:pt>
                <c:pt idx="19">
                  <c:v>1.818181818181813</c:v>
                </c:pt>
                <c:pt idx="20">
                  <c:v>0.45454545454546746</c:v>
                </c:pt>
                <c:pt idx="21">
                  <c:v>0</c:v>
                </c:pt>
                <c:pt idx="22">
                  <c:v>4.5454545454545325</c:v>
                </c:pt>
                <c:pt idx="23">
                  <c:v>5</c:v>
                </c:pt>
                <c:pt idx="24">
                  <c:v>5</c:v>
                </c:pt>
                <c:pt idx="25">
                  <c:v>9.318181818181813</c:v>
                </c:pt>
                <c:pt idx="26">
                  <c:v>9.7727272727272805</c:v>
                </c:pt>
                <c:pt idx="27">
                  <c:v>7.7272727272727195</c:v>
                </c:pt>
                <c:pt idx="28">
                  <c:v>8.181818181818187</c:v>
                </c:pt>
                <c:pt idx="29">
                  <c:v>12.27272727272728</c:v>
                </c:pt>
                <c:pt idx="30">
                  <c:v>12.5</c:v>
                </c:pt>
                <c:pt idx="31">
                  <c:v>10.909090909090907</c:v>
                </c:pt>
                <c:pt idx="32">
                  <c:v>5</c:v>
                </c:pt>
                <c:pt idx="33">
                  <c:v>6.5909090909090935</c:v>
                </c:pt>
                <c:pt idx="34">
                  <c:v>4.7727272727272805</c:v>
                </c:pt>
                <c:pt idx="35">
                  <c:v>5.681818181818187</c:v>
                </c:pt>
                <c:pt idx="36">
                  <c:v>11.136363636363626</c:v>
                </c:pt>
                <c:pt idx="37">
                  <c:v>10.22727272727272</c:v>
                </c:pt>
                <c:pt idx="38">
                  <c:v>9.5454545454545325</c:v>
                </c:pt>
                <c:pt idx="39">
                  <c:v>7.7272727272727479</c:v>
                </c:pt>
                <c:pt idx="40">
                  <c:v>8.863636363636374</c:v>
                </c:pt>
                <c:pt idx="41">
                  <c:v>10.909090909090935</c:v>
                </c:pt>
                <c:pt idx="42">
                  <c:v>19.318181818181813</c:v>
                </c:pt>
                <c:pt idx="43">
                  <c:v>8.863636363636374</c:v>
                </c:pt>
                <c:pt idx="44">
                  <c:v>6.5909090909090651</c:v>
                </c:pt>
                <c:pt idx="45">
                  <c:v>7.2727272727272521</c:v>
                </c:pt>
                <c:pt idx="46">
                  <c:v>23.636363636363626</c:v>
                </c:pt>
                <c:pt idx="47">
                  <c:v>25</c:v>
                </c:pt>
                <c:pt idx="48">
                  <c:v>23.636363636363626</c:v>
                </c:pt>
              </c:numCache>
            </c:numRef>
          </c:val>
        </c:ser>
        <c:ser>
          <c:idx val="7"/>
          <c:order val="7"/>
          <c:tx>
            <c:strRef>
              <c:f>score!$AH$1</c:f>
              <c:strCache>
                <c:ptCount val="1"/>
                <c:pt idx="0">
                  <c:v>Mariel</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score!$AH$2:$AH$77</c:f>
              <c:numCache>
                <c:formatCode>0.0</c:formatCode>
                <c:ptCount val="49"/>
                <c:pt idx="0">
                  <c:v>-2.7272727272727271</c:v>
                </c:pt>
                <c:pt idx="1">
                  <c:v>-7.5</c:v>
                </c:pt>
                <c:pt idx="2">
                  <c:v>-8.1818181818181834</c:v>
                </c:pt>
                <c:pt idx="3">
                  <c:v>-3.1818181818181799</c:v>
                </c:pt>
                <c:pt idx="4">
                  <c:v>0.68181818181817988</c:v>
                </c:pt>
                <c:pt idx="5">
                  <c:v>10.227272727272727</c:v>
                </c:pt>
                <c:pt idx="6">
                  <c:v>5.6818181818181799</c:v>
                </c:pt>
                <c:pt idx="7">
                  <c:v>4.0909090909090935</c:v>
                </c:pt>
                <c:pt idx="8">
                  <c:v>0.45454545454545325</c:v>
                </c:pt>
                <c:pt idx="9">
                  <c:v>-0.68181818181818699</c:v>
                </c:pt>
                <c:pt idx="10">
                  <c:v>-0.90909090909090651</c:v>
                </c:pt>
                <c:pt idx="11">
                  <c:v>0.90909090909090651</c:v>
                </c:pt>
                <c:pt idx="12">
                  <c:v>10</c:v>
                </c:pt>
                <c:pt idx="13">
                  <c:v>14.772727272727266</c:v>
                </c:pt>
                <c:pt idx="14">
                  <c:v>12.045454545454547</c:v>
                </c:pt>
                <c:pt idx="15">
                  <c:v>13.181818181818187</c:v>
                </c:pt>
                <c:pt idx="16">
                  <c:v>13.63636363636364</c:v>
                </c:pt>
                <c:pt idx="17">
                  <c:v>18.181818181818187</c:v>
                </c:pt>
                <c:pt idx="18">
                  <c:v>18.636363636363626</c:v>
                </c:pt>
                <c:pt idx="19">
                  <c:v>21.818181818181813</c:v>
                </c:pt>
                <c:pt idx="20">
                  <c:v>20.454545454545467</c:v>
                </c:pt>
                <c:pt idx="21">
                  <c:v>20</c:v>
                </c:pt>
                <c:pt idx="22">
                  <c:v>24.545454545454533</c:v>
                </c:pt>
                <c:pt idx="23">
                  <c:v>25</c:v>
                </c:pt>
                <c:pt idx="24">
                  <c:v>25</c:v>
                </c:pt>
                <c:pt idx="25">
                  <c:v>19.318181818181813</c:v>
                </c:pt>
                <c:pt idx="26">
                  <c:v>19.77272727272728</c:v>
                </c:pt>
                <c:pt idx="27">
                  <c:v>22.72727272727272</c:v>
                </c:pt>
                <c:pt idx="28">
                  <c:v>23.181818181818187</c:v>
                </c:pt>
                <c:pt idx="29">
                  <c:v>17.27272727272728</c:v>
                </c:pt>
                <c:pt idx="30">
                  <c:v>17.5</c:v>
                </c:pt>
                <c:pt idx="31">
                  <c:v>15.909090909090907</c:v>
                </c:pt>
                <c:pt idx="32">
                  <c:v>10</c:v>
                </c:pt>
                <c:pt idx="33">
                  <c:v>11.590909090909093</c:v>
                </c:pt>
                <c:pt idx="34">
                  <c:v>14.77272727272728</c:v>
                </c:pt>
                <c:pt idx="35">
                  <c:v>10.681818181818187</c:v>
                </c:pt>
                <c:pt idx="36">
                  <c:v>6.136363636363626</c:v>
                </c:pt>
                <c:pt idx="37">
                  <c:v>5.2272727272727195</c:v>
                </c:pt>
                <c:pt idx="38">
                  <c:v>4.5454545454545325</c:v>
                </c:pt>
                <c:pt idx="39">
                  <c:v>2.7272727272727479</c:v>
                </c:pt>
                <c:pt idx="40">
                  <c:v>-1.136363636363626</c:v>
                </c:pt>
                <c:pt idx="41">
                  <c:v>0.90909090909093493</c:v>
                </c:pt>
                <c:pt idx="42">
                  <c:v>9.318181818181813</c:v>
                </c:pt>
                <c:pt idx="43">
                  <c:v>-1.136363636363626</c:v>
                </c:pt>
                <c:pt idx="44">
                  <c:v>1.5909090909090651</c:v>
                </c:pt>
                <c:pt idx="45">
                  <c:v>7.2727272727272521</c:v>
                </c:pt>
                <c:pt idx="46">
                  <c:v>23.636363636363626</c:v>
                </c:pt>
                <c:pt idx="47">
                  <c:v>20</c:v>
                </c:pt>
                <c:pt idx="48">
                  <c:v>18.636363636363626</c:v>
                </c:pt>
              </c:numCache>
            </c:numRef>
          </c:val>
        </c:ser>
        <c:ser>
          <c:idx val="8"/>
          <c:order val="8"/>
          <c:tx>
            <c:strRef>
              <c:f>score!$AI$1</c:f>
              <c:strCache>
                <c:ptCount val="1"/>
                <c:pt idx="0">
                  <c:v>City</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score!$AI$2:$AI$77</c:f>
              <c:numCache>
                <c:formatCode>0.0</c:formatCode>
                <c:ptCount val="49"/>
                <c:pt idx="0">
                  <c:v>-2.7272727272727271</c:v>
                </c:pt>
                <c:pt idx="1">
                  <c:v>-7.5</c:v>
                </c:pt>
                <c:pt idx="2">
                  <c:v>-3.1818181818181834</c:v>
                </c:pt>
                <c:pt idx="3">
                  <c:v>-8.1818181818181799</c:v>
                </c:pt>
                <c:pt idx="4">
                  <c:v>-4.3181818181818201</c:v>
                </c:pt>
                <c:pt idx="5">
                  <c:v>0.22727272727272663</c:v>
                </c:pt>
                <c:pt idx="6">
                  <c:v>10.68181818181818</c:v>
                </c:pt>
                <c:pt idx="7">
                  <c:v>9.0909090909090935</c:v>
                </c:pt>
                <c:pt idx="8">
                  <c:v>10.454545454545453</c:v>
                </c:pt>
                <c:pt idx="9">
                  <c:v>9.318181818181813</c:v>
                </c:pt>
                <c:pt idx="10">
                  <c:v>9.0909090909090935</c:v>
                </c:pt>
                <c:pt idx="11">
                  <c:v>20.909090909090907</c:v>
                </c:pt>
                <c:pt idx="12">
                  <c:v>25</c:v>
                </c:pt>
                <c:pt idx="13">
                  <c:v>29.772727272727266</c:v>
                </c:pt>
                <c:pt idx="14">
                  <c:v>27.045454545454547</c:v>
                </c:pt>
                <c:pt idx="15">
                  <c:v>28.181818181818187</c:v>
                </c:pt>
                <c:pt idx="16">
                  <c:v>23.63636363636364</c:v>
                </c:pt>
                <c:pt idx="17">
                  <c:v>18.181818181818187</c:v>
                </c:pt>
                <c:pt idx="18">
                  <c:v>18.636363636363626</c:v>
                </c:pt>
                <c:pt idx="19">
                  <c:v>21.818181818181813</c:v>
                </c:pt>
                <c:pt idx="20">
                  <c:v>20.454545454545467</c:v>
                </c:pt>
                <c:pt idx="21">
                  <c:v>20</c:v>
                </c:pt>
                <c:pt idx="22">
                  <c:v>19.545454545454533</c:v>
                </c:pt>
                <c:pt idx="23">
                  <c:v>20</c:v>
                </c:pt>
                <c:pt idx="24">
                  <c:v>20</c:v>
                </c:pt>
                <c:pt idx="25">
                  <c:v>24.318181818181813</c:v>
                </c:pt>
                <c:pt idx="26">
                  <c:v>24.77272727272728</c:v>
                </c:pt>
                <c:pt idx="27">
                  <c:v>27.72727272727272</c:v>
                </c:pt>
                <c:pt idx="28">
                  <c:v>28.181818181818187</c:v>
                </c:pt>
                <c:pt idx="29">
                  <c:v>32.27272727272728</c:v>
                </c:pt>
                <c:pt idx="30">
                  <c:v>32.5</c:v>
                </c:pt>
                <c:pt idx="31">
                  <c:v>30.909090909090907</c:v>
                </c:pt>
                <c:pt idx="32">
                  <c:v>25</c:v>
                </c:pt>
                <c:pt idx="33">
                  <c:v>21.590909090909093</c:v>
                </c:pt>
                <c:pt idx="34">
                  <c:v>19.77272727272728</c:v>
                </c:pt>
                <c:pt idx="35">
                  <c:v>20.681818181818187</c:v>
                </c:pt>
                <c:pt idx="36">
                  <c:v>21.136363636363626</c:v>
                </c:pt>
                <c:pt idx="37">
                  <c:v>25.22727272727272</c:v>
                </c:pt>
                <c:pt idx="38">
                  <c:v>24.545454545454533</c:v>
                </c:pt>
                <c:pt idx="39">
                  <c:v>32.727272727272748</c:v>
                </c:pt>
                <c:pt idx="40">
                  <c:v>33.863636363636374</c:v>
                </c:pt>
                <c:pt idx="41">
                  <c:v>50.909090909090935</c:v>
                </c:pt>
                <c:pt idx="42">
                  <c:v>59.318181818181813</c:v>
                </c:pt>
                <c:pt idx="43">
                  <c:v>48.863636363636374</c:v>
                </c:pt>
                <c:pt idx="44">
                  <c:v>46.590909090909065</c:v>
                </c:pt>
                <c:pt idx="45">
                  <c:v>47.272727272727252</c:v>
                </c:pt>
                <c:pt idx="46">
                  <c:v>18.636363636363626</c:v>
                </c:pt>
                <c:pt idx="47">
                  <c:v>20</c:v>
                </c:pt>
                <c:pt idx="48">
                  <c:v>18.636363636363626</c:v>
                </c:pt>
              </c:numCache>
            </c:numRef>
          </c:val>
        </c:ser>
        <c:ser>
          <c:idx val="9"/>
          <c:order val="9"/>
          <c:tx>
            <c:strRef>
              <c:f>score!$AJ$1</c:f>
              <c:strCache>
                <c:ptCount val="1"/>
                <c:pt idx="0">
                  <c:v>Angele</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score!$AJ$2:$AJ$77</c:f>
              <c:numCache>
                <c:formatCode>0.0</c:formatCode>
                <c:ptCount val="49"/>
                <c:pt idx="0">
                  <c:v>-2.7272727272727271</c:v>
                </c:pt>
                <c:pt idx="1">
                  <c:v>-2.5</c:v>
                </c:pt>
                <c:pt idx="2">
                  <c:v>16.818181818181817</c:v>
                </c:pt>
                <c:pt idx="3">
                  <c:v>16.81818181818182</c:v>
                </c:pt>
                <c:pt idx="4">
                  <c:v>10.68181818181818</c:v>
                </c:pt>
                <c:pt idx="5">
                  <c:v>15.227272727272727</c:v>
                </c:pt>
                <c:pt idx="6">
                  <c:v>10.68181818181818</c:v>
                </c:pt>
                <c:pt idx="7">
                  <c:v>9.0909090909090935</c:v>
                </c:pt>
                <c:pt idx="8">
                  <c:v>15.454545454545453</c:v>
                </c:pt>
                <c:pt idx="9">
                  <c:v>14.318181818181813</c:v>
                </c:pt>
                <c:pt idx="10">
                  <c:v>14.090909090909093</c:v>
                </c:pt>
                <c:pt idx="11">
                  <c:v>15.909090909090907</c:v>
                </c:pt>
                <c:pt idx="12">
                  <c:v>15</c:v>
                </c:pt>
                <c:pt idx="13">
                  <c:v>14.772727272727266</c:v>
                </c:pt>
                <c:pt idx="14">
                  <c:v>12.045454545454547</c:v>
                </c:pt>
                <c:pt idx="15">
                  <c:v>13.181818181818187</c:v>
                </c:pt>
                <c:pt idx="16">
                  <c:v>13.63636363636364</c:v>
                </c:pt>
                <c:pt idx="17">
                  <c:v>18.181818181818187</c:v>
                </c:pt>
                <c:pt idx="18">
                  <c:v>18.636363636363626</c:v>
                </c:pt>
                <c:pt idx="19">
                  <c:v>21.818181818181813</c:v>
                </c:pt>
                <c:pt idx="20">
                  <c:v>30.454545454545467</c:v>
                </c:pt>
                <c:pt idx="21">
                  <c:v>30</c:v>
                </c:pt>
                <c:pt idx="22">
                  <c:v>29.545454545454533</c:v>
                </c:pt>
                <c:pt idx="23">
                  <c:v>30</c:v>
                </c:pt>
                <c:pt idx="24">
                  <c:v>30</c:v>
                </c:pt>
                <c:pt idx="25">
                  <c:v>29.318181818181813</c:v>
                </c:pt>
                <c:pt idx="26">
                  <c:v>29.77272727272728</c:v>
                </c:pt>
                <c:pt idx="27">
                  <c:v>27.72727272727272</c:v>
                </c:pt>
                <c:pt idx="28">
                  <c:v>33.181818181818187</c:v>
                </c:pt>
                <c:pt idx="29">
                  <c:v>27.27272727272728</c:v>
                </c:pt>
                <c:pt idx="30">
                  <c:v>32.5</c:v>
                </c:pt>
                <c:pt idx="31">
                  <c:v>40.909090909090907</c:v>
                </c:pt>
                <c:pt idx="32">
                  <c:v>35</c:v>
                </c:pt>
                <c:pt idx="33">
                  <c:v>41.590909090909093</c:v>
                </c:pt>
                <c:pt idx="34">
                  <c:v>39.77272727272728</c:v>
                </c:pt>
                <c:pt idx="35">
                  <c:v>40.681818181818187</c:v>
                </c:pt>
                <c:pt idx="36">
                  <c:v>41.136363636363626</c:v>
                </c:pt>
                <c:pt idx="37">
                  <c:v>40.22727272727272</c:v>
                </c:pt>
                <c:pt idx="38">
                  <c:v>39.545454545454533</c:v>
                </c:pt>
                <c:pt idx="39">
                  <c:v>37.727272727272748</c:v>
                </c:pt>
                <c:pt idx="40">
                  <c:v>38.863636363636374</c:v>
                </c:pt>
                <c:pt idx="41">
                  <c:v>40.909090909090935</c:v>
                </c:pt>
                <c:pt idx="42">
                  <c:v>49.318181818181813</c:v>
                </c:pt>
                <c:pt idx="43">
                  <c:v>38.863636363636374</c:v>
                </c:pt>
                <c:pt idx="44">
                  <c:v>36.590909090909065</c:v>
                </c:pt>
                <c:pt idx="45">
                  <c:v>37.272727272727252</c:v>
                </c:pt>
                <c:pt idx="46">
                  <c:v>8.636363636363626</c:v>
                </c:pt>
                <c:pt idx="47">
                  <c:v>15</c:v>
                </c:pt>
                <c:pt idx="48">
                  <c:v>13.636363636363626</c:v>
                </c:pt>
              </c:numCache>
            </c:numRef>
          </c:val>
        </c:ser>
        <c:ser>
          <c:idx val="10"/>
          <c:order val="10"/>
          <c:tx>
            <c:strRef>
              <c:f>score!$AK$1</c:f>
              <c:strCache>
                <c:ptCount val="1"/>
                <c:pt idx="0">
                  <c:v>Eric</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score!$AK$2:$AK$77</c:f>
              <c:numCache>
                <c:formatCode>0.0</c:formatCode>
                <c:ptCount val="49"/>
                <c:pt idx="0">
                  <c:v>-2.7272727272727271</c:v>
                </c:pt>
                <c:pt idx="1">
                  <c:v>-7.5</c:v>
                </c:pt>
                <c:pt idx="2">
                  <c:v>-8.1818181818181834</c:v>
                </c:pt>
                <c:pt idx="3">
                  <c:v>-3.1818181818181799</c:v>
                </c:pt>
                <c:pt idx="4">
                  <c:v>-4.3181818181818201</c:v>
                </c:pt>
                <c:pt idx="5">
                  <c:v>-4.7727272727272734</c:v>
                </c:pt>
                <c:pt idx="6">
                  <c:v>-4.3181818181818201</c:v>
                </c:pt>
                <c:pt idx="7">
                  <c:v>-0.90909090909090651</c:v>
                </c:pt>
                <c:pt idx="8">
                  <c:v>-4.5454545454545467</c:v>
                </c:pt>
                <c:pt idx="9">
                  <c:v>-5.681818181818187</c:v>
                </c:pt>
                <c:pt idx="10">
                  <c:v>-5.9090909090909065</c:v>
                </c:pt>
                <c:pt idx="11">
                  <c:v>-14.090909090909093</c:v>
                </c:pt>
                <c:pt idx="12">
                  <c:v>-15</c:v>
                </c:pt>
                <c:pt idx="13">
                  <c:v>-20.227272727272734</c:v>
                </c:pt>
                <c:pt idx="14">
                  <c:v>-22.954545454545453</c:v>
                </c:pt>
                <c:pt idx="15">
                  <c:v>-21.818181818181813</c:v>
                </c:pt>
                <c:pt idx="16">
                  <c:v>-21.36363636363636</c:v>
                </c:pt>
                <c:pt idx="17">
                  <c:v>-26.818181818181813</c:v>
                </c:pt>
                <c:pt idx="18">
                  <c:v>-26.363636363636374</c:v>
                </c:pt>
                <c:pt idx="19">
                  <c:v>-28.181818181818187</c:v>
                </c:pt>
                <c:pt idx="20">
                  <c:v>-29.545454545454533</c:v>
                </c:pt>
                <c:pt idx="21">
                  <c:v>-30</c:v>
                </c:pt>
                <c:pt idx="22">
                  <c:v>-30.454545454545467</c:v>
                </c:pt>
                <c:pt idx="23">
                  <c:v>-30</c:v>
                </c:pt>
                <c:pt idx="24">
                  <c:v>-30</c:v>
                </c:pt>
                <c:pt idx="25">
                  <c:v>-25.681818181818187</c:v>
                </c:pt>
                <c:pt idx="26">
                  <c:v>-25.22727272727272</c:v>
                </c:pt>
                <c:pt idx="27">
                  <c:v>-27.27272727272728</c:v>
                </c:pt>
                <c:pt idx="28">
                  <c:v>-26.818181818181813</c:v>
                </c:pt>
                <c:pt idx="29">
                  <c:v>-22.72727272727272</c:v>
                </c:pt>
                <c:pt idx="30">
                  <c:v>-17.5</c:v>
                </c:pt>
                <c:pt idx="31">
                  <c:v>-19.090909090909093</c:v>
                </c:pt>
                <c:pt idx="32">
                  <c:v>-15</c:v>
                </c:pt>
                <c:pt idx="33">
                  <c:v>-18.409090909090907</c:v>
                </c:pt>
                <c:pt idx="34">
                  <c:v>-10.22727272727272</c:v>
                </c:pt>
                <c:pt idx="35">
                  <c:v>-9.318181818181813</c:v>
                </c:pt>
                <c:pt idx="36">
                  <c:v>-8.863636363636374</c:v>
                </c:pt>
                <c:pt idx="37">
                  <c:v>-4.7727272727272805</c:v>
                </c:pt>
                <c:pt idx="38">
                  <c:v>-0.45454545454546746</c:v>
                </c:pt>
                <c:pt idx="39">
                  <c:v>-2.2727272727272521</c:v>
                </c:pt>
                <c:pt idx="40">
                  <c:v>-1.136363636363626</c:v>
                </c:pt>
                <c:pt idx="41">
                  <c:v>-14.090909090909065</c:v>
                </c:pt>
                <c:pt idx="42">
                  <c:v>-5.681818181818187</c:v>
                </c:pt>
                <c:pt idx="43">
                  <c:v>-16.136363636363626</c:v>
                </c:pt>
                <c:pt idx="44">
                  <c:v>-13.409090909090935</c:v>
                </c:pt>
                <c:pt idx="45">
                  <c:v>-12.727272727272748</c:v>
                </c:pt>
                <c:pt idx="46">
                  <c:v>3.636363636363626</c:v>
                </c:pt>
                <c:pt idx="47">
                  <c:v>0</c:v>
                </c:pt>
                <c:pt idx="48">
                  <c:v>-1.363636363636374</c:v>
                </c:pt>
              </c:numCache>
            </c:numRef>
          </c:val>
        </c:ser>
        <c:ser>
          <c:idx val="11"/>
          <c:order val="11"/>
          <c:tx>
            <c:strRef>
              <c:f>score!$AL$1</c:f>
              <c:strCache>
                <c:ptCount val="1"/>
                <c:pt idx="0">
                  <c:v>Matthijs</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score!$AL$2:$AL$77</c:f>
              <c:numCache>
                <c:formatCode>0.0</c:formatCode>
                <c:ptCount val="49"/>
                <c:pt idx="0">
                  <c:v>-2.7272727272727271</c:v>
                </c:pt>
                <c:pt idx="1">
                  <c:v>-7.5</c:v>
                </c:pt>
                <c:pt idx="2">
                  <c:v>-13.181818181818183</c:v>
                </c:pt>
                <c:pt idx="3">
                  <c:v>-18.18181818181818</c:v>
                </c:pt>
                <c:pt idx="4">
                  <c:v>-14.31818181818182</c:v>
                </c:pt>
                <c:pt idx="5">
                  <c:v>-9.7727272727272734</c:v>
                </c:pt>
                <c:pt idx="6">
                  <c:v>-9.3181818181818201</c:v>
                </c:pt>
                <c:pt idx="7">
                  <c:v>-10.909090909090907</c:v>
                </c:pt>
                <c:pt idx="8">
                  <c:v>-4.5454545454545467</c:v>
                </c:pt>
                <c:pt idx="9">
                  <c:v>-5.681818181818187</c:v>
                </c:pt>
                <c:pt idx="10">
                  <c:v>-5.9090909090909065</c:v>
                </c:pt>
                <c:pt idx="11">
                  <c:v>-4.0909090909090935</c:v>
                </c:pt>
                <c:pt idx="12">
                  <c:v>-5</c:v>
                </c:pt>
                <c:pt idx="13">
                  <c:v>-5.2272727272727337</c:v>
                </c:pt>
                <c:pt idx="14">
                  <c:v>-7.9545454545454533</c:v>
                </c:pt>
                <c:pt idx="15">
                  <c:v>-6.818181818181813</c:v>
                </c:pt>
                <c:pt idx="16">
                  <c:v>-1.3636363636363598</c:v>
                </c:pt>
                <c:pt idx="17">
                  <c:v>3.181818181818187</c:v>
                </c:pt>
                <c:pt idx="18">
                  <c:v>3.636363636363626</c:v>
                </c:pt>
                <c:pt idx="19">
                  <c:v>1.818181818181813</c:v>
                </c:pt>
                <c:pt idx="20">
                  <c:v>0.45454545454546746</c:v>
                </c:pt>
                <c:pt idx="21">
                  <c:v>0</c:v>
                </c:pt>
                <c:pt idx="22">
                  <c:v>-0.45454545454546746</c:v>
                </c:pt>
                <c:pt idx="23">
                  <c:v>0</c:v>
                </c:pt>
                <c:pt idx="24">
                  <c:v>0</c:v>
                </c:pt>
                <c:pt idx="25">
                  <c:v>4.318181818181813</c:v>
                </c:pt>
                <c:pt idx="26">
                  <c:v>4.7727272727272805</c:v>
                </c:pt>
                <c:pt idx="27">
                  <c:v>2.7272727272727195</c:v>
                </c:pt>
                <c:pt idx="28">
                  <c:v>3.181818181818187</c:v>
                </c:pt>
                <c:pt idx="29">
                  <c:v>7.2727272727272805</c:v>
                </c:pt>
                <c:pt idx="30">
                  <c:v>12.5</c:v>
                </c:pt>
                <c:pt idx="31">
                  <c:v>10.909090909090907</c:v>
                </c:pt>
                <c:pt idx="32">
                  <c:v>15</c:v>
                </c:pt>
                <c:pt idx="33">
                  <c:v>21.590909090909093</c:v>
                </c:pt>
                <c:pt idx="34">
                  <c:v>29.77272727272728</c:v>
                </c:pt>
                <c:pt idx="35">
                  <c:v>25.681818181818187</c:v>
                </c:pt>
                <c:pt idx="36">
                  <c:v>26.136363636363626</c:v>
                </c:pt>
                <c:pt idx="37">
                  <c:v>30.22727272727272</c:v>
                </c:pt>
                <c:pt idx="38">
                  <c:v>29.545454545454533</c:v>
                </c:pt>
                <c:pt idx="39">
                  <c:v>27.727272727272748</c:v>
                </c:pt>
                <c:pt idx="40">
                  <c:v>33.863636363636374</c:v>
                </c:pt>
                <c:pt idx="41">
                  <c:v>35.909090909090935</c:v>
                </c:pt>
                <c:pt idx="42">
                  <c:v>44.318181818181813</c:v>
                </c:pt>
                <c:pt idx="43">
                  <c:v>33.863636363636374</c:v>
                </c:pt>
                <c:pt idx="44">
                  <c:v>31.590909090909065</c:v>
                </c:pt>
                <c:pt idx="45">
                  <c:v>27.272727272727252</c:v>
                </c:pt>
                <c:pt idx="46">
                  <c:v>-1.363636363636374</c:v>
                </c:pt>
                <c:pt idx="47">
                  <c:v>0</c:v>
                </c:pt>
                <c:pt idx="48">
                  <c:v>-1.363636363636374</c:v>
                </c:pt>
              </c:numCache>
            </c:numRef>
          </c:val>
        </c:ser>
        <c:ser>
          <c:idx val="12"/>
          <c:order val="12"/>
          <c:tx>
            <c:strRef>
              <c:f>score!$AM$1</c:f>
              <c:strCache>
                <c:ptCount val="1"/>
                <c:pt idx="0">
                  <c:v>Lothar</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score!$AM$2:$AM$77</c:f>
              <c:numCache>
                <c:formatCode>0.0</c:formatCode>
                <c:ptCount val="49"/>
                <c:pt idx="0">
                  <c:v>-2.7272727272727271</c:v>
                </c:pt>
                <c:pt idx="1">
                  <c:v>-7.5</c:v>
                </c:pt>
                <c:pt idx="2">
                  <c:v>-13.181818181818183</c:v>
                </c:pt>
                <c:pt idx="3">
                  <c:v>-13.18181818181818</c:v>
                </c:pt>
                <c:pt idx="4">
                  <c:v>-9.3181818181818201</c:v>
                </c:pt>
                <c:pt idx="5">
                  <c:v>-9.7727272727272734</c:v>
                </c:pt>
                <c:pt idx="6">
                  <c:v>-9.3181818181818201</c:v>
                </c:pt>
                <c:pt idx="7">
                  <c:v>-5.9090909090909065</c:v>
                </c:pt>
                <c:pt idx="8">
                  <c:v>0.45454545454545325</c:v>
                </c:pt>
                <c:pt idx="9">
                  <c:v>-0.68181818181818699</c:v>
                </c:pt>
                <c:pt idx="10">
                  <c:v>-0.90909090909090651</c:v>
                </c:pt>
                <c:pt idx="11">
                  <c:v>0.90909090909090651</c:v>
                </c:pt>
                <c:pt idx="12">
                  <c:v>0</c:v>
                </c:pt>
                <c:pt idx="13">
                  <c:v>-0.22727272727273373</c:v>
                </c:pt>
                <c:pt idx="14">
                  <c:v>-2.9545454545454533</c:v>
                </c:pt>
                <c:pt idx="15">
                  <c:v>-1.818181818181813</c:v>
                </c:pt>
                <c:pt idx="16">
                  <c:v>-6.3636363636363598</c:v>
                </c:pt>
                <c:pt idx="17">
                  <c:v>-11.818181818181813</c:v>
                </c:pt>
                <c:pt idx="18">
                  <c:v>-11.363636363636374</c:v>
                </c:pt>
                <c:pt idx="19">
                  <c:v>-13.181818181818187</c:v>
                </c:pt>
                <c:pt idx="20">
                  <c:v>-14.545454545454533</c:v>
                </c:pt>
                <c:pt idx="21">
                  <c:v>-15</c:v>
                </c:pt>
                <c:pt idx="22">
                  <c:v>-15.454545454545467</c:v>
                </c:pt>
                <c:pt idx="23">
                  <c:v>-15</c:v>
                </c:pt>
                <c:pt idx="24">
                  <c:v>-15</c:v>
                </c:pt>
                <c:pt idx="25">
                  <c:v>-10.681818181818187</c:v>
                </c:pt>
                <c:pt idx="26">
                  <c:v>-10.22727272727272</c:v>
                </c:pt>
                <c:pt idx="27">
                  <c:v>-7.2727272727272805</c:v>
                </c:pt>
                <c:pt idx="28">
                  <c:v>-6.818181818181813</c:v>
                </c:pt>
                <c:pt idx="29">
                  <c:v>-12.72727272727272</c:v>
                </c:pt>
                <c:pt idx="30">
                  <c:v>-12.5</c:v>
                </c:pt>
                <c:pt idx="31">
                  <c:v>-14.090909090909093</c:v>
                </c:pt>
                <c:pt idx="32">
                  <c:v>-10</c:v>
                </c:pt>
                <c:pt idx="33">
                  <c:v>-8.4090909090909065</c:v>
                </c:pt>
                <c:pt idx="34">
                  <c:v>-10.22727272727272</c:v>
                </c:pt>
                <c:pt idx="35">
                  <c:v>-9.318181818181813</c:v>
                </c:pt>
                <c:pt idx="36">
                  <c:v>-8.863636363636374</c:v>
                </c:pt>
                <c:pt idx="37">
                  <c:v>-14.77272727272728</c:v>
                </c:pt>
                <c:pt idx="38">
                  <c:v>-15.454545454545467</c:v>
                </c:pt>
                <c:pt idx="39">
                  <c:v>-17.272727272727252</c:v>
                </c:pt>
                <c:pt idx="40">
                  <c:v>-11.136363636363626</c:v>
                </c:pt>
                <c:pt idx="41">
                  <c:v>-24.090909090909065</c:v>
                </c:pt>
                <c:pt idx="42">
                  <c:v>-15.681818181818187</c:v>
                </c:pt>
                <c:pt idx="43">
                  <c:v>-26.136363636363626</c:v>
                </c:pt>
                <c:pt idx="44">
                  <c:v>-23.409090909090935</c:v>
                </c:pt>
                <c:pt idx="45">
                  <c:v>-17.727272727272748</c:v>
                </c:pt>
                <c:pt idx="46">
                  <c:v>-1.363636363636374</c:v>
                </c:pt>
                <c:pt idx="47">
                  <c:v>-5</c:v>
                </c:pt>
                <c:pt idx="48">
                  <c:v>-6.363636363636374</c:v>
                </c:pt>
              </c:numCache>
            </c:numRef>
          </c:val>
        </c:ser>
        <c:ser>
          <c:idx val="13"/>
          <c:order val="13"/>
          <c:tx>
            <c:strRef>
              <c:f>score!$AN$1</c:f>
              <c:strCache>
                <c:ptCount val="1"/>
                <c:pt idx="0">
                  <c:v>Jan</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score!$AN$2:$AN$77</c:f>
              <c:numCache>
                <c:formatCode>0.0</c:formatCode>
                <c:ptCount val="49"/>
                <c:pt idx="0">
                  <c:v>7.2727272727272734</c:v>
                </c:pt>
                <c:pt idx="1">
                  <c:v>7.5</c:v>
                </c:pt>
                <c:pt idx="2">
                  <c:v>21.818181818181817</c:v>
                </c:pt>
                <c:pt idx="3">
                  <c:v>26.81818181818182</c:v>
                </c:pt>
                <c:pt idx="4">
                  <c:v>30.68181818181818</c:v>
                </c:pt>
                <c:pt idx="5">
                  <c:v>25.227272727272727</c:v>
                </c:pt>
                <c:pt idx="6">
                  <c:v>20.68181818181818</c:v>
                </c:pt>
                <c:pt idx="7">
                  <c:v>19.090909090909093</c:v>
                </c:pt>
                <c:pt idx="8">
                  <c:v>25.454545454545453</c:v>
                </c:pt>
                <c:pt idx="9">
                  <c:v>24.318181818181813</c:v>
                </c:pt>
                <c:pt idx="10">
                  <c:v>24.090909090909093</c:v>
                </c:pt>
                <c:pt idx="11">
                  <c:v>15.909090909090907</c:v>
                </c:pt>
                <c:pt idx="12">
                  <c:v>15</c:v>
                </c:pt>
                <c:pt idx="13">
                  <c:v>14.772727272727266</c:v>
                </c:pt>
                <c:pt idx="14">
                  <c:v>12.045454545454547</c:v>
                </c:pt>
                <c:pt idx="15">
                  <c:v>8.181818181818187</c:v>
                </c:pt>
                <c:pt idx="16">
                  <c:v>13.63636363636364</c:v>
                </c:pt>
                <c:pt idx="17">
                  <c:v>8.181818181818187</c:v>
                </c:pt>
                <c:pt idx="18">
                  <c:v>13.636363636363626</c:v>
                </c:pt>
                <c:pt idx="19">
                  <c:v>16.818181818181813</c:v>
                </c:pt>
                <c:pt idx="20">
                  <c:v>25.454545454545467</c:v>
                </c:pt>
                <c:pt idx="21">
                  <c:v>25</c:v>
                </c:pt>
                <c:pt idx="22">
                  <c:v>24.545454545454533</c:v>
                </c:pt>
                <c:pt idx="23">
                  <c:v>25</c:v>
                </c:pt>
                <c:pt idx="24">
                  <c:v>25</c:v>
                </c:pt>
                <c:pt idx="25">
                  <c:v>19.318181818181813</c:v>
                </c:pt>
                <c:pt idx="26">
                  <c:v>19.77272727272728</c:v>
                </c:pt>
                <c:pt idx="27">
                  <c:v>17.72727272727272</c:v>
                </c:pt>
                <c:pt idx="28">
                  <c:v>18.181818181818187</c:v>
                </c:pt>
                <c:pt idx="29">
                  <c:v>22.27272727272728</c:v>
                </c:pt>
                <c:pt idx="30">
                  <c:v>22.5</c:v>
                </c:pt>
                <c:pt idx="31">
                  <c:v>30.909090909090907</c:v>
                </c:pt>
                <c:pt idx="32">
                  <c:v>35</c:v>
                </c:pt>
                <c:pt idx="33">
                  <c:v>31.590909090909093</c:v>
                </c:pt>
                <c:pt idx="34">
                  <c:v>29.77272727272728</c:v>
                </c:pt>
                <c:pt idx="35">
                  <c:v>30.681818181818187</c:v>
                </c:pt>
                <c:pt idx="36">
                  <c:v>31.136363636363626</c:v>
                </c:pt>
                <c:pt idx="37">
                  <c:v>30.22727272727272</c:v>
                </c:pt>
                <c:pt idx="38">
                  <c:v>29.545454545454533</c:v>
                </c:pt>
                <c:pt idx="39">
                  <c:v>27.727272727272748</c:v>
                </c:pt>
                <c:pt idx="40">
                  <c:v>23.863636363636374</c:v>
                </c:pt>
                <c:pt idx="41">
                  <c:v>25.909090909090935</c:v>
                </c:pt>
                <c:pt idx="42">
                  <c:v>34.318181818181813</c:v>
                </c:pt>
                <c:pt idx="43">
                  <c:v>23.863636363636374</c:v>
                </c:pt>
                <c:pt idx="44">
                  <c:v>21.590909090909065</c:v>
                </c:pt>
                <c:pt idx="45">
                  <c:v>17.272727272727252</c:v>
                </c:pt>
                <c:pt idx="46">
                  <c:v>-11.363636363636374</c:v>
                </c:pt>
                <c:pt idx="47">
                  <c:v>-10</c:v>
                </c:pt>
                <c:pt idx="48">
                  <c:v>-11.363636363636374</c:v>
                </c:pt>
              </c:numCache>
            </c:numRef>
          </c:val>
        </c:ser>
        <c:ser>
          <c:idx val="14"/>
          <c:order val="14"/>
          <c:tx>
            <c:strRef>
              <c:f>score!$AO$1</c:f>
              <c:strCache>
                <c:ptCount val="1"/>
                <c:pt idx="0">
                  <c:v>Jerome</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score!$AO$2:$AO$77</c:f>
              <c:numCache>
                <c:formatCode>0.0</c:formatCode>
                <c:ptCount val="49"/>
                <c:pt idx="0">
                  <c:v>-2.7272727272727271</c:v>
                </c:pt>
                <c:pt idx="1">
                  <c:v>-2.5</c:v>
                </c:pt>
                <c:pt idx="2">
                  <c:v>1.8181818181818166</c:v>
                </c:pt>
                <c:pt idx="3">
                  <c:v>-3.1818181818181799</c:v>
                </c:pt>
                <c:pt idx="4">
                  <c:v>-4.3181818181818201</c:v>
                </c:pt>
                <c:pt idx="5">
                  <c:v>-4.7727272727272734</c:v>
                </c:pt>
                <c:pt idx="6">
                  <c:v>0.68181818181817988</c:v>
                </c:pt>
                <c:pt idx="7">
                  <c:v>-0.90909090909090651</c:v>
                </c:pt>
                <c:pt idx="8">
                  <c:v>-9.5454545454545467</c:v>
                </c:pt>
                <c:pt idx="9">
                  <c:v>-10.681818181818187</c:v>
                </c:pt>
                <c:pt idx="10">
                  <c:v>-10.909090909090907</c:v>
                </c:pt>
                <c:pt idx="11">
                  <c:v>-9.0909090909090935</c:v>
                </c:pt>
                <c:pt idx="12">
                  <c:v>-10</c:v>
                </c:pt>
                <c:pt idx="13">
                  <c:v>-5.2272727272727337</c:v>
                </c:pt>
                <c:pt idx="14">
                  <c:v>2.0454545454545467</c:v>
                </c:pt>
                <c:pt idx="15">
                  <c:v>-1.818181818181813</c:v>
                </c:pt>
                <c:pt idx="16">
                  <c:v>3.6363636363636402</c:v>
                </c:pt>
                <c:pt idx="17">
                  <c:v>-1.818181818181813</c:v>
                </c:pt>
                <c:pt idx="18">
                  <c:v>-6.363636363636374</c:v>
                </c:pt>
                <c:pt idx="19">
                  <c:v>-8.181818181818187</c:v>
                </c:pt>
                <c:pt idx="20">
                  <c:v>-9.5454545454545325</c:v>
                </c:pt>
                <c:pt idx="21">
                  <c:v>-5</c:v>
                </c:pt>
                <c:pt idx="22">
                  <c:v>-5.4545454545454675</c:v>
                </c:pt>
                <c:pt idx="23">
                  <c:v>5</c:v>
                </c:pt>
                <c:pt idx="24">
                  <c:v>5</c:v>
                </c:pt>
                <c:pt idx="25">
                  <c:v>-0.68181818181818699</c:v>
                </c:pt>
                <c:pt idx="26">
                  <c:v>-0.22727272727271952</c:v>
                </c:pt>
                <c:pt idx="27">
                  <c:v>2.7272727272727195</c:v>
                </c:pt>
                <c:pt idx="28">
                  <c:v>3.181818181818187</c:v>
                </c:pt>
                <c:pt idx="29">
                  <c:v>7.2727272727272805</c:v>
                </c:pt>
                <c:pt idx="30">
                  <c:v>2.5</c:v>
                </c:pt>
                <c:pt idx="31">
                  <c:v>0.90909090909090651</c:v>
                </c:pt>
                <c:pt idx="32">
                  <c:v>5</c:v>
                </c:pt>
                <c:pt idx="33">
                  <c:v>1.5909090909090935</c:v>
                </c:pt>
                <c:pt idx="34">
                  <c:v>4.7727272727272805</c:v>
                </c:pt>
                <c:pt idx="35">
                  <c:v>5.681818181818187</c:v>
                </c:pt>
                <c:pt idx="36">
                  <c:v>6.136363636363626</c:v>
                </c:pt>
                <c:pt idx="37">
                  <c:v>5.2272727272727195</c:v>
                </c:pt>
                <c:pt idx="38">
                  <c:v>4.5454545454545325</c:v>
                </c:pt>
                <c:pt idx="39">
                  <c:v>2.7272727272727479</c:v>
                </c:pt>
                <c:pt idx="40">
                  <c:v>-1.136363636363626</c:v>
                </c:pt>
                <c:pt idx="41">
                  <c:v>-14.090909090909065</c:v>
                </c:pt>
                <c:pt idx="42">
                  <c:v>4.318181818181813</c:v>
                </c:pt>
                <c:pt idx="43">
                  <c:v>3.863636363636374</c:v>
                </c:pt>
                <c:pt idx="44">
                  <c:v>1.5909090909090651</c:v>
                </c:pt>
                <c:pt idx="45">
                  <c:v>2.2727272727272521</c:v>
                </c:pt>
                <c:pt idx="46">
                  <c:v>-26.363636363636374</c:v>
                </c:pt>
                <c:pt idx="47">
                  <c:v>-25</c:v>
                </c:pt>
                <c:pt idx="48">
                  <c:v>-21.363636363636374</c:v>
                </c:pt>
              </c:numCache>
            </c:numRef>
          </c:val>
        </c:ser>
        <c:ser>
          <c:idx val="15"/>
          <c:order val="15"/>
          <c:tx>
            <c:strRef>
              <c:f>score!$AP$1</c:f>
              <c:strCache>
                <c:ptCount val="1"/>
                <c:pt idx="0">
                  <c:v>Lafleur</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score!$AP$2:$AP$77</c:f>
              <c:numCache>
                <c:formatCode>0.0</c:formatCode>
                <c:ptCount val="49"/>
                <c:pt idx="0">
                  <c:v>-2.7272727272727271</c:v>
                </c:pt>
                <c:pt idx="1">
                  <c:v>7.5</c:v>
                </c:pt>
                <c:pt idx="2">
                  <c:v>6.8181818181818166</c:v>
                </c:pt>
                <c:pt idx="3">
                  <c:v>21.81818181818182</c:v>
                </c:pt>
                <c:pt idx="4">
                  <c:v>20.68181818181818</c:v>
                </c:pt>
                <c:pt idx="5">
                  <c:v>15.227272727272727</c:v>
                </c:pt>
                <c:pt idx="6">
                  <c:v>10.68181818181818</c:v>
                </c:pt>
                <c:pt idx="7">
                  <c:v>14.090909090909093</c:v>
                </c:pt>
                <c:pt idx="8">
                  <c:v>10.454545454545453</c:v>
                </c:pt>
                <c:pt idx="9">
                  <c:v>9.318181818181813</c:v>
                </c:pt>
                <c:pt idx="10">
                  <c:v>9.0909090909090935</c:v>
                </c:pt>
                <c:pt idx="11">
                  <c:v>10.909090909090907</c:v>
                </c:pt>
                <c:pt idx="12">
                  <c:v>10</c:v>
                </c:pt>
                <c:pt idx="13">
                  <c:v>9.7727272727272663</c:v>
                </c:pt>
                <c:pt idx="14">
                  <c:v>7.0454545454545467</c:v>
                </c:pt>
                <c:pt idx="15">
                  <c:v>8.181818181818187</c:v>
                </c:pt>
                <c:pt idx="16">
                  <c:v>3.6363636363636402</c:v>
                </c:pt>
                <c:pt idx="17">
                  <c:v>8.181818181818187</c:v>
                </c:pt>
                <c:pt idx="18">
                  <c:v>8.636363636363626</c:v>
                </c:pt>
                <c:pt idx="19">
                  <c:v>6.818181818181813</c:v>
                </c:pt>
                <c:pt idx="20">
                  <c:v>5.4545454545454675</c:v>
                </c:pt>
                <c:pt idx="21">
                  <c:v>5</c:v>
                </c:pt>
                <c:pt idx="22">
                  <c:v>4.5454545454545325</c:v>
                </c:pt>
                <c:pt idx="23">
                  <c:v>5</c:v>
                </c:pt>
                <c:pt idx="24">
                  <c:v>5</c:v>
                </c:pt>
                <c:pt idx="25">
                  <c:v>9.318181818181813</c:v>
                </c:pt>
                <c:pt idx="26">
                  <c:v>9.7727272727272805</c:v>
                </c:pt>
                <c:pt idx="27">
                  <c:v>7.7272727272727195</c:v>
                </c:pt>
                <c:pt idx="28">
                  <c:v>8.181818181818187</c:v>
                </c:pt>
                <c:pt idx="29">
                  <c:v>12.27272727272728</c:v>
                </c:pt>
                <c:pt idx="30">
                  <c:v>12.5</c:v>
                </c:pt>
                <c:pt idx="31">
                  <c:v>10.909090909090907</c:v>
                </c:pt>
                <c:pt idx="32">
                  <c:v>5</c:v>
                </c:pt>
                <c:pt idx="33">
                  <c:v>1.5909090909090935</c:v>
                </c:pt>
                <c:pt idx="34">
                  <c:v>-0.22727272727271952</c:v>
                </c:pt>
                <c:pt idx="35">
                  <c:v>0.68181818181818699</c:v>
                </c:pt>
                <c:pt idx="36">
                  <c:v>1.136363636363626</c:v>
                </c:pt>
                <c:pt idx="37">
                  <c:v>5.2272727272727195</c:v>
                </c:pt>
                <c:pt idx="38">
                  <c:v>-0.45454545454546746</c:v>
                </c:pt>
                <c:pt idx="39">
                  <c:v>-2.2727272727272521</c:v>
                </c:pt>
                <c:pt idx="40">
                  <c:v>-6.136363636363626</c:v>
                </c:pt>
                <c:pt idx="41">
                  <c:v>10.909090909090935</c:v>
                </c:pt>
                <c:pt idx="42">
                  <c:v>19.318181818181813</c:v>
                </c:pt>
                <c:pt idx="43">
                  <c:v>8.863636363636374</c:v>
                </c:pt>
                <c:pt idx="44">
                  <c:v>6.5909090909090651</c:v>
                </c:pt>
                <c:pt idx="45">
                  <c:v>7.2727272727272521</c:v>
                </c:pt>
                <c:pt idx="46">
                  <c:v>-21.363636363636374</c:v>
                </c:pt>
                <c:pt idx="47">
                  <c:v>-25</c:v>
                </c:pt>
                <c:pt idx="48">
                  <c:v>-26.363636363636374</c:v>
                </c:pt>
              </c:numCache>
            </c:numRef>
          </c:val>
        </c:ser>
        <c:ser>
          <c:idx val="16"/>
          <c:order val="16"/>
          <c:tx>
            <c:strRef>
              <c:f>score!$AQ$1</c:f>
              <c:strCache>
                <c:ptCount val="1"/>
                <c:pt idx="0">
                  <c:v>Gerard</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score!$AQ$2:$AQ$77</c:f>
              <c:numCache>
                <c:formatCode>0.0</c:formatCode>
                <c:ptCount val="49"/>
                <c:pt idx="0">
                  <c:v>7.2727272727272734</c:v>
                </c:pt>
                <c:pt idx="1">
                  <c:v>17.5</c:v>
                </c:pt>
                <c:pt idx="2">
                  <c:v>11.818181818181817</c:v>
                </c:pt>
                <c:pt idx="3">
                  <c:v>6.8181818181818201</c:v>
                </c:pt>
                <c:pt idx="4">
                  <c:v>5.6818181818181799</c:v>
                </c:pt>
                <c:pt idx="5">
                  <c:v>5.2272727272727266</c:v>
                </c:pt>
                <c:pt idx="6">
                  <c:v>0.68181818181817988</c:v>
                </c:pt>
                <c:pt idx="7">
                  <c:v>-0.90909090909090651</c:v>
                </c:pt>
                <c:pt idx="8">
                  <c:v>0.45454545454545325</c:v>
                </c:pt>
                <c:pt idx="9">
                  <c:v>-0.68181818181818699</c:v>
                </c:pt>
                <c:pt idx="10">
                  <c:v>-0.90909090909090651</c:v>
                </c:pt>
                <c:pt idx="11">
                  <c:v>0.90909090909090651</c:v>
                </c:pt>
                <c:pt idx="12">
                  <c:v>0</c:v>
                </c:pt>
                <c:pt idx="13">
                  <c:v>-0.22727272727273373</c:v>
                </c:pt>
                <c:pt idx="14">
                  <c:v>-2.9545454545454533</c:v>
                </c:pt>
                <c:pt idx="15">
                  <c:v>-1.818181818181813</c:v>
                </c:pt>
                <c:pt idx="16">
                  <c:v>-1.3636363636363598</c:v>
                </c:pt>
                <c:pt idx="17">
                  <c:v>3.181818181818187</c:v>
                </c:pt>
                <c:pt idx="18">
                  <c:v>3.636363636363626</c:v>
                </c:pt>
                <c:pt idx="19">
                  <c:v>11.818181818181813</c:v>
                </c:pt>
                <c:pt idx="20">
                  <c:v>10.454545454545467</c:v>
                </c:pt>
                <c:pt idx="21">
                  <c:v>10</c:v>
                </c:pt>
                <c:pt idx="22">
                  <c:v>9.5454545454545325</c:v>
                </c:pt>
                <c:pt idx="23">
                  <c:v>10</c:v>
                </c:pt>
                <c:pt idx="24">
                  <c:v>10</c:v>
                </c:pt>
                <c:pt idx="25">
                  <c:v>4.318181818181813</c:v>
                </c:pt>
                <c:pt idx="26">
                  <c:v>4.7727272727272805</c:v>
                </c:pt>
                <c:pt idx="27">
                  <c:v>7.7272727272727195</c:v>
                </c:pt>
                <c:pt idx="28">
                  <c:v>8.181818181818187</c:v>
                </c:pt>
                <c:pt idx="29">
                  <c:v>2.2727272727272805</c:v>
                </c:pt>
                <c:pt idx="30">
                  <c:v>-2.5</c:v>
                </c:pt>
                <c:pt idx="31">
                  <c:v>-4.0909090909090935</c:v>
                </c:pt>
                <c:pt idx="32">
                  <c:v>0</c:v>
                </c:pt>
                <c:pt idx="33">
                  <c:v>-3.4090909090909065</c:v>
                </c:pt>
                <c:pt idx="34">
                  <c:v>-5.2272727272727195</c:v>
                </c:pt>
                <c:pt idx="35">
                  <c:v>-4.318181818181813</c:v>
                </c:pt>
                <c:pt idx="36">
                  <c:v>1.136363636363626</c:v>
                </c:pt>
                <c:pt idx="37">
                  <c:v>0.22727272727271952</c:v>
                </c:pt>
                <c:pt idx="38">
                  <c:v>-0.45454545454546746</c:v>
                </c:pt>
                <c:pt idx="39">
                  <c:v>2.7272727272727479</c:v>
                </c:pt>
                <c:pt idx="40">
                  <c:v>3.863636363636374</c:v>
                </c:pt>
                <c:pt idx="41">
                  <c:v>5.9090909090909349</c:v>
                </c:pt>
                <c:pt idx="42">
                  <c:v>14.318181818181813</c:v>
                </c:pt>
                <c:pt idx="43">
                  <c:v>3.863636363636374</c:v>
                </c:pt>
                <c:pt idx="44">
                  <c:v>1.5909090909090651</c:v>
                </c:pt>
                <c:pt idx="45">
                  <c:v>-2.7272727272727479</c:v>
                </c:pt>
                <c:pt idx="46">
                  <c:v>-31.363636363636374</c:v>
                </c:pt>
                <c:pt idx="47">
                  <c:v>-30</c:v>
                </c:pt>
                <c:pt idx="48">
                  <c:v>-31.363636363636374</c:v>
                </c:pt>
              </c:numCache>
            </c:numRef>
          </c:val>
        </c:ser>
        <c:ser>
          <c:idx val="17"/>
          <c:order val="17"/>
          <c:tx>
            <c:strRef>
              <c:f>score!$AR$1</c:f>
              <c:strCache>
                <c:ptCount val="1"/>
                <c:pt idx="0">
                  <c:v>Joris</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score!$AR$2:$AR$77</c:f>
              <c:numCache>
                <c:formatCode>0.0</c:formatCode>
                <c:ptCount val="49"/>
                <c:pt idx="0">
                  <c:v>-2.7272727272727271</c:v>
                </c:pt>
                <c:pt idx="1">
                  <c:v>-2.5</c:v>
                </c:pt>
                <c:pt idx="2">
                  <c:v>-3.1818181818181834</c:v>
                </c:pt>
                <c:pt idx="3">
                  <c:v>-3.1818181818181799</c:v>
                </c:pt>
                <c:pt idx="4">
                  <c:v>0.68181818181817988</c:v>
                </c:pt>
                <c:pt idx="5">
                  <c:v>0.22727272727272663</c:v>
                </c:pt>
                <c:pt idx="6">
                  <c:v>-4.3181818181818201</c:v>
                </c:pt>
                <c:pt idx="7">
                  <c:v>-5.9090909090909065</c:v>
                </c:pt>
                <c:pt idx="8">
                  <c:v>-4.5454545454545467</c:v>
                </c:pt>
                <c:pt idx="9">
                  <c:v>-0.68181818181818699</c:v>
                </c:pt>
                <c:pt idx="10">
                  <c:v>-0.90909090909090651</c:v>
                </c:pt>
                <c:pt idx="11">
                  <c:v>0.90909090909090651</c:v>
                </c:pt>
                <c:pt idx="12">
                  <c:v>0</c:v>
                </c:pt>
                <c:pt idx="13">
                  <c:v>4.7727272727272663</c:v>
                </c:pt>
                <c:pt idx="14">
                  <c:v>2.0454545454545467</c:v>
                </c:pt>
                <c:pt idx="15">
                  <c:v>3.181818181818187</c:v>
                </c:pt>
                <c:pt idx="16">
                  <c:v>8.6363636363636402</c:v>
                </c:pt>
                <c:pt idx="17">
                  <c:v>13.181818181818187</c:v>
                </c:pt>
                <c:pt idx="18">
                  <c:v>13.636363636363626</c:v>
                </c:pt>
                <c:pt idx="19">
                  <c:v>11.818181818181813</c:v>
                </c:pt>
                <c:pt idx="20">
                  <c:v>10.454545454545467</c:v>
                </c:pt>
                <c:pt idx="21">
                  <c:v>10</c:v>
                </c:pt>
                <c:pt idx="22">
                  <c:v>9.5454545454545325</c:v>
                </c:pt>
                <c:pt idx="23">
                  <c:v>10</c:v>
                </c:pt>
                <c:pt idx="24">
                  <c:v>10</c:v>
                </c:pt>
                <c:pt idx="25">
                  <c:v>4.318181818181813</c:v>
                </c:pt>
                <c:pt idx="26">
                  <c:v>-5.2272727272727195</c:v>
                </c:pt>
                <c:pt idx="27">
                  <c:v>-2.2727272727272805</c:v>
                </c:pt>
                <c:pt idx="28">
                  <c:v>-6.818181818181813</c:v>
                </c:pt>
                <c:pt idx="29">
                  <c:v>-2.7272727272727195</c:v>
                </c:pt>
                <c:pt idx="30">
                  <c:v>-2.5</c:v>
                </c:pt>
                <c:pt idx="31">
                  <c:v>-4.0909090909090935</c:v>
                </c:pt>
                <c:pt idx="32">
                  <c:v>0</c:v>
                </c:pt>
                <c:pt idx="33">
                  <c:v>1.5909090909090935</c:v>
                </c:pt>
                <c:pt idx="34">
                  <c:v>-0.22727272727271952</c:v>
                </c:pt>
                <c:pt idx="35">
                  <c:v>0.68181818181818699</c:v>
                </c:pt>
                <c:pt idx="36">
                  <c:v>1.136363636363626</c:v>
                </c:pt>
                <c:pt idx="37">
                  <c:v>-4.7727272727272805</c:v>
                </c:pt>
                <c:pt idx="38">
                  <c:v>-5.4545454545454675</c:v>
                </c:pt>
                <c:pt idx="39">
                  <c:v>-7.2727272727272521</c:v>
                </c:pt>
                <c:pt idx="40">
                  <c:v>-11.136363636363626</c:v>
                </c:pt>
                <c:pt idx="41">
                  <c:v>-24.090909090909065</c:v>
                </c:pt>
                <c:pt idx="42">
                  <c:v>-15.681818181818187</c:v>
                </c:pt>
                <c:pt idx="43">
                  <c:v>-26.136363636363626</c:v>
                </c:pt>
                <c:pt idx="44">
                  <c:v>-23.409090909090935</c:v>
                </c:pt>
                <c:pt idx="45">
                  <c:v>-27.727272727272748</c:v>
                </c:pt>
                <c:pt idx="46">
                  <c:v>-56.363636363636374</c:v>
                </c:pt>
                <c:pt idx="47">
                  <c:v>-60</c:v>
                </c:pt>
                <c:pt idx="48">
                  <c:v>-61.363636363636374</c:v>
                </c:pt>
              </c:numCache>
            </c:numRef>
          </c:val>
        </c:ser>
        <c:ser>
          <c:idx val="18"/>
          <c:order val="18"/>
          <c:tx>
            <c:strRef>
              <c:f>score!$AS$1</c:f>
              <c:strCache>
                <c:ptCount val="1"/>
                <c:pt idx="0">
                  <c:v>Linda</c:v>
                </c:pt>
              </c:strCache>
            </c:strRef>
          </c:tx>
          <c:spPr>
            <a:ln>
              <a:solidFill>
                <a:srgbClr val="FFFF00"/>
              </a:solidFill>
            </a:ln>
          </c:spPr>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score!$AS$2:$AS$77</c:f>
              <c:numCache>
                <c:formatCode>0.0</c:formatCode>
                <c:ptCount val="49"/>
                <c:pt idx="0">
                  <c:v>-2.7272727272727271</c:v>
                </c:pt>
                <c:pt idx="1">
                  <c:v>2.5</c:v>
                </c:pt>
                <c:pt idx="2">
                  <c:v>-3.1818181818181834</c:v>
                </c:pt>
                <c:pt idx="3">
                  <c:v>-8.1818181818181799</c:v>
                </c:pt>
                <c:pt idx="4">
                  <c:v>-9.3181818181818201</c:v>
                </c:pt>
                <c:pt idx="5">
                  <c:v>-4.7727272727272734</c:v>
                </c:pt>
                <c:pt idx="6">
                  <c:v>-4.3181818181818201</c:v>
                </c:pt>
                <c:pt idx="7">
                  <c:v>-10.909090909090907</c:v>
                </c:pt>
                <c:pt idx="8">
                  <c:v>-14.545454545454547</c:v>
                </c:pt>
                <c:pt idx="9">
                  <c:v>-5.681818181818187</c:v>
                </c:pt>
                <c:pt idx="10">
                  <c:v>-5.9090909090909065</c:v>
                </c:pt>
                <c:pt idx="11">
                  <c:v>5.9090909090909065</c:v>
                </c:pt>
                <c:pt idx="12">
                  <c:v>5</c:v>
                </c:pt>
                <c:pt idx="13">
                  <c:v>4.7727272727272663</c:v>
                </c:pt>
                <c:pt idx="14">
                  <c:v>2.0454545454545467</c:v>
                </c:pt>
                <c:pt idx="15">
                  <c:v>3.181818181818187</c:v>
                </c:pt>
                <c:pt idx="16">
                  <c:v>-1.3636363636363598</c:v>
                </c:pt>
                <c:pt idx="17">
                  <c:v>-6.818181818181813</c:v>
                </c:pt>
                <c:pt idx="18">
                  <c:v>-6.363636363636374</c:v>
                </c:pt>
                <c:pt idx="19">
                  <c:v>-8.181818181818187</c:v>
                </c:pt>
                <c:pt idx="20">
                  <c:v>-9.5454545454545325</c:v>
                </c:pt>
                <c:pt idx="21">
                  <c:v>-10</c:v>
                </c:pt>
                <c:pt idx="22">
                  <c:v>-10.454545454545467</c:v>
                </c:pt>
                <c:pt idx="23">
                  <c:v>-10</c:v>
                </c:pt>
                <c:pt idx="24">
                  <c:v>-10</c:v>
                </c:pt>
                <c:pt idx="25">
                  <c:v>-5.681818181818187</c:v>
                </c:pt>
                <c:pt idx="26">
                  <c:v>-5.2272727272727195</c:v>
                </c:pt>
                <c:pt idx="27">
                  <c:v>-7.2727272727272805</c:v>
                </c:pt>
                <c:pt idx="28">
                  <c:v>-6.818181818181813</c:v>
                </c:pt>
                <c:pt idx="29">
                  <c:v>-2.7272727272727195</c:v>
                </c:pt>
                <c:pt idx="30">
                  <c:v>2.5</c:v>
                </c:pt>
                <c:pt idx="31">
                  <c:v>0.90909090909090651</c:v>
                </c:pt>
                <c:pt idx="32">
                  <c:v>5</c:v>
                </c:pt>
                <c:pt idx="33">
                  <c:v>1.5909090909090935</c:v>
                </c:pt>
                <c:pt idx="34">
                  <c:v>-0.22727272727271952</c:v>
                </c:pt>
                <c:pt idx="35">
                  <c:v>0.68181818181818699</c:v>
                </c:pt>
                <c:pt idx="36">
                  <c:v>1.136363636363626</c:v>
                </c:pt>
                <c:pt idx="37">
                  <c:v>5.2272727272727195</c:v>
                </c:pt>
                <c:pt idx="38">
                  <c:v>9.5454545454545325</c:v>
                </c:pt>
                <c:pt idx="39">
                  <c:v>7.7272727272727479</c:v>
                </c:pt>
                <c:pt idx="40">
                  <c:v>3.863636363636374</c:v>
                </c:pt>
                <c:pt idx="41">
                  <c:v>5.9090909090909349</c:v>
                </c:pt>
                <c:pt idx="42">
                  <c:v>14.318181818181813</c:v>
                </c:pt>
                <c:pt idx="43">
                  <c:v>3.863636363636374</c:v>
                </c:pt>
                <c:pt idx="44">
                  <c:v>1.5909090909090651</c:v>
                </c:pt>
                <c:pt idx="45">
                  <c:v>-2.7272727272727479</c:v>
                </c:pt>
                <c:pt idx="46">
                  <c:v>-76.363636363636374</c:v>
                </c:pt>
                <c:pt idx="47">
                  <c:v>-75</c:v>
                </c:pt>
                <c:pt idx="48">
                  <c:v>-76.363636363636374</c:v>
                </c:pt>
              </c:numCache>
            </c:numRef>
          </c:val>
        </c:ser>
        <c:ser>
          <c:idx val="19"/>
          <c:order val="19"/>
          <c:tx>
            <c:strRef>
              <c:f>score!$AT$1</c:f>
              <c:strCache>
                <c:ptCount val="1"/>
                <c:pt idx="0">
                  <c:v>LeSu</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score!$AT$2:$AT$77</c:f>
              <c:numCache>
                <c:formatCode>0.0</c:formatCode>
                <c:ptCount val="49"/>
                <c:pt idx="0">
                  <c:v>-2.7272727272727271</c:v>
                </c:pt>
                <c:pt idx="1">
                  <c:v>-7.5</c:v>
                </c:pt>
                <c:pt idx="2">
                  <c:v>-13.181818181818183</c:v>
                </c:pt>
                <c:pt idx="3">
                  <c:v>-3.1818181818181799</c:v>
                </c:pt>
                <c:pt idx="4">
                  <c:v>-4.3181818181818201</c:v>
                </c:pt>
                <c:pt idx="5">
                  <c:v>-14.772727272727273</c:v>
                </c:pt>
                <c:pt idx="6">
                  <c:v>-19.31818181818182</c:v>
                </c:pt>
                <c:pt idx="7">
                  <c:v>-5.9090909090909065</c:v>
                </c:pt>
                <c:pt idx="8">
                  <c:v>-9.5454545454545467</c:v>
                </c:pt>
                <c:pt idx="9">
                  <c:v>-10.681818181818187</c:v>
                </c:pt>
                <c:pt idx="10">
                  <c:v>-10.909090909090907</c:v>
                </c:pt>
                <c:pt idx="11">
                  <c:v>-19.090909090909093</c:v>
                </c:pt>
                <c:pt idx="12">
                  <c:v>-20</c:v>
                </c:pt>
                <c:pt idx="13">
                  <c:v>-20.227272727272734</c:v>
                </c:pt>
                <c:pt idx="14">
                  <c:v>-12.954545454545453</c:v>
                </c:pt>
                <c:pt idx="15">
                  <c:v>-6.818181818181813</c:v>
                </c:pt>
                <c:pt idx="16">
                  <c:v>-1.3636363636363598</c:v>
                </c:pt>
                <c:pt idx="17">
                  <c:v>3.181818181818187</c:v>
                </c:pt>
                <c:pt idx="18">
                  <c:v>-1.363636363636374</c:v>
                </c:pt>
                <c:pt idx="19">
                  <c:v>-3.181818181818187</c:v>
                </c:pt>
                <c:pt idx="20">
                  <c:v>-4.5454545454545325</c:v>
                </c:pt>
                <c:pt idx="21">
                  <c:v>0</c:v>
                </c:pt>
                <c:pt idx="22">
                  <c:v>-0.45454545454546746</c:v>
                </c:pt>
                <c:pt idx="23">
                  <c:v>-10</c:v>
                </c:pt>
                <c:pt idx="24">
                  <c:v>-10</c:v>
                </c:pt>
                <c:pt idx="25">
                  <c:v>-10.681818181818187</c:v>
                </c:pt>
                <c:pt idx="26">
                  <c:v>-10.22727272727272</c:v>
                </c:pt>
                <c:pt idx="27">
                  <c:v>-7.2727272727272805</c:v>
                </c:pt>
                <c:pt idx="28">
                  <c:v>-11.818181818181813</c:v>
                </c:pt>
                <c:pt idx="29">
                  <c:v>-7.7272727272727195</c:v>
                </c:pt>
                <c:pt idx="30">
                  <c:v>-12.5</c:v>
                </c:pt>
                <c:pt idx="31">
                  <c:v>-14.090909090909093</c:v>
                </c:pt>
                <c:pt idx="32">
                  <c:v>-20</c:v>
                </c:pt>
                <c:pt idx="33">
                  <c:v>-23.409090909090907</c:v>
                </c:pt>
                <c:pt idx="34">
                  <c:v>-20.22727272727272</c:v>
                </c:pt>
                <c:pt idx="35">
                  <c:v>-19.318181818181813</c:v>
                </c:pt>
                <c:pt idx="36">
                  <c:v>-18.863636363636374</c:v>
                </c:pt>
                <c:pt idx="37">
                  <c:v>-19.77272727272728</c:v>
                </c:pt>
                <c:pt idx="38">
                  <c:v>-15.454545454545467</c:v>
                </c:pt>
                <c:pt idx="39">
                  <c:v>-12.272727272727252</c:v>
                </c:pt>
                <c:pt idx="40">
                  <c:v>-11.136363636363626</c:v>
                </c:pt>
                <c:pt idx="41">
                  <c:v>-24.090909090909065</c:v>
                </c:pt>
                <c:pt idx="42">
                  <c:v>-75.681818181818187</c:v>
                </c:pt>
                <c:pt idx="43">
                  <c:v>-26.136363636363626</c:v>
                </c:pt>
                <c:pt idx="44">
                  <c:v>-23.409090909090935</c:v>
                </c:pt>
                <c:pt idx="45">
                  <c:v>-27.727272727272748</c:v>
                </c:pt>
                <c:pt idx="46">
                  <c:v>-11.363636363636374</c:v>
                </c:pt>
                <c:pt idx="47">
                  <c:v>-10</c:v>
                </c:pt>
                <c:pt idx="48">
                  <c:v>-11.363636363636374</c:v>
                </c:pt>
              </c:numCache>
            </c:numRef>
          </c:val>
        </c:ser>
        <c:ser>
          <c:idx val="20"/>
          <c:order val="20"/>
          <c:tx>
            <c:strRef>
              <c:f>score!$AU$1</c:f>
              <c:strCache>
                <c:ptCount val="1"/>
                <c:pt idx="0">
                  <c:v>Annita</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score!$AU$2:$AU$77</c:f>
              <c:numCache>
                <c:formatCode>0.0</c:formatCode>
                <c:ptCount val="49"/>
                <c:pt idx="0">
                  <c:v>-2.7272727272727271</c:v>
                </c:pt>
                <c:pt idx="1">
                  <c:v>-7.5</c:v>
                </c:pt>
                <c:pt idx="2">
                  <c:v>-8.1818181818181834</c:v>
                </c:pt>
                <c:pt idx="3">
                  <c:v>-13.18181818181818</c:v>
                </c:pt>
                <c:pt idx="4">
                  <c:v>-14.31818181818182</c:v>
                </c:pt>
                <c:pt idx="5">
                  <c:v>-9.7727272727272734</c:v>
                </c:pt>
                <c:pt idx="6">
                  <c:v>-9.3181818181818201</c:v>
                </c:pt>
                <c:pt idx="7">
                  <c:v>-10.909090909090907</c:v>
                </c:pt>
                <c:pt idx="8">
                  <c:v>-4.5454545454545467</c:v>
                </c:pt>
                <c:pt idx="9">
                  <c:v>-5.681818181818187</c:v>
                </c:pt>
                <c:pt idx="10">
                  <c:v>-0.90909090909090651</c:v>
                </c:pt>
                <c:pt idx="11">
                  <c:v>-9.0909090909090935</c:v>
                </c:pt>
                <c:pt idx="12">
                  <c:v>-10</c:v>
                </c:pt>
                <c:pt idx="13">
                  <c:v>-10.227272727272734</c:v>
                </c:pt>
                <c:pt idx="14">
                  <c:v>-12.954545454545453</c:v>
                </c:pt>
                <c:pt idx="15">
                  <c:v>-16.818181818181813</c:v>
                </c:pt>
                <c:pt idx="16">
                  <c:v>-21.36363636363636</c:v>
                </c:pt>
                <c:pt idx="17">
                  <c:v>-26.818181818181813</c:v>
                </c:pt>
                <c:pt idx="18">
                  <c:v>-26.363636363636374</c:v>
                </c:pt>
                <c:pt idx="19">
                  <c:v>-28.181818181818187</c:v>
                </c:pt>
                <c:pt idx="20">
                  <c:v>-29.545454545454533</c:v>
                </c:pt>
                <c:pt idx="21">
                  <c:v>-30</c:v>
                </c:pt>
                <c:pt idx="22">
                  <c:v>-30.454545454545467</c:v>
                </c:pt>
                <c:pt idx="23">
                  <c:v>-30</c:v>
                </c:pt>
                <c:pt idx="24">
                  <c:v>-30</c:v>
                </c:pt>
                <c:pt idx="25">
                  <c:v>-25.681818181818187</c:v>
                </c:pt>
                <c:pt idx="26">
                  <c:v>-25.22727272727272</c:v>
                </c:pt>
                <c:pt idx="27">
                  <c:v>-27.27272727272728</c:v>
                </c:pt>
                <c:pt idx="28">
                  <c:v>-26.818181818181813</c:v>
                </c:pt>
                <c:pt idx="29">
                  <c:v>-32.72727272727272</c:v>
                </c:pt>
                <c:pt idx="30">
                  <c:v>-37.5</c:v>
                </c:pt>
                <c:pt idx="31">
                  <c:v>-39.090909090909093</c:v>
                </c:pt>
                <c:pt idx="32">
                  <c:v>-35</c:v>
                </c:pt>
                <c:pt idx="33">
                  <c:v>-33.409090909090907</c:v>
                </c:pt>
                <c:pt idx="34">
                  <c:v>-35.22727272727272</c:v>
                </c:pt>
                <c:pt idx="35">
                  <c:v>-34.318181818181813</c:v>
                </c:pt>
                <c:pt idx="36">
                  <c:v>-33.863636363636374</c:v>
                </c:pt>
                <c:pt idx="37">
                  <c:v>-39.77272727272728</c:v>
                </c:pt>
                <c:pt idx="38">
                  <c:v>-40.454545454545467</c:v>
                </c:pt>
                <c:pt idx="39">
                  <c:v>-42.272727272727252</c:v>
                </c:pt>
                <c:pt idx="40">
                  <c:v>-41.136363636363626</c:v>
                </c:pt>
                <c:pt idx="41">
                  <c:v>-24.090909090909065</c:v>
                </c:pt>
                <c:pt idx="42">
                  <c:v>-105.68181818181819</c:v>
                </c:pt>
                <c:pt idx="43">
                  <c:v>-26.136363636363626</c:v>
                </c:pt>
                <c:pt idx="44">
                  <c:v>-28.409090909090935</c:v>
                </c:pt>
                <c:pt idx="45">
                  <c:v>-27.727272727272748</c:v>
                </c:pt>
                <c:pt idx="46">
                  <c:v>-11.363636363636374</c:v>
                </c:pt>
                <c:pt idx="47">
                  <c:v>-15</c:v>
                </c:pt>
                <c:pt idx="48">
                  <c:v>-16.363636363636374</c:v>
                </c:pt>
              </c:numCache>
            </c:numRef>
          </c:val>
        </c:ser>
        <c:ser>
          <c:idx val="21"/>
          <c:order val="21"/>
          <c:tx>
            <c:strRef>
              <c:f>score!$AV$1</c:f>
              <c:strCache>
                <c:ptCount val="1"/>
                <c:pt idx="0">
                  <c:v>Frank</c:v>
                </c:pt>
              </c:strCache>
            </c:strRef>
          </c:tx>
          <c:cat>
            <c:strRef>
              <c:f>score!$A$2:$A$77</c:f>
              <c:strCache>
                <c:ptCount val="49"/>
                <c:pt idx="0">
                  <c:v>1</c:v>
                </c:pt>
                <c:pt idx="1">
                  <c:v>4</c:v>
                </c:pt>
                <c:pt idx="2">
                  <c:v>8</c:v>
                </c:pt>
                <c:pt idx="3">
                  <c:v>12</c:v>
                </c:pt>
                <c:pt idx="4">
                  <c:v>16</c:v>
                </c:pt>
                <c:pt idx="5">
                  <c:v>20</c:v>
                </c:pt>
                <c:pt idx="6">
                  <c:v>24</c:v>
                </c:pt>
                <c:pt idx="7">
                  <c:v>28</c:v>
                </c:pt>
                <c:pt idx="8">
                  <c:v>32</c:v>
                </c:pt>
                <c:pt idx="9">
                  <c:v>33</c:v>
                </c:pt>
                <c:pt idx="10">
                  <c:v>34</c:v>
                </c:pt>
                <c:pt idx="11">
                  <c:v>Boni</c:v>
                </c:pt>
                <c:pt idx="12">
                  <c:v>35</c:v>
                </c:pt>
                <c:pt idx="13">
                  <c:v>36</c:v>
                </c:pt>
                <c:pt idx="14">
                  <c:v>Boni</c:v>
                </c:pt>
                <c:pt idx="15">
                  <c:v>37</c:v>
                </c:pt>
                <c:pt idx="16">
                  <c:v>38</c:v>
                </c:pt>
                <c:pt idx="17">
                  <c:v>Boni</c:v>
                </c:pt>
                <c:pt idx="18">
                  <c:v>39</c:v>
                </c:pt>
                <c:pt idx="19">
                  <c:v>40</c:v>
                </c:pt>
                <c:pt idx="20">
                  <c:v>Boni</c:v>
                </c:pt>
                <c:pt idx="21">
                  <c:v>41</c:v>
                </c:pt>
                <c:pt idx="22">
                  <c:v>42</c:v>
                </c:pt>
                <c:pt idx="23">
                  <c:v>Boni</c:v>
                </c:pt>
                <c:pt idx="24">
                  <c:v>43</c:v>
                </c:pt>
                <c:pt idx="25">
                  <c:v>44</c:v>
                </c:pt>
                <c:pt idx="26">
                  <c:v>Boni</c:v>
                </c:pt>
                <c:pt idx="27">
                  <c:v>45</c:v>
                </c:pt>
                <c:pt idx="28">
                  <c:v>46</c:v>
                </c:pt>
                <c:pt idx="29">
                  <c:v>Boni</c:v>
                </c:pt>
                <c:pt idx="30">
                  <c:v>47</c:v>
                </c:pt>
                <c:pt idx="31">
                  <c:v>48</c:v>
                </c:pt>
                <c:pt idx="32">
                  <c:v>Boni</c:v>
                </c:pt>
                <c:pt idx="33">
                  <c:v>49</c:v>
                </c:pt>
                <c:pt idx="34">
                  <c:v>50</c:v>
                </c:pt>
                <c:pt idx="35">
                  <c:v>51</c:v>
                </c:pt>
                <c:pt idx="36">
                  <c:v>52</c:v>
                </c:pt>
                <c:pt idx="37">
                  <c:v>53</c:v>
                </c:pt>
                <c:pt idx="38">
                  <c:v>54</c:v>
                </c:pt>
                <c:pt idx="39">
                  <c:v>55</c:v>
                </c:pt>
                <c:pt idx="40">
                  <c:v>56</c:v>
                </c:pt>
                <c:pt idx="41">
                  <c:v>Boni 1/4</c:v>
                </c:pt>
                <c:pt idx="42">
                  <c:v>57</c:v>
                </c:pt>
                <c:pt idx="43">
                  <c:v>58</c:v>
                </c:pt>
                <c:pt idx="44">
                  <c:v>59</c:v>
                </c:pt>
                <c:pt idx="45">
                  <c:v>60</c:v>
                </c:pt>
                <c:pt idx="46">
                  <c:v>Boni 1/2</c:v>
                </c:pt>
                <c:pt idx="47">
                  <c:v>61</c:v>
                </c:pt>
                <c:pt idx="48">
                  <c:v>Boni finale</c:v>
                </c:pt>
              </c:strCache>
            </c:strRef>
          </c:cat>
          <c:val>
            <c:numRef>
              <c:f>score!$AV$2:$AV$77</c:f>
              <c:numCache>
                <c:formatCode>0.0</c:formatCode>
                <c:ptCount val="49"/>
                <c:pt idx="0">
                  <c:v>7.2727272727272734</c:v>
                </c:pt>
                <c:pt idx="1">
                  <c:v>-2.5</c:v>
                </c:pt>
                <c:pt idx="2">
                  <c:v>-3.1818181818181834</c:v>
                </c:pt>
                <c:pt idx="3">
                  <c:v>-8.1818181818181799</c:v>
                </c:pt>
                <c:pt idx="4">
                  <c:v>-14.31818181818182</c:v>
                </c:pt>
                <c:pt idx="5">
                  <c:v>-14.772727272727273</c:v>
                </c:pt>
                <c:pt idx="6">
                  <c:v>-14.31818181818182</c:v>
                </c:pt>
                <c:pt idx="7">
                  <c:v>-25.909090909090907</c:v>
                </c:pt>
                <c:pt idx="8">
                  <c:v>-34.545454545454547</c:v>
                </c:pt>
                <c:pt idx="9">
                  <c:v>-30.681818181818187</c:v>
                </c:pt>
                <c:pt idx="10">
                  <c:v>-30.909090909090907</c:v>
                </c:pt>
                <c:pt idx="11">
                  <c:v>-29.090909090909093</c:v>
                </c:pt>
                <c:pt idx="12">
                  <c:v>-30</c:v>
                </c:pt>
                <c:pt idx="13">
                  <c:v>-35.227272727272734</c:v>
                </c:pt>
                <c:pt idx="14">
                  <c:v>-37.954545454545453</c:v>
                </c:pt>
                <c:pt idx="15">
                  <c:v>-41.818181818181813</c:v>
                </c:pt>
                <c:pt idx="16">
                  <c:v>-46.36363636363636</c:v>
                </c:pt>
                <c:pt idx="17">
                  <c:v>-51.818181818181813</c:v>
                </c:pt>
                <c:pt idx="18">
                  <c:v>-51.363636363636374</c:v>
                </c:pt>
                <c:pt idx="19">
                  <c:v>-53.181818181818187</c:v>
                </c:pt>
                <c:pt idx="20">
                  <c:v>-54.545454545454533</c:v>
                </c:pt>
                <c:pt idx="21">
                  <c:v>-55</c:v>
                </c:pt>
                <c:pt idx="22">
                  <c:v>-55.454545454545467</c:v>
                </c:pt>
                <c:pt idx="23">
                  <c:v>-55</c:v>
                </c:pt>
                <c:pt idx="24">
                  <c:v>-55</c:v>
                </c:pt>
                <c:pt idx="25">
                  <c:v>-60.681818181818187</c:v>
                </c:pt>
                <c:pt idx="26">
                  <c:v>-60.22727272727272</c:v>
                </c:pt>
                <c:pt idx="27">
                  <c:v>-62.27272727272728</c:v>
                </c:pt>
                <c:pt idx="28">
                  <c:v>-61.818181818181813</c:v>
                </c:pt>
                <c:pt idx="29">
                  <c:v>-67.72727272727272</c:v>
                </c:pt>
                <c:pt idx="30">
                  <c:v>-62.5</c:v>
                </c:pt>
                <c:pt idx="31">
                  <c:v>-59.090909090909093</c:v>
                </c:pt>
                <c:pt idx="32">
                  <c:v>-55</c:v>
                </c:pt>
                <c:pt idx="33">
                  <c:v>-58.409090909090907</c:v>
                </c:pt>
                <c:pt idx="34">
                  <c:v>-60.22727272727272</c:v>
                </c:pt>
                <c:pt idx="35">
                  <c:v>-59.318181818181813</c:v>
                </c:pt>
                <c:pt idx="36">
                  <c:v>-63.863636363636374</c:v>
                </c:pt>
                <c:pt idx="37">
                  <c:v>-59.77272727272728</c:v>
                </c:pt>
                <c:pt idx="38">
                  <c:v>-60.454545454545467</c:v>
                </c:pt>
                <c:pt idx="39">
                  <c:v>-57.272727272727252</c:v>
                </c:pt>
                <c:pt idx="40">
                  <c:v>-56.136363636363626</c:v>
                </c:pt>
                <c:pt idx="41">
                  <c:v>-69.090909090909065</c:v>
                </c:pt>
                <c:pt idx="42">
                  <c:v>-120.68181818181819</c:v>
                </c:pt>
                <c:pt idx="43">
                  <c:v>-71.136363636363626</c:v>
                </c:pt>
                <c:pt idx="44">
                  <c:v>-68.409090909090935</c:v>
                </c:pt>
                <c:pt idx="45">
                  <c:v>-72.727272727272748</c:v>
                </c:pt>
                <c:pt idx="46">
                  <c:v>-101.36363636363637</c:v>
                </c:pt>
                <c:pt idx="47">
                  <c:v>-105</c:v>
                </c:pt>
                <c:pt idx="48">
                  <c:v>-106.36363636363637</c:v>
                </c:pt>
              </c:numCache>
            </c:numRef>
          </c:val>
        </c:ser>
        <c:marker val="1"/>
        <c:axId val="77707904"/>
        <c:axId val="77717888"/>
      </c:lineChart>
      <c:catAx>
        <c:axId val="77707904"/>
        <c:scaling>
          <c:orientation val="minMax"/>
        </c:scaling>
        <c:axPos val="b"/>
        <c:numFmt formatCode="General" sourceLinked="1"/>
        <c:tickLblPos val="low"/>
        <c:spPr>
          <a:ln w="12700">
            <a:solidFill>
              <a:srgbClr val="FFFFFF"/>
            </a:solidFill>
            <a:prstDash val="solid"/>
          </a:ln>
        </c:spPr>
        <c:txPr>
          <a:bodyPr rot="0" vert="horz"/>
          <a:lstStyle/>
          <a:p>
            <a:pPr>
              <a:defRPr sz="950" b="1" i="1" u="none" strike="noStrike" baseline="0">
                <a:solidFill>
                  <a:srgbClr val="FFFFFF"/>
                </a:solidFill>
                <a:latin typeface="Arial"/>
                <a:ea typeface="Arial"/>
                <a:cs typeface="Arial"/>
              </a:defRPr>
            </a:pPr>
            <a:endParaRPr lang="nl-NL"/>
          </a:p>
        </c:txPr>
        <c:crossAx val="77717888"/>
        <c:crossesAt val="0"/>
        <c:auto val="1"/>
        <c:lblAlgn val="ctr"/>
        <c:lblOffset val="100"/>
        <c:tickLblSkip val="1"/>
        <c:tickMarkSkip val="1"/>
      </c:catAx>
      <c:valAx>
        <c:axId val="77717888"/>
        <c:scaling>
          <c:orientation val="minMax"/>
          <c:min val="-40"/>
        </c:scaling>
        <c:axPos val="l"/>
        <c:majorGridlines>
          <c:spPr>
            <a:ln w="12700">
              <a:solidFill>
                <a:srgbClr val="99CC00"/>
              </a:solidFill>
              <a:prstDash val="sysDash"/>
            </a:ln>
          </c:spPr>
        </c:majorGridlines>
        <c:title>
          <c:tx>
            <c:rich>
              <a:bodyPr rot="5400000" vert="horz"/>
              <a:lstStyle/>
              <a:p>
                <a:pPr algn="ctr">
                  <a:defRPr sz="900" b="1" i="0" u="none" strike="noStrike" baseline="0">
                    <a:solidFill>
                      <a:srgbClr val="FFFFFF"/>
                    </a:solidFill>
                    <a:latin typeface="Arial"/>
                    <a:ea typeface="Arial"/>
                    <a:cs typeface="Arial"/>
                  </a:defRPr>
                </a:pPr>
                <a:r>
                  <a:rPr lang="nl-NL"/>
                  <a:t>Titel</a:t>
                </a:r>
              </a:p>
            </c:rich>
          </c:tx>
          <c:layout>
            <c:manualLayout>
              <c:xMode val="edge"/>
              <c:yMode val="edge"/>
              <c:x val="8.2403433476394682E-3"/>
              <c:y val="0.50379848060775689"/>
            </c:manualLayout>
          </c:layout>
          <c:spPr>
            <a:noFill/>
            <a:ln w="25400">
              <a:noFill/>
            </a:ln>
          </c:spPr>
        </c:title>
        <c:numFmt formatCode="0" sourceLinked="0"/>
        <c:tickLblPos val="high"/>
        <c:spPr>
          <a:ln w="9525">
            <a:noFill/>
          </a:ln>
        </c:spPr>
        <c:txPr>
          <a:bodyPr rot="0" vert="horz"/>
          <a:lstStyle/>
          <a:p>
            <a:pPr>
              <a:defRPr sz="950" b="1" i="1" u="none" strike="noStrike" baseline="0">
                <a:solidFill>
                  <a:srgbClr val="FFFFFF"/>
                </a:solidFill>
                <a:latin typeface="Arial"/>
                <a:ea typeface="Arial"/>
                <a:cs typeface="Arial"/>
              </a:defRPr>
            </a:pPr>
            <a:endParaRPr lang="nl-NL"/>
          </a:p>
        </c:txPr>
        <c:crossAx val="77707904"/>
        <c:crosses val="autoZero"/>
        <c:crossBetween val="midCat"/>
      </c:valAx>
      <c:spPr>
        <a:noFill/>
        <a:ln w="25400">
          <a:noFill/>
        </a:ln>
      </c:spPr>
    </c:plotArea>
    <c:legend>
      <c:legendPos val="r"/>
      <c:layout>
        <c:manualLayout>
          <c:xMode val="edge"/>
          <c:yMode val="edge"/>
          <c:x val="0.94693662484434959"/>
          <c:y val="0.10520071570626129"/>
          <c:w val="4.2950996230479314E-2"/>
          <c:h val="0.84570981477671636"/>
        </c:manualLayout>
      </c:layout>
      <c:spPr>
        <a:noFill/>
        <a:ln w="12700">
          <a:solidFill>
            <a:srgbClr val="000000"/>
          </a:solidFill>
          <a:prstDash val="solid"/>
        </a:ln>
      </c:spPr>
      <c:txPr>
        <a:bodyPr/>
        <a:lstStyle/>
        <a:p>
          <a:pPr>
            <a:defRPr sz="735" b="1" i="1" u="none" strike="noStrike" baseline="0">
              <a:solidFill>
                <a:srgbClr val="FFFFFF"/>
              </a:solidFill>
              <a:latin typeface="Arial"/>
              <a:ea typeface="Arial"/>
              <a:cs typeface="Arial"/>
            </a:defRPr>
          </a:pPr>
          <a:endParaRPr lang="nl-NL"/>
        </a:p>
      </c:txPr>
    </c:legend>
    <c:plotVisOnly val="1"/>
    <c:dispBlanksAs val="gap"/>
  </c:chart>
  <c:spPr>
    <a:solidFill>
      <a:srgbClr val="000000"/>
    </a:solidFill>
    <a:ln w="9525">
      <a:noFill/>
    </a:ln>
  </c:spPr>
  <c:txPr>
    <a:bodyPr/>
    <a:lstStyle/>
    <a:p>
      <a:pPr>
        <a:defRPr sz="1000" b="0" i="0" u="none" strike="noStrike" baseline="0">
          <a:solidFill>
            <a:srgbClr val="000000"/>
          </a:solidFill>
          <a:latin typeface="Arial"/>
          <a:ea typeface="Arial"/>
          <a:cs typeface="Arial"/>
        </a:defRPr>
      </a:pPr>
      <a:endParaRPr lang="nl-NL"/>
    </a:p>
  </c:txPr>
  <c:printSettings>
    <c:headerFooter alignWithMargins="0"/>
    <c:pageMargins b="1" l="0.75000000000000167" r="0.75000000000000167"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9525</xdr:colOff>
      <xdr:row>10</xdr:row>
      <xdr:rowOff>85725</xdr:rowOff>
    </xdr:to>
    <xdr:pic>
      <xdr:nvPicPr>
        <xdr:cNvPr id="102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9525"/>
          <a:ext cx="9525" cy="2219325"/>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0</xdr:rowOff>
    </xdr:from>
    <xdr:to>
      <xdr:col>0</xdr:col>
      <xdr:colOff>9525</xdr:colOff>
      <xdr:row>8</xdr:row>
      <xdr:rowOff>123825</xdr:rowOff>
    </xdr:to>
    <xdr:pic>
      <xdr:nvPicPr>
        <xdr:cNvPr id="1026"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9525" cy="1457325"/>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0</xdr:rowOff>
    </xdr:from>
    <xdr:to>
      <xdr:col>8</xdr:col>
      <xdr:colOff>38100</xdr:colOff>
      <xdr:row>8</xdr:row>
      <xdr:rowOff>123825</xdr:rowOff>
    </xdr:to>
    <xdr:pic>
      <xdr:nvPicPr>
        <xdr:cNvPr id="102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572250" cy="1457325"/>
        </a:xfrm>
        <a:prstGeom prst="rect">
          <a:avLst/>
        </a:prstGeom>
        <a:solidFill>
          <a:srgbClr val="FFFFFF"/>
        </a:solidFill>
        <a:ln w="9360">
          <a:noFill/>
          <a:miter lim="800000"/>
          <a:headEnd/>
          <a:tailEn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0</xdr:colOff>
      <xdr:row>8</xdr:row>
      <xdr:rowOff>85725</xdr:rowOff>
    </xdr:to>
    <xdr:pic>
      <xdr:nvPicPr>
        <xdr:cNvPr id="2049" name="banner"/>
        <xdr:cNvPicPr>
          <a:picLocks noChangeAspect="1" noChangeArrowheads="1"/>
        </xdr:cNvPicPr>
      </xdr:nvPicPr>
      <xdr:blipFill>
        <a:blip xmlns:r="http://schemas.openxmlformats.org/officeDocument/2006/relationships" r:embed="rId1"/>
        <a:srcRect/>
        <a:stretch>
          <a:fillRect/>
        </a:stretch>
      </xdr:blipFill>
      <xdr:spPr bwMode="auto">
        <a:xfrm>
          <a:off x="0" y="9525"/>
          <a:ext cx="0" cy="1371600"/>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9525</xdr:rowOff>
    </xdr:from>
    <xdr:to>
      <xdr:col>25</xdr:col>
      <xdr:colOff>76200</xdr:colOff>
      <xdr:row>7</xdr:row>
      <xdr:rowOff>133350</xdr:rowOff>
    </xdr:to>
    <xdr:pic>
      <xdr:nvPicPr>
        <xdr:cNvPr id="2050"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9525"/>
          <a:ext cx="8382000" cy="1257300"/>
        </a:xfrm>
        <a:prstGeom prst="rect">
          <a:avLst/>
        </a:prstGeom>
        <a:solidFill>
          <a:srgbClr val="FFFFFF"/>
        </a:solidFill>
        <a:ln w="9360">
          <a:noFill/>
          <a:miter lim="800000"/>
          <a:headEnd/>
          <a:tailEnd/>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0</xdr:rowOff>
    </xdr:from>
    <xdr:to>
      <xdr:col>31</xdr:col>
      <xdr:colOff>0</xdr:colOff>
      <xdr:row>49</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676275</xdr:colOff>
      <xdr:row>27</xdr:row>
      <xdr:rowOff>19050</xdr:rowOff>
    </xdr:from>
    <xdr:to>
      <xdr:col>4</xdr:col>
      <xdr:colOff>171450</xdr:colOff>
      <xdr:row>28</xdr:row>
      <xdr:rowOff>133350</xdr:rowOff>
    </xdr:to>
    <xdr:sp macro="" textlink="">
      <xdr:nvSpPr>
        <xdr:cNvPr id="24577" name="Picture 27"/>
        <xdr:cNvSpPr>
          <a:spLocks noChangeAspect="1" noChangeArrowheads="1"/>
        </xdr:cNvSpPr>
      </xdr:nvSpPr>
      <xdr:spPr bwMode="auto">
        <a:xfrm>
          <a:off x="2209800" y="5238750"/>
          <a:ext cx="295275" cy="304800"/>
        </a:xfrm>
        <a:prstGeom prst="rect">
          <a:avLst/>
        </a:prstGeom>
        <a:noFill/>
        <a:ln w="9525">
          <a:noFill/>
          <a:round/>
          <a:headEnd/>
          <a:tailEnd/>
        </a:ln>
        <a:effectLst/>
      </xdr:spPr>
    </xdr:sp>
    <xdr:clientData/>
  </xdr:twoCellAnchor>
  <xdr:twoCellAnchor>
    <xdr:from>
      <xdr:col>4</xdr:col>
      <xdr:colOff>981075</xdr:colOff>
      <xdr:row>27</xdr:row>
      <xdr:rowOff>19050</xdr:rowOff>
    </xdr:from>
    <xdr:to>
      <xdr:col>6</xdr:col>
      <xdr:colOff>9525</xdr:colOff>
      <xdr:row>28</xdr:row>
      <xdr:rowOff>133350</xdr:rowOff>
    </xdr:to>
    <xdr:sp macro="" textlink="">
      <xdr:nvSpPr>
        <xdr:cNvPr id="24578" name="Picture 28"/>
        <xdr:cNvSpPr>
          <a:spLocks noChangeAspect="1" noChangeArrowheads="1"/>
        </xdr:cNvSpPr>
      </xdr:nvSpPr>
      <xdr:spPr bwMode="auto">
        <a:xfrm>
          <a:off x="3314700" y="5238750"/>
          <a:ext cx="285750" cy="304800"/>
        </a:xfrm>
        <a:prstGeom prst="rect">
          <a:avLst/>
        </a:prstGeom>
        <a:noFill/>
        <a:ln w="9525">
          <a:noFill/>
          <a:round/>
          <a:headEnd/>
          <a:tailEnd/>
        </a:ln>
        <a:effectLst/>
      </xdr:spPr>
    </xdr:sp>
    <xdr:clientData/>
  </xdr:twoCellAnchor>
  <xdr:twoCellAnchor>
    <xdr:from>
      <xdr:col>3</xdr:col>
      <xdr:colOff>676275</xdr:colOff>
      <xdr:row>28</xdr:row>
      <xdr:rowOff>19050</xdr:rowOff>
    </xdr:from>
    <xdr:to>
      <xdr:col>4</xdr:col>
      <xdr:colOff>171450</xdr:colOff>
      <xdr:row>29</xdr:row>
      <xdr:rowOff>133350</xdr:rowOff>
    </xdr:to>
    <xdr:sp macro="" textlink="">
      <xdr:nvSpPr>
        <xdr:cNvPr id="24579" name="Picture 29"/>
        <xdr:cNvSpPr>
          <a:spLocks noChangeAspect="1" noChangeArrowheads="1"/>
        </xdr:cNvSpPr>
      </xdr:nvSpPr>
      <xdr:spPr bwMode="auto">
        <a:xfrm>
          <a:off x="2209800" y="5429250"/>
          <a:ext cx="295275" cy="304800"/>
        </a:xfrm>
        <a:prstGeom prst="rect">
          <a:avLst/>
        </a:prstGeom>
        <a:noFill/>
        <a:ln w="9525">
          <a:noFill/>
          <a:round/>
          <a:headEnd/>
          <a:tailEnd/>
        </a:ln>
        <a:effectLst/>
      </xdr:spPr>
    </xdr:sp>
    <xdr:clientData/>
  </xdr:twoCellAnchor>
  <xdr:twoCellAnchor>
    <xdr:from>
      <xdr:col>4</xdr:col>
      <xdr:colOff>981075</xdr:colOff>
      <xdr:row>28</xdr:row>
      <xdr:rowOff>19050</xdr:rowOff>
    </xdr:from>
    <xdr:to>
      <xdr:col>6</xdr:col>
      <xdr:colOff>9525</xdr:colOff>
      <xdr:row>29</xdr:row>
      <xdr:rowOff>133350</xdr:rowOff>
    </xdr:to>
    <xdr:sp macro="" textlink="">
      <xdr:nvSpPr>
        <xdr:cNvPr id="24580" name="Picture 30"/>
        <xdr:cNvSpPr>
          <a:spLocks noChangeAspect="1" noChangeArrowheads="1"/>
        </xdr:cNvSpPr>
      </xdr:nvSpPr>
      <xdr:spPr bwMode="auto">
        <a:xfrm>
          <a:off x="3314700" y="5429250"/>
          <a:ext cx="285750" cy="304800"/>
        </a:xfrm>
        <a:prstGeom prst="rect">
          <a:avLst/>
        </a:prstGeom>
        <a:noFill/>
        <a:ln w="9525">
          <a:noFill/>
          <a:round/>
          <a:headEnd/>
          <a:tailEnd/>
        </a:ln>
        <a:effectLst/>
      </xdr:spPr>
    </xdr:sp>
    <xdr:clientData/>
  </xdr:twoCellAnchor>
  <xdr:twoCellAnchor>
    <xdr:from>
      <xdr:col>3</xdr:col>
      <xdr:colOff>676275</xdr:colOff>
      <xdr:row>29</xdr:row>
      <xdr:rowOff>19050</xdr:rowOff>
    </xdr:from>
    <xdr:to>
      <xdr:col>4</xdr:col>
      <xdr:colOff>171450</xdr:colOff>
      <xdr:row>30</xdr:row>
      <xdr:rowOff>133350</xdr:rowOff>
    </xdr:to>
    <xdr:sp macro="" textlink="">
      <xdr:nvSpPr>
        <xdr:cNvPr id="24581" name="Picture 31"/>
        <xdr:cNvSpPr>
          <a:spLocks noChangeAspect="1" noChangeArrowheads="1"/>
        </xdr:cNvSpPr>
      </xdr:nvSpPr>
      <xdr:spPr bwMode="auto">
        <a:xfrm>
          <a:off x="2209800" y="5619750"/>
          <a:ext cx="295275" cy="304800"/>
        </a:xfrm>
        <a:prstGeom prst="rect">
          <a:avLst/>
        </a:prstGeom>
        <a:noFill/>
        <a:ln w="9525">
          <a:noFill/>
          <a:round/>
          <a:headEnd/>
          <a:tailEnd/>
        </a:ln>
        <a:effectLst/>
      </xdr:spPr>
    </xdr:sp>
    <xdr:clientData/>
  </xdr:twoCellAnchor>
  <xdr:twoCellAnchor>
    <xdr:from>
      <xdr:col>4</xdr:col>
      <xdr:colOff>981075</xdr:colOff>
      <xdr:row>29</xdr:row>
      <xdr:rowOff>19050</xdr:rowOff>
    </xdr:from>
    <xdr:to>
      <xdr:col>6</xdr:col>
      <xdr:colOff>9525</xdr:colOff>
      <xdr:row>30</xdr:row>
      <xdr:rowOff>133350</xdr:rowOff>
    </xdr:to>
    <xdr:sp macro="" textlink="">
      <xdr:nvSpPr>
        <xdr:cNvPr id="24582" name="Picture 32"/>
        <xdr:cNvSpPr>
          <a:spLocks noChangeAspect="1" noChangeArrowheads="1"/>
        </xdr:cNvSpPr>
      </xdr:nvSpPr>
      <xdr:spPr bwMode="auto">
        <a:xfrm>
          <a:off x="3314700" y="5619750"/>
          <a:ext cx="285750" cy="304800"/>
        </a:xfrm>
        <a:prstGeom prst="rect">
          <a:avLst/>
        </a:prstGeom>
        <a:noFill/>
        <a:ln w="9525">
          <a:noFill/>
          <a:round/>
          <a:headEnd/>
          <a:tailEnd/>
        </a:ln>
        <a:effectLst/>
      </xdr:spPr>
    </xdr:sp>
    <xdr:clientData/>
  </xdr:twoCellAnchor>
  <xdr:twoCellAnchor>
    <xdr:from>
      <xdr:col>3</xdr:col>
      <xdr:colOff>676275</xdr:colOff>
      <xdr:row>30</xdr:row>
      <xdr:rowOff>19050</xdr:rowOff>
    </xdr:from>
    <xdr:to>
      <xdr:col>4</xdr:col>
      <xdr:colOff>171450</xdr:colOff>
      <xdr:row>31</xdr:row>
      <xdr:rowOff>133350</xdr:rowOff>
    </xdr:to>
    <xdr:sp macro="" textlink="">
      <xdr:nvSpPr>
        <xdr:cNvPr id="24583" name="Picture 33"/>
        <xdr:cNvSpPr>
          <a:spLocks noChangeAspect="1" noChangeArrowheads="1"/>
        </xdr:cNvSpPr>
      </xdr:nvSpPr>
      <xdr:spPr bwMode="auto">
        <a:xfrm>
          <a:off x="2209800" y="5810250"/>
          <a:ext cx="295275" cy="304800"/>
        </a:xfrm>
        <a:prstGeom prst="rect">
          <a:avLst/>
        </a:prstGeom>
        <a:noFill/>
        <a:ln w="9525">
          <a:noFill/>
          <a:round/>
          <a:headEnd/>
          <a:tailEnd/>
        </a:ln>
        <a:effectLst/>
      </xdr:spPr>
    </xdr:sp>
    <xdr:clientData/>
  </xdr:twoCellAnchor>
  <xdr:twoCellAnchor>
    <xdr:from>
      <xdr:col>4</xdr:col>
      <xdr:colOff>981075</xdr:colOff>
      <xdr:row>30</xdr:row>
      <xdr:rowOff>19050</xdr:rowOff>
    </xdr:from>
    <xdr:to>
      <xdr:col>6</xdr:col>
      <xdr:colOff>9525</xdr:colOff>
      <xdr:row>31</xdr:row>
      <xdr:rowOff>133350</xdr:rowOff>
    </xdr:to>
    <xdr:sp macro="" textlink="">
      <xdr:nvSpPr>
        <xdr:cNvPr id="24584" name="Picture 34"/>
        <xdr:cNvSpPr>
          <a:spLocks noChangeAspect="1" noChangeArrowheads="1"/>
        </xdr:cNvSpPr>
      </xdr:nvSpPr>
      <xdr:spPr bwMode="auto">
        <a:xfrm>
          <a:off x="3314700" y="5810250"/>
          <a:ext cx="285750" cy="304800"/>
        </a:xfrm>
        <a:prstGeom prst="rect">
          <a:avLst/>
        </a:prstGeom>
        <a:noFill/>
        <a:ln w="9525">
          <a:noFill/>
          <a:round/>
          <a:headEnd/>
          <a:tailEnd/>
        </a:ln>
        <a:effectLst/>
      </xdr:spPr>
    </xdr:sp>
    <xdr:clientData/>
  </xdr:twoCellAnchor>
  <xdr:twoCellAnchor>
    <xdr:from>
      <xdr:col>3</xdr:col>
      <xdr:colOff>676275</xdr:colOff>
      <xdr:row>31</xdr:row>
      <xdr:rowOff>19050</xdr:rowOff>
    </xdr:from>
    <xdr:to>
      <xdr:col>4</xdr:col>
      <xdr:colOff>171450</xdr:colOff>
      <xdr:row>32</xdr:row>
      <xdr:rowOff>133350</xdr:rowOff>
    </xdr:to>
    <xdr:sp macro="" textlink="">
      <xdr:nvSpPr>
        <xdr:cNvPr id="24585" name="Picture 35"/>
        <xdr:cNvSpPr>
          <a:spLocks noChangeAspect="1" noChangeArrowheads="1"/>
        </xdr:cNvSpPr>
      </xdr:nvSpPr>
      <xdr:spPr bwMode="auto">
        <a:xfrm>
          <a:off x="2209800" y="6000750"/>
          <a:ext cx="295275" cy="304800"/>
        </a:xfrm>
        <a:prstGeom prst="rect">
          <a:avLst/>
        </a:prstGeom>
        <a:noFill/>
        <a:ln w="9525">
          <a:noFill/>
          <a:round/>
          <a:headEnd/>
          <a:tailEnd/>
        </a:ln>
        <a:effectLst/>
      </xdr:spPr>
    </xdr:sp>
    <xdr:clientData/>
  </xdr:twoCellAnchor>
  <xdr:twoCellAnchor>
    <xdr:from>
      <xdr:col>4</xdr:col>
      <xdr:colOff>981075</xdr:colOff>
      <xdr:row>31</xdr:row>
      <xdr:rowOff>19050</xdr:rowOff>
    </xdr:from>
    <xdr:to>
      <xdr:col>6</xdr:col>
      <xdr:colOff>9525</xdr:colOff>
      <xdr:row>32</xdr:row>
      <xdr:rowOff>133350</xdr:rowOff>
    </xdr:to>
    <xdr:sp macro="" textlink="">
      <xdr:nvSpPr>
        <xdr:cNvPr id="24586" name="Picture 36"/>
        <xdr:cNvSpPr>
          <a:spLocks noChangeAspect="1" noChangeArrowheads="1"/>
        </xdr:cNvSpPr>
      </xdr:nvSpPr>
      <xdr:spPr bwMode="auto">
        <a:xfrm>
          <a:off x="3314700" y="6000750"/>
          <a:ext cx="285750" cy="304800"/>
        </a:xfrm>
        <a:prstGeom prst="rect">
          <a:avLst/>
        </a:prstGeom>
        <a:noFill/>
        <a:ln w="9525">
          <a:noFill/>
          <a:round/>
          <a:headEnd/>
          <a:tailEnd/>
        </a:ln>
        <a:effectLst/>
      </xdr:spPr>
    </xdr:sp>
    <xdr:clientData/>
  </xdr:twoCellAnchor>
  <xdr:twoCellAnchor>
    <xdr:from>
      <xdr:col>3</xdr:col>
      <xdr:colOff>676275</xdr:colOff>
      <xdr:row>32</xdr:row>
      <xdr:rowOff>19050</xdr:rowOff>
    </xdr:from>
    <xdr:to>
      <xdr:col>4</xdr:col>
      <xdr:colOff>171450</xdr:colOff>
      <xdr:row>33</xdr:row>
      <xdr:rowOff>133350</xdr:rowOff>
    </xdr:to>
    <xdr:sp macro="" textlink="">
      <xdr:nvSpPr>
        <xdr:cNvPr id="24587" name="Picture 37"/>
        <xdr:cNvSpPr>
          <a:spLocks noChangeAspect="1" noChangeArrowheads="1"/>
        </xdr:cNvSpPr>
      </xdr:nvSpPr>
      <xdr:spPr bwMode="auto">
        <a:xfrm>
          <a:off x="2209800" y="6191250"/>
          <a:ext cx="295275" cy="304800"/>
        </a:xfrm>
        <a:prstGeom prst="rect">
          <a:avLst/>
        </a:prstGeom>
        <a:noFill/>
        <a:ln w="9525">
          <a:noFill/>
          <a:round/>
          <a:headEnd/>
          <a:tailEnd/>
        </a:ln>
        <a:effectLst/>
      </xdr:spPr>
    </xdr:sp>
    <xdr:clientData/>
  </xdr:twoCellAnchor>
  <xdr:twoCellAnchor>
    <xdr:from>
      <xdr:col>4</xdr:col>
      <xdr:colOff>981075</xdr:colOff>
      <xdr:row>32</xdr:row>
      <xdr:rowOff>19050</xdr:rowOff>
    </xdr:from>
    <xdr:to>
      <xdr:col>6</xdr:col>
      <xdr:colOff>9525</xdr:colOff>
      <xdr:row>33</xdr:row>
      <xdr:rowOff>133350</xdr:rowOff>
    </xdr:to>
    <xdr:sp macro="" textlink="">
      <xdr:nvSpPr>
        <xdr:cNvPr id="24588" name="Picture 38"/>
        <xdr:cNvSpPr>
          <a:spLocks noChangeAspect="1" noChangeArrowheads="1"/>
        </xdr:cNvSpPr>
      </xdr:nvSpPr>
      <xdr:spPr bwMode="auto">
        <a:xfrm>
          <a:off x="3314700" y="6191250"/>
          <a:ext cx="285750" cy="304800"/>
        </a:xfrm>
        <a:prstGeom prst="rect">
          <a:avLst/>
        </a:prstGeom>
        <a:noFill/>
        <a:ln w="9525">
          <a:noFill/>
          <a:round/>
          <a:headEnd/>
          <a:tailEnd/>
        </a:ln>
        <a:effectLst/>
      </xdr:spPr>
    </xdr:sp>
    <xdr:clientData/>
  </xdr:twoCellAnchor>
  <xdr:twoCellAnchor>
    <xdr:from>
      <xdr:col>3</xdr:col>
      <xdr:colOff>676275</xdr:colOff>
      <xdr:row>34</xdr:row>
      <xdr:rowOff>28575</xdr:rowOff>
    </xdr:from>
    <xdr:to>
      <xdr:col>4</xdr:col>
      <xdr:colOff>171450</xdr:colOff>
      <xdr:row>35</xdr:row>
      <xdr:rowOff>142875</xdr:rowOff>
    </xdr:to>
    <xdr:sp macro="" textlink="">
      <xdr:nvSpPr>
        <xdr:cNvPr id="24589" name="Picture 39"/>
        <xdr:cNvSpPr>
          <a:spLocks noChangeAspect="1" noChangeArrowheads="1"/>
        </xdr:cNvSpPr>
      </xdr:nvSpPr>
      <xdr:spPr bwMode="auto">
        <a:xfrm>
          <a:off x="2209800" y="6581775"/>
          <a:ext cx="295275" cy="304800"/>
        </a:xfrm>
        <a:prstGeom prst="rect">
          <a:avLst/>
        </a:prstGeom>
        <a:noFill/>
        <a:ln w="9525">
          <a:noFill/>
          <a:round/>
          <a:headEnd/>
          <a:tailEnd/>
        </a:ln>
        <a:effectLst/>
      </xdr:spPr>
    </xdr:sp>
    <xdr:clientData/>
  </xdr:twoCellAnchor>
  <xdr:twoCellAnchor>
    <xdr:from>
      <xdr:col>4</xdr:col>
      <xdr:colOff>981075</xdr:colOff>
      <xdr:row>34</xdr:row>
      <xdr:rowOff>28575</xdr:rowOff>
    </xdr:from>
    <xdr:to>
      <xdr:col>6</xdr:col>
      <xdr:colOff>9525</xdr:colOff>
      <xdr:row>35</xdr:row>
      <xdr:rowOff>142875</xdr:rowOff>
    </xdr:to>
    <xdr:sp macro="" textlink="">
      <xdr:nvSpPr>
        <xdr:cNvPr id="24590" name="Picture 40"/>
        <xdr:cNvSpPr>
          <a:spLocks noChangeAspect="1" noChangeArrowheads="1"/>
        </xdr:cNvSpPr>
      </xdr:nvSpPr>
      <xdr:spPr bwMode="auto">
        <a:xfrm>
          <a:off x="3314700" y="6581775"/>
          <a:ext cx="285750" cy="304800"/>
        </a:xfrm>
        <a:prstGeom prst="rect">
          <a:avLst/>
        </a:prstGeom>
        <a:noFill/>
        <a:ln w="9525">
          <a:noFill/>
          <a:round/>
          <a:headEnd/>
          <a:tailEnd/>
        </a:ln>
        <a:effectLst/>
      </xdr:spPr>
    </xdr:sp>
    <xdr:clientData/>
  </xdr:twoCellAnchor>
  <xdr:twoCellAnchor>
    <xdr:from>
      <xdr:col>3</xdr:col>
      <xdr:colOff>676275</xdr:colOff>
      <xdr:row>35</xdr:row>
      <xdr:rowOff>28575</xdr:rowOff>
    </xdr:from>
    <xdr:to>
      <xdr:col>4</xdr:col>
      <xdr:colOff>171450</xdr:colOff>
      <xdr:row>36</xdr:row>
      <xdr:rowOff>142875</xdr:rowOff>
    </xdr:to>
    <xdr:sp macro="" textlink="">
      <xdr:nvSpPr>
        <xdr:cNvPr id="24591" name="Picture 41"/>
        <xdr:cNvSpPr>
          <a:spLocks noChangeAspect="1" noChangeArrowheads="1"/>
        </xdr:cNvSpPr>
      </xdr:nvSpPr>
      <xdr:spPr bwMode="auto">
        <a:xfrm>
          <a:off x="2209800" y="6772275"/>
          <a:ext cx="295275" cy="304800"/>
        </a:xfrm>
        <a:prstGeom prst="rect">
          <a:avLst/>
        </a:prstGeom>
        <a:noFill/>
        <a:ln w="9525">
          <a:noFill/>
          <a:round/>
          <a:headEnd/>
          <a:tailEnd/>
        </a:ln>
        <a:effectLst/>
      </xdr:spPr>
    </xdr:sp>
    <xdr:clientData/>
  </xdr:twoCellAnchor>
  <xdr:twoCellAnchor>
    <xdr:from>
      <xdr:col>4</xdr:col>
      <xdr:colOff>981075</xdr:colOff>
      <xdr:row>35</xdr:row>
      <xdr:rowOff>28575</xdr:rowOff>
    </xdr:from>
    <xdr:to>
      <xdr:col>6</xdr:col>
      <xdr:colOff>9525</xdr:colOff>
      <xdr:row>36</xdr:row>
      <xdr:rowOff>142875</xdr:rowOff>
    </xdr:to>
    <xdr:sp macro="" textlink="">
      <xdr:nvSpPr>
        <xdr:cNvPr id="24592" name="Picture 42"/>
        <xdr:cNvSpPr>
          <a:spLocks noChangeAspect="1" noChangeArrowheads="1"/>
        </xdr:cNvSpPr>
      </xdr:nvSpPr>
      <xdr:spPr bwMode="auto">
        <a:xfrm>
          <a:off x="3314700" y="6772275"/>
          <a:ext cx="285750" cy="304800"/>
        </a:xfrm>
        <a:prstGeom prst="rect">
          <a:avLst/>
        </a:prstGeom>
        <a:noFill/>
        <a:ln w="9525">
          <a:noFill/>
          <a:round/>
          <a:headEnd/>
          <a:tailEnd/>
        </a:ln>
        <a:effectLst/>
      </xdr:spPr>
    </xdr:sp>
    <xdr:clientData/>
  </xdr:twoCellAnchor>
  <xdr:twoCellAnchor>
    <xdr:from>
      <xdr:col>3</xdr:col>
      <xdr:colOff>676275</xdr:colOff>
      <xdr:row>36</xdr:row>
      <xdr:rowOff>28575</xdr:rowOff>
    </xdr:from>
    <xdr:to>
      <xdr:col>4</xdr:col>
      <xdr:colOff>171450</xdr:colOff>
      <xdr:row>37</xdr:row>
      <xdr:rowOff>142875</xdr:rowOff>
    </xdr:to>
    <xdr:sp macro="" textlink="">
      <xdr:nvSpPr>
        <xdr:cNvPr id="24593" name="Picture 43"/>
        <xdr:cNvSpPr>
          <a:spLocks noChangeAspect="1" noChangeArrowheads="1"/>
        </xdr:cNvSpPr>
      </xdr:nvSpPr>
      <xdr:spPr bwMode="auto">
        <a:xfrm>
          <a:off x="2209800" y="6962775"/>
          <a:ext cx="295275" cy="304800"/>
        </a:xfrm>
        <a:prstGeom prst="rect">
          <a:avLst/>
        </a:prstGeom>
        <a:noFill/>
        <a:ln w="9525">
          <a:noFill/>
          <a:round/>
          <a:headEnd/>
          <a:tailEnd/>
        </a:ln>
        <a:effectLst/>
      </xdr:spPr>
    </xdr:sp>
    <xdr:clientData/>
  </xdr:twoCellAnchor>
  <xdr:twoCellAnchor>
    <xdr:from>
      <xdr:col>4</xdr:col>
      <xdr:colOff>981075</xdr:colOff>
      <xdr:row>36</xdr:row>
      <xdr:rowOff>28575</xdr:rowOff>
    </xdr:from>
    <xdr:to>
      <xdr:col>6</xdr:col>
      <xdr:colOff>9525</xdr:colOff>
      <xdr:row>37</xdr:row>
      <xdr:rowOff>142875</xdr:rowOff>
    </xdr:to>
    <xdr:sp macro="" textlink="">
      <xdr:nvSpPr>
        <xdr:cNvPr id="24594" name="Picture 44"/>
        <xdr:cNvSpPr>
          <a:spLocks noChangeAspect="1" noChangeArrowheads="1"/>
        </xdr:cNvSpPr>
      </xdr:nvSpPr>
      <xdr:spPr bwMode="auto">
        <a:xfrm>
          <a:off x="3314700" y="6962775"/>
          <a:ext cx="285750" cy="304800"/>
        </a:xfrm>
        <a:prstGeom prst="rect">
          <a:avLst/>
        </a:prstGeom>
        <a:noFill/>
        <a:ln w="9525">
          <a:noFill/>
          <a:round/>
          <a:headEnd/>
          <a:tailEnd/>
        </a:ln>
        <a:effectLst/>
      </xdr:spPr>
    </xdr:sp>
    <xdr:clientData/>
  </xdr:twoCellAnchor>
  <xdr:twoCellAnchor>
    <xdr:from>
      <xdr:col>3</xdr:col>
      <xdr:colOff>676275</xdr:colOff>
      <xdr:row>37</xdr:row>
      <xdr:rowOff>28575</xdr:rowOff>
    </xdr:from>
    <xdr:to>
      <xdr:col>4</xdr:col>
      <xdr:colOff>171450</xdr:colOff>
      <xdr:row>38</xdr:row>
      <xdr:rowOff>142875</xdr:rowOff>
    </xdr:to>
    <xdr:sp macro="" textlink="">
      <xdr:nvSpPr>
        <xdr:cNvPr id="24595" name="Picture 45"/>
        <xdr:cNvSpPr>
          <a:spLocks noChangeAspect="1" noChangeArrowheads="1"/>
        </xdr:cNvSpPr>
      </xdr:nvSpPr>
      <xdr:spPr bwMode="auto">
        <a:xfrm>
          <a:off x="2209800" y="7153275"/>
          <a:ext cx="295275" cy="304800"/>
        </a:xfrm>
        <a:prstGeom prst="rect">
          <a:avLst/>
        </a:prstGeom>
        <a:noFill/>
        <a:ln w="9525">
          <a:noFill/>
          <a:round/>
          <a:headEnd/>
          <a:tailEnd/>
        </a:ln>
        <a:effectLst/>
      </xdr:spPr>
    </xdr:sp>
    <xdr:clientData/>
  </xdr:twoCellAnchor>
  <xdr:twoCellAnchor>
    <xdr:from>
      <xdr:col>4</xdr:col>
      <xdr:colOff>981075</xdr:colOff>
      <xdr:row>37</xdr:row>
      <xdr:rowOff>28575</xdr:rowOff>
    </xdr:from>
    <xdr:to>
      <xdr:col>6</xdr:col>
      <xdr:colOff>9525</xdr:colOff>
      <xdr:row>38</xdr:row>
      <xdr:rowOff>142875</xdr:rowOff>
    </xdr:to>
    <xdr:sp macro="" textlink="">
      <xdr:nvSpPr>
        <xdr:cNvPr id="24596" name="Picture 46"/>
        <xdr:cNvSpPr>
          <a:spLocks noChangeAspect="1" noChangeArrowheads="1"/>
        </xdr:cNvSpPr>
      </xdr:nvSpPr>
      <xdr:spPr bwMode="auto">
        <a:xfrm>
          <a:off x="3314700" y="7153275"/>
          <a:ext cx="285750" cy="304800"/>
        </a:xfrm>
        <a:prstGeom prst="rect">
          <a:avLst/>
        </a:prstGeom>
        <a:noFill/>
        <a:ln w="9525">
          <a:noFill/>
          <a:round/>
          <a:headEnd/>
          <a:tailEnd/>
        </a:ln>
        <a:effectLst/>
      </xdr:spPr>
    </xdr:sp>
    <xdr:clientData/>
  </xdr:twoCellAnchor>
  <xdr:twoCellAnchor>
    <xdr:from>
      <xdr:col>3</xdr:col>
      <xdr:colOff>676275</xdr:colOff>
      <xdr:row>38</xdr:row>
      <xdr:rowOff>28575</xdr:rowOff>
    </xdr:from>
    <xdr:to>
      <xdr:col>4</xdr:col>
      <xdr:colOff>171450</xdr:colOff>
      <xdr:row>39</xdr:row>
      <xdr:rowOff>142875</xdr:rowOff>
    </xdr:to>
    <xdr:sp macro="" textlink="">
      <xdr:nvSpPr>
        <xdr:cNvPr id="24597" name="Picture 47"/>
        <xdr:cNvSpPr>
          <a:spLocks noChangeAspect="1" noChangeArrowheads="1"/>
        </xdr:cNvSpPr>
      </xdr:nvSpPr>
      <xdr:spPr bwMode="auto">
        <a:xfrm>
          <a:off x="2209800" y="7343775"/>
          <a:ext cx="295275" cy="304800"/>
        </a:xfrm>
        <a:prstGeom prst="rect">
          <a:avLst/>
        </a:prstGeom>
        <a:noFill/>
        <a:ln w="9525">
          <a:noFill/>
          <a:round/>
          <a:headEnd/>
          <a:tailEnd/>
        </a:ln>
        <a:effectLst/>
      </xdr:spPr>
    </xdr:sp>
    <xdr:clientData/>
  </xdr:twoCellAnchor>
  <xdr:twoCellAnchor>
    <xdr:from>
      <xdr:col>4</xdr:col>
      <xdr:colOff>981075</xdr:colOff>
      <xdr:row>38</xdr:row>
      <xdr:rowOff>28575</xdr:rowOff>
    </xdr:from>
    <xdr:to>
      <xdr:col>6</xdr:col>
      <xdr:colOff>9525</xdr:colOff>
      <xdr:row>39</xdr:row>
      <xdr:rowOff>142875</xdr:rowOff>
    </xdr:to>
    <xdr:sp macro="" textlink="">
      <xdr:nvSpPr>
        <xdr:cNvPr id="24598" name="Picture 48"/>
        <xdr:cNvSpPr>
          <a:spLocks noChangeAspect="1" noChangeArrowheads="1"/>
        </xdr:cNvSpPr>
      </xdr:nvSpPr>
      <xdr:spPr bwMode="auto">
        <a:xfrm>
          <a:off x="3314700" y="7343775"/>
          <a:ext cx="285750" cy="304800"/>
        </a:xfrm>
        <a:prstGeom prst="rect">
          <a:avLst/>
        </a:prstGeom>
        <a:noFill/>
        <a:ln w="9525">
          <a:noFill/>
          <a:round/>
          <a:headEnd/>
          <a:tailEnd/>
        </a:ln>
        <a:effectLst/>
      </xdr:spPr>
    </xdr:sp>
    <xdr:clientData/>
  </xdr:twoCellAnchor>
  <xdr:twoCellAnchor>
    <xdr:from>
      <xdr:col>3</xdr:col>
      <xdr:colOff>676275</xdr:colOff>
      <xdr:row>39</xdr:row>
      <xdr:rowOff>28575</xdr:rowOff>
    </xdr:from>
    <xdr:to>
      <xdr:col>4</xdr:col>
      <xdr:colOff>171450</xdr:colOff>
      <xdr:row>40</xdr:row>
      <xdr:rowOff>142875</xdr:rowOff>
    </xdr:to>
    <xdr:sp macro="" textlink="">
      <xdr:nvSpPr>
        <xdr:cNvPr id="24599" name="Picture 49"/>
        <xdr:cNvSpPr>
          <a:spLocks noChangeAspect="1" noChangeArrowheads="1"/>
        </xdr:cNvSpPr>
      </xdr:nvSpPr>
      <xdr:spPr bwMode="auto">
        <a:xfrm>
          <a:off x="2209800" y="7534275"/>
          <a:ext cx="295275" cy="304800"/>
        </a:xfrm>
        <a:prstGeom prst="rect">
          <a:avLst/>
        </a:prstGeom>
        <a:noFill/>
        <a:ln w="9525">
          <a:noFill/>
          <a:round/>
          <a:headEnd/>
          <a:tailEnd/>
        </a:ln>
        <a:effectLst/>
      </xdr:spPr>
    </xdr:sp>
    <xdr:clientData/>
  </xdr:twoCellAnchor>
  <xdr:twoCellAnchor>
    <xdr:from>
      <xdr:col>4</xdr:col>
      <xdr:colOff>981075</xdr:colOff>
      <xdr:row>39</xdr:row>
      <xdr:rowOff>28575</xdr:rowOff>
    </xdr:from>
    <xdr:to>
      <xdr:col>6</xdr:col>
      <xdr:colOff>9525</xdr:colOff>
      <xdr:row>40</xdr:row>
      <xdr:rowOff>142875</xdr:rowOff>
    </xdr:to>
    <xdr:sp macro="" textlink="">
      <xdr:nvSpPr>
        <xdr:cNvPr id="24600" name="Picture 50"/>
        <xdr:cNvSpPr>
          <a:spLocks noChangeAspect="1" noChangeArrowheads="1"/>
        </xdr:cNvSpPr>
      </xdr:nvSpPr>
      <xdr:spPr bwMode="auto">
        <a:xfrm>
          <a:off x="3314700" y="7534275"/>
          <a:ext cx="285750" cy="304800"/>
        </a:xfrm>
        <a:prstGeom prst="rect">
          <a:avLst/>
        </a:prstGeom>
        <a:noFill/>
        <a:ln w="9525">
          <a:noFill/>
          <a:round/>
          <a:headEnd/>
          <a:tailEnd/>
        </a:ln>
        <a:effectLst/>
      </xdr:spPr>
    </xdr:sp>
    <xdr:clientData/>
  </xdr:twoCellAnchor>
  <xdr:twoCellAnchor>
    <xdr:from>
      <xdr:col>3</xdr:col>
      <xdr:colOff>676275</xdr:colOff>
      <xdr:row>55</xdr:row>
      <xdr:rowOff>38100</xdr:rowOff>
    </xdr:from>
    <xdr:to>
      <xdr:col>4</xdr:col>
      <xdr:colOff>171450</xdr:colOff>
      <xdr:row>56</xdr:row>
      <xdr:rowOff>152400</xdr:rowOff>
    </xdr:to>
    <xdr:sp macro="" textlink="">
      <xdr:nvSpPr>
        <xdr:cNvPr id="24601" name="Picture 75"/>
        <xdr:cNvSpPr>
          <a:spLocks noChangeAspect="1" noChangeArrowheads="1"/>
        </xdr:cNvSpPr>
      </xdr:nvSpPr>
      <xdr:spPr bwMode="auto">
        <a:xfrm>
          <a:off x="2209800" y="10591800"/>
          <a:ext cx="295275" cy="304800"/>
        </a:xfrm>
        <a:prstGeom prst="rect">
          <a:avLst/>
        </a:prstGeom>
        <a:noFill/>
        <a:ln w="9525">
          <a:noFill/>
          <a:round/>
          <a:headEnd/>
          <a:tailEnd/>
        </a:ln>
        <a:effectLst/>
      </xdr:spPr>
    </xdr:sp>
    <xdr:clientData/>
  </xdr:twoCellAnchor>
  <xdr:twoCellAnchor>
    <xdr:from>
      <xdr:col>4</xdr:col>
      <xdr:colOff>981075</xdr:colOff>
      <xdr:row>55</xdr:row>
      <xdr:rowOff>38100</xdr:rowOff>
    </xdr:from>
    <xdr:to>
      <xdr:col>6</xdr:col>
      <xdr:colOff>9525</xdr:colOff>
      <xdr:row>56</xdr:row>
      <xdr:rowOff>152400</xdr:rowOff>
    </xdr:to>
    <xdr:sp macro="" textlink="">
      <xdr:nvSpPr>
        <xdr:cNvPr id="24602" name="Picture 76"/>
        <xdr:cNvSpPr>
          <a:spLocks noChangeAspect="1" noChangeArrowheads="1"/>
        </xdr:cNvSpPr>
      </xdr:nvSpPr>
      <xdr:spPr bwMode="auto">
        <a:xfrm>
          <a:off x="3314700" y="10591800"/>
          <a:ext cx="285750" cy="304800"/>
        </a:xfrm>
        <a:prstGeom prst="rect">
          <a:avLst/>
        </a:prstGeom>
        <a:noFill/>
        <a:ln w="9525">
          <a:noFill/>
          <a:round/>
          <a:headEnd/>
          <a:tailEnd/>
        </a:ln>
        <a:effectLst/>
      </xdr:spPr>
    </xdr:sp>
    <xdr:clientData/>
  </xdr:twoCellAnchor>
  <xdr:twoCellAnchor>
    <xdr:from>
      <xdr:col>3</xdr:col>
      <xdr:colOff>676275</xdr:colOff>
      <xdr:row>56</xdr:row>
      <xdr:rowOff>38100</xdr:rowOff>
    </xdr:from>
    <xdr:to>
      <xdr:col>4</xdr:col>
      <xdr:colOff>171450</xdr:colOff>
      <xdr:row>57</xdr:row>
      <xdr:rowOff>152400</xdr:rowOff>
    </xdr:to>
    <xdr:sp macro="" textlink="">
      <xdr:nvSpPr>
        <xdr:cNvPr id="24603" name="Picture 77"/>
        <xdr:cNvSpPr>
          <a:spLocks noChangeAspect="1" noChangeArrowheads="1"/>
        </xdr:cNvSpPr>
      </xdr:nvSpPr>
      <xdr:spPr bwMode="auto">
        <a:xfrm>
          <a:off x="2209800" y="10782300"/>
          <a:ext cx="295275" cy="304800"/>
        </a:xfrm>
        <a:prstGeom prst="rect">
          <a:avLst/>
        </a:prstGeom>
        <a:noFill/>
        <a:ln w="9525">
          <a:noFill/>
          <a:round/>
          <a:headEnd/>
          <a:tailEnd/>
        </a:ln>
        <a:effectLst/>
      </xdr:spPr>
    </xdr:sp>
    <xdr:clientData/>
  </xdr:twoCellAnchor>
  <xdr:twoCellAnchor>
    <xdr:from>
      <xdr:col>4</xdr:col>
      <xdr:colOff>981075</xdr:colOff>
      <xdr:row>56</xdr:row>
      <xdr:rowOff>38100</xdr:rowOff>
    </xdr:from>
    <xdr:to>
      <xdr:col>6</xdr:col>
      <xdr:colOff>9525</xdr:colOff>
      <xdr:row>57</xdr:row>
      <xdr:rowOff>152400</xdr:rowOff>
    </xdr:to>
    <xdr:sp macro="" textlink="">
      <xdr:nvSpPr>
        <xdr:cNvPr id="24604" name="Picture 78"/>
        <xdr:cNvSpPr>
          <a:spLocks noChangeAspect="1" noChangeArrowheads="1"/>
        </xdr:cNvSpPr>
      </xdr:nvSpPr>
      <xdr:spPr bwMode="auto">
        <a:xfrm>
          <a:off x="3314700" y="10782300"/>
          <a:ext cx="285750" cy="304800"/>
        </a:xfrm>
        <a:prstGeom prst="rect">
          <a:avLst/>
        </a:prstGeom>
        <a:noFill/>
        <a:ln w="9525">
          <a:noFill/>
          <a:round/>
          <a:headEnd/>
          <a:tailEnd/>
        </a:ln>
        <a:effectLst/>
      </xdr:spPr>
    </xdr:sp>
    <xdr:clientData/>
  </xdr:twoCellAnchor>
  <xdr:twoCellAnchor>
    <xdr:from>
      <xdr:col>3</xdr:col>
      <xdr:colOff>676275</xdr:colOff>
      <xdr:row>57</xdr:row>
      <xdr:rowOff>38100</xdr:rowOff>
    </xdr:from>
    <xdr:to>
      <xdr:col>4</xdr:col>
      <xdr:colOff>171450</xdr:colOff>
      <xdr:row>58</xdr:row>
      <xdr:rowOff>152400</xdr:rowOff>
    </xdr:to>
    <xdr:sp macro="" textlink="">
      <xdr:nvSpPr>
        <xdr:cNvPr id="24605" name="Picture 79"/>
        <xdr:cNvSpPr>
          <a:spLocks noChangeAspect="1" noChangeArrowheads="1"/>
        </xdr:cNvSpPr>
      </xdr:nvSpPr>
      <xdr:spPr bwMode="auto">
        <a:xfrm>
          <a:off x="2209800" y="10972800"/>
          <a:ext cx="295275" cy="304800"/>
        </a:xfrm>
        <a:prstGeom prst="rect">
          <a:avLst/>
        </a:prstGeom>
        <a:noFill/>
        <a:ln w="9525">
          <a:noFill/>
          <a:round/>
          <a:headEnd/>
          <a:tailEnd/>
        </a:ln>
        <a:effectLst/>
      </xdr:spPr>
    </xdr:sp>
    <xdr:clientData/>
  </xdr:twoCellAnchor>
  <xdr:twoCellAnchor>
    <xdr:from>
      <xdr:col>4</xdr:col>
      <xdr:colOff>981075</xdr:colOff>
      <xdr:row>57</xdr:row>
      <xdr:rowOff>38100</xdr:rowOff>
    </xdr:from>
    <xdr:to>
      <xdr:col>6</xdr:col>
      <xdr:colOff>9525</xdr:colOff>
      <xdr:row>58</xdr:row>
      <xdr:rowOff>152400</xdr:rowOff>
    </xdr:to>
    <xdr:sp macro="" textlink="">
      <xdr:nvSpPr>
        <xdr:cNvPr id="24606" name="Picture 80"/>
        <xdr:cNvSpPr>
          <a:spLocks noChangeAspect="1" noChangeArrowheads="1"/>
        </xdr:cNvSpPr>
      </xdr:nvSpPr>
      <xdr:spPr bwMode="auto">
        <a:xfrm>
          <a:off x="3314700" y="10972800"/>
          <a:ext cx="285750" cy="304800"/>
        </a:xfrm>
        <a:prstGeom prst="rect">
          <a:avLst/>
        </a:prstGeom>
        <a:noFill/>
        <a:ln w="9525">
          <a:noFill/>
          <a:round/>
          <a:headEnd/>
          <a:tailEnd/>
        </a:ln>
        <a:effectLst/>
      </xdr:spPr>
    </xdr:sp>
    <xdr:clientData/>
  </xdr:twoCellAnchor>
  <xdr:twoCellAnchor>
    <xdr:from>
      <xdr:col>3</xdr:col>
      <xdr:colOff>676275</xdr:colOff>
      <xdr:row>58</xdr:row>
      <xdr:rowOff>38100</xdr:rowOff>
    </xdr:from>
    <xdr:to>
      <xdr:col>4</xdr:col>
      <xdr:colOff>171450</xdr:colOff>
      <xdr:row>59</xdr:row>
      <xdr:rowOff>152400</xdr:rowOff>
    </xdr:to>
    <xdr:sp macro="" textlink="">
      <xdr:nvSpPr>
        <xdr:cNvPr id="24607" name="Picture 81"/>
        <xdr:cNvSpPr>
          <a:spLocks noChangeAspect="1" noChangeArrowheads="1"/>
        </xdr:cNvSpPr>
      </xdr:nvSpPr>
      <xdr:spPr bwMode="auto">
        <a:xfrm>
          <a:off x="2209800" y="11163300"/>
          <a:ext cx="295275" cy="304800"/>
        </a:xfrm>
        <a:prstGeom prst="rect">
          <a:avLst/>
        </a:prstGeom>
        <a:noFill/>
        <a:ln w="9525">
          <a:noFill/>
          <a:round/>
          <a:headEnd/>
          <a:tailEnd/>
        </a:ln>
        <a:effectLst/>
      </xdr:spPr>
    </xdr:sp>
    <xdr:clientData/>
  </xdr:twoCellAnchor>
  <xdr:twoCellAnchor>
    <xdr:from>
      <xdr:col>4</xdr:col>
      <xdr:colOff>981075</xdr:colOff>
      <xdr:row>58</xdr:row>
      <xdr:rowOff>38100</xdr:rowOff>
    </xdr:from>
    <xdr:to>
      <xdr:col>6</xdr:col>
      <xdr:colOff>9525</xdr:colOff>
      <xdr:row>59</xdr:row>
      <xdr:rowOff>152400</xdr:rowOff>
    </xdr:to>
    <xdr:sp macro="" textlink="">
      <xdr:nvSpPr>
        <xdr:cNvPr id="24608" name="Picture 82"/>
        <xdr:cNvSpPr>
          <a:spLocks noChangeAspect="1" noChangeArrowheads="1"/>
        </xdr:cNvSpPr>
      </xdr:nvSpPr>
      <xdr:spPr bwMode="auto">
        <a:xfrm>
          <a:off x="3314700" y="11163300"/>
          <a:ext cx="285750" cy="304800"/>
        </a:xfrm>
        <a:prstGeom prst="rect">
          <a:avLst/>
        </a:prstGeom>
        <a:noFill/>
        <a:ln w="9525">
          <a:noFill/>
          <a:round/>
          <a:headEnd/>
          <a:tailEnd/>
        </a:ln>
        <a:effectLst/>
      </xdr:spPr>
    </xdr:sp>
    <xdr:clientData/>
  </xdr:twoCellAnchor>
  <xdr:twoCellAnchor>
    <xdr:from>
      <xdr:col>3</xdr:col>
      <xdr:colOff>676275</xdr:colOff>
      <xdr:row>59</xdr:row>
      <xdr:rowOff>38100</xdr:rowOff>
    </xdr:from>
    <xdr:to>
      <xdr:col>4</xdr:col>
      <xdr:colOff>171450</xdr:colOff>
      <xdr:row>60</xdr:row>
      <xdr:rowOff>161925</xdr:rowOff>
    </xdr:to>
    <xdr:sp macro="" textlink="">
      <xdr:nvSpPr>
        <xdr:cNvPr id="24609" name="Picture 83"/>
        <xdr:cNvSpPr>
          <a:spLocks noChangeAspect="1" noChangeArrowheads="1"/>
        </xdr:cNvSpPr>
      </xdr:nvSpPr>
      <xdr:spPr bwMode="auto">
        <a:xfrm>
          <a:off x="2209800" y="11353800"/>
          <a:ext cx="295275" cy="314325"/>
        </a:xfrm>
        <a:prstGeom prst="rect">
          <a:avLst/>
        </a:prstGeom>
        <a:noFill/>
        <a:ln w="9525">
          <a:noFill/>
          <a:round/>
          <a:headEnd/>
          <a:tailEnd/>
        </a:ln>
        <a:effectLst/>
      </xdr:spPr>
    </xdr:sp>
    <xdr:clientData/>
  </xdr:twoCellAnchor>
  <xdr:twoCellAnchor>
    <xdr:from>
      <xdr:col>4</xdr:col>
      <xdr:colOff>981075</xdr:colOff>
      <xdr:row>59</xdr:row>
      <xdr:rowOff>38100</xdr:rowOff>
    </xdr:from>
    <xdr:to>
      <xdr:col>6</xdr:col>
      <xdr:colOff>9525</xdr:colOff>
      <xdr:row>60</xdr:row>
      <xdr:rowOff>161925</xdr:rowOff>
    </xdr:to>
    <xdr:sp macro="" textlink="">
      <xdr:nvSpPr>
        <xdr:cNvPr id="24610" name="Picture 84"/>
        <xdr:cNvSpPr>
          <a:spLocks noChangeAspect="1" noChangeArrowheads="1"/>
        </xdr:cNvSpPr>
      </xdr:nvSpPr>
      <xdr:spPr bwMode="auto">
        <a:xfrm>
          <a:off x="3314700" y="11353800"/>
          <a:ext cx="285750" cy="314325"/>
        </a:xfrm>
        <a:prstGeom prst="rect">
          <a:avLst/>
        </a:prstGeom>
        <a:noFill/>
        <a:ln w="9525">
          <a:noFill/>
          <a:round/>
          <a:headEnd/>
          <a:tailEnd/>
        </a:ln>
        <a:effectLst/>
      </xdr:spPr>
    </xdr:sp>
    <xdr:clientData/>
  </xdr:twoCellAnchor>
  <xdr:twoCellAnchor>
    <xdr:from>
      <xdr:col>3</xdr:col>
      <xdr:colOff>676275</xdr:colOff>
      <xdr:row>60</xdr:row>
      <xdr:rowOff>47625</xdr:rowOff>
    </xdr:from>
    <xdr:to>
      <xdr:col>4</xdr:col>
      <xdr:colOff>171450</xdr:colOff>
      <xdr:row>61</xdr:row>
      <xdr:rowOff>161925</xdr:rowOff>
    </xdr:to>
    <xdr:sp macro="" textlink="">
      <xdr:nvSpPr>
        <xdr:cNvPr id="24611" name="Picture 85"/>
        <xdr:cNvSpPr>
          <a:spLocks noChangeAspect="1" noChangeArrowheads="1"/>
        </xdr:cNvSpPr>
      </xdr:nvSpPr>
      <xdr:spPr bwMode="auto">
        <a:xfrm>
          <a:off x="2209800" y="11553825"/>
          <a:ext cx="295275" cy="304800"/>
        </a:xfrm>
        <a:prstGeom prst="rect">
          <a:avLst/>
        </a:prstGeom>
        <a:noFill/>
        <a:ln w="9525">
          <a:noFill/>
          <a:round/>
          <a:headEnd/>
          <a:tailEnd/>
        </a:ln>
        <a:effectLst/>
      </xdr:spPr>
    </xdr:sp>
    <xdr:clientData/>
  </xdr:twoCellAnchor>
  <xdr:twoCellAnchor>
    <xdr:from>
      <xdr:col>4</xdr:col>
      <xdr:colOff>981075</xdr:colOff>
      <xdr:row>60</xdr:row>
      <xdr:rowOff>47625</xdr:rowOff>
    </xdr:from>
    <xdr:to>
      <xdr:col>6</xdr:col>
      <xdr:colOff>9525</xdr:colOff>
      <xdr:row>61</xdr:row>
      <xdr:rowOff>161925</xdr:rowOff>
    </xdr:to>
    <xdr:sp macro="" textlink="">
      <xdr:nvSpPr>
        <xdr:cNvPr id="24612" name="Picture 86"/>
        <xdr:cNvSpPr>
          <a:spLocks noChangeAspect="1" noChangeArrowheads="1"/>
        </xdr:cNvSpPr>
      </xdr:nvSpPr>
      <xdr:spPr bwMode="auto">
        <a:xfrm>
          <a:off x="3314700" y="11553825"/>
          <a:ext cx="285750" cy="304800"/>
        </a:xfrm>
        <a:prstGeom prst="rect">
          <a:avLst/>
        </a:prstGeom>
        <a:noFill/>
        <a:ln w="9525">
          <a:noFill/>
          <a:round/>
          <a:headEnd/>
          <a:tailEnd/>
        </a:ln>
        <a:effectLst/>
      </xdr:spPr>
    </xdr:sp>
    <xdr:clientData/>
  </xdr:twoCellAnchor>
  <xdr:twoCellAnchor>
    <xdr:from>
      <xdr:col>3</xdr:col>
      <xdr:colOff>676275</xdr:colOff>
      <xdr:row>62</xdr:row>
      <xdr:rowOff>47625</xdr:rowOff>
    </xdr:from>
    <xdr:to>
      <xdr:col>4</xdr:col>
      <xdr:colOff>171450</xdr:colOff>
      <xdr:row>63</xdr:row>
      <xdr:rowOff>161925</xdr:rowOff>
    </xdr:to>
    <xdr:sp macro="" textlink="">
      <xdr:nvSpPr>
        <xdr:cNvPr id="24613" name="Picture 87"/>
        <xdr:cNvSpPr>
          <a:spLocks noChangeAspect="1" noChangeArrowheads="1"/>
        </xdr:cNvSpPr>
      </xdr:nvSpPr>
      <xdr:spPr bwMode="auto">
        <a:xfrm>
          <a:off x="2209800" y="11934825"/>
          <a:ext cx="295275" cy="304800"/>
        </a:xfrm>
        <a:prstGeom prst="rect">
          <a:avLst/>
        </a:prstGeom>
        <a:noFill/>
        <a:ln w="9525">
          <a:noFill/>
          <a:round/>
          <a:headEnd/>
          <a:tailEnd/>
        </a:ln>
        <a:effectLst/>
      </xdr:spPr>
    </xdr:sp>
    <xdr:clientData/>
  </xdr:twoCellAnchor>
  <xdr:twoCellAnchor>
    <xdr:from>
      <xdr:col>4</xdr:col>
      <xdr:colOff>981075</xdr:colOff>
      <xdr:row>62</xdr:row>
      <xdr:rowOff>47625</xdr:rowOff>
    </xdr:from>
    <xdr:to>
      <xdr:col>6</xdr:col>
      <xdr:colOff>9525</xdr:colOff>
      <xdr:row>63</xdr:row>
      <xdr:rowOff>161925</xdr:rowOff>
    </xdr:to>
    <xdr:sp macro="" textlink="">
      <xdr:nvSpPr>
        <xdr:cNvPr id="24614" name="Picture 88"/>
        <xdr:cNvSpPr>
          <a:spLocks noChangeAspect="1" noChangeArrowheads="1"/>
        </xdr:cNvSpPr>
      </xdr:nvSpPr>
      <xdr:spPr bwMode="auto">
        <a:xfrm>
          <a:off x="3314700" y="11934825"/>
          <a:ext cx="285750" cy="304800"/>
        </a:xfrm>
        <a:prstGeom prst="rect">
          <a:avLst/>
        </a:prstGeom>
        <a:noFill/>
        <a:ln w="9525">
          <a:noFill/>
          <a:round/>
          <a:headEnd/>
          <a:tailEnd/>
        </a:ln>
        <a:effectLst/>
      </xdr:spPr>
    </xdr:sp>
    <xdr:clientData/>
  </xdr:twoCellAnchor>
  <xdr:twoCellAnchor>
    <xdr:from>
      <xdr:col>3</xdr:col>
      <xdr:colOff>676275</xdr:colOff>
      <xdr:row>63</xdr:row>
      <xdr:rowOff>47625</xdr:rowOff>
    </xdr:from>
    <xdr:to>
      <xdr:col>4</xdr:col>
      <xdr:colOff>171450</xdr:colOff>
      <xdr:row>64</xdr:row>
      <xdr:rowOff>161925</xdr:rowOff>
    </xdr:to>
    <xdr:sp macro="" textlink="">
      <xdr:nvSpPr>
        <xdr:cNvPr id="24615" name="Picture 89"/>
        <xdr:cNvSpPr>
          <a:spLocks noChangeAspect="1" noChangeArrowheads="1"/>
        </xdr:cNvSpPr>
      </xdr:nvSpPr>
      <xdr:spPr bwMode="auto">
        <a:xfrm>
          <a:off x="2209800" y="12125325"/>
          <a:ext cx="295275" cy="304800"/>
        </a:xfrm>
        <a:prstGeom prst="rect">
          <a:avLst/>
        </a:prstGeom>
        <a:noFill/>
        <a:ln w="9525">
          <a:noFill/>
          <a:round/>
          <a:headEnd/>
          <a:tailEnd/>
        </a:ln>
        <a:effectLst/>
      </xdr:spPr>
    </xdr:sp>
    <xdr:clientData/>
  </xdr:twoCellAnchor>
  <xdr:twoCellAnchor>
    <xdr:from>
      <xdr:col>4</xdr:col>
      <xdr:colOff>981075</xdr:colOff>
      <xdr:row>63</xdr:row>
      <xdr:rowOff>47625</xdr:rowOff>
    </xdr:from>
    <xdr:to>
      <xdr:col>6</xdr:col>
      <xdr:colOff>9525</xdr:colOff>
      <xdr:row>64</xdr:row>
      <xdr:rowOff>161925</xdr:rowOff>
    </xdr:to>
    <xdr:sp macro="" textlink="">
      <xdr:nvSpPr>
        <xdr:cNvPr id="24616" name="Picture 90"/>
        <xdr:cNvSpPr>
          <a:spLocks noChangeAspect="1" noChangeArrowheads="1"/>
        </xdr:cNvSpPr>
      </xdr:nvSpPr>
      <xdr:spPr bwMode="auto">
        <a:xfrm>
          <a:off x="3314700" y="12125325"/>
          <a:ext cx="285750" cy="304800"/>
        </a:xfrm>
        <a:prstGeom prst="rect">
          <a:avLst/>
        </a:prstGeom>
        <a:noFill/>
        <a:ln w="9525">
          <a:noFill/>
          <a:round/>
          <a:headEnd/>
          <a:tailEnd/>
        </a:ln>
        <a:effectLst/>
      </xdr:spPr>
    </xdr:sp>
    <xdr:clientData/>
  </xdr:twoCellAnchor>
  <xdr:twoCellAnchor>
    <xdr:from>
      <xdr:col>3</xdr:col>
      <xdr:colOff>676275</xdr:colOff>
      <xdr:row>64</xdr:row>
      <xdr:rowOff>47625</xdr:rowOff>
    </xdr:from>
    <xdr:to>
      <xdr:col>4</xdr:col>
      <xdr:colOff>171450</xdr:colOff>
      <xdr:row>65</xdr:row>
      <xdr:rowOff>161925</xdr:rowOff>
    </xdr:to>
    <xdr:sp macro="" textlink="">
      <xdr:nvSpPr>
        <xdr:cNvPr id="24617" name="Picture 91"/>
        <xdr:cNvSpPr>
          <a:spLocks noChangeAspect="1" noChangeArrowheads="1"/>
        </xdr:cNvSpPr>
      </xdr:nvSpPr>
      <xdr:spPr bwMode="auto">
        <a:xfrm>
          <a:off x="2209800" y="12315825"/>
          <a:ext cx="295275" cy="304800"/>
        </a:xfrm>
        <a:prstGeom prst="rect">
          <a:avLst/>
        </a:prstGeom>
        <a:noFill/>
        <a:ln w="9525">
          <a:noFill/>
          <a:round/>
          <a:headEnd/>
          <a:tailEnd/>
        </a:ln>
        <a:effectLst/>
      </xdr:spPr>
    </xdr:sp>
    <xdr:clientData/>
  </xdr:twoCellAnchor>
  <xdr:twoCellAnchor>
    <xdr:from>
      <xdr:col>4</xdr:col>
      <xdr:colOff>981075</xdr:colOff>
      <xdr:row>64</xdr:row>
      <xdr:rowOff>47625</xdr:rowOff>
    </xdr:from>
    <xdr:to>
      <xdr:col>6</xdr:col>
      <xdr:colOff>9525</xdr:colOff>
      <xdr:row>65</xdr:row>
      <xdr:rowOff>161925</xdr:rowOff>
    </xdr:to>
    <xdr:sp macro="" textlink="">
      <xdr:nvSpPr>
        <xdr:cNvPr id="24618" name="Picture 92"/>
        <xdr:cNvSpPr>
          <a:spLocks noChangeAspect="1" noChangeArrowheads="1"/>
        </xdr:cNvSpPr>
      </xdr:nvSpPr>
      <xdr:spPr bwMode="auto">
        <a:xfrm>
          <a:off x="3314700" y="12315825"/>
          <a:ext cx="285750" cy="304800"/>
        </a:xfrm>
        <a:prstGeom prst="rect">
          <a:avLst/>
        </a:prstGeom>
        <a:noFill/>
        <a:ln w="9525">
          <a:noFill/>
          <a:round/>
          <a:headEnd/>
          <a:tailEnd/>
        </a:ln>
        <a:effectLst/>
      </xdr:spPr>
    </xdr:sp>
    <xdr:clientData/>
  </xdr:twoCellAnchor>
  <xdr:twoCellAnchor>
    <xdr:from>
      <xdr:col>3</xdr:col>
      <xdr:colOff>676275</xdr:colOff>
      <xdr:row>65</xdr:row>
      <xdr:rowOff>47625</xdr:rowOff>
    </xdr:from>
    <xdr:to>
      <xdr:col>4</xdr:col>
      <xdr:colOff>171450</xdr:colOff>
      <xdr:row>66</xdr:row>
      <xdr:rowOff>161925</xdr:rowOff>
    </xdr:to>
    <xdr:sp macro="" textlink="">
      <xdr:nvSpPr>
        <xdr:cNvPr id="24619" name="Picture 93"/>
        <xdr:cNvSpPr>
          <a:spLocks noChangeAspect="1" noChangeArrowheads="1"/>
        </xdr:cNvSpPr>
      </xdr:nvSpPr>
      <xdr:spPr bwMode="auto">
        <a:xfrm>
          <a:off x="2209800" y="12506325"/>
          <a:ext cx="295275" cy="304800"/>
        </a:xfrm>
        <a:prstGeom prst="rect">
          <a:avLst/>
        </a:prstGeom>
        <a:noFill/>
        <a:ln w="9525">
          <a:noFill/>
          <a:round/>
          <a:headEnd/>
          <a:tailEnd/>
        </a:ln>
        <a:effectLst/>
      </xdr:spPr>
    </xdr:sp>
    <xdr:clientData/>
  </xdr:twoCellAnchor>
  <xdr:twoCellAnchor>
    <xdr:from>
      <xdr:col>4</xdr:col>
      <xdr:colOff>981075</xdr:colOff>
      <xdr:row>65</xdr:row>
      <xdr:rowOff>47625</xdr:rowOff>
    </xdr:from>
    <xdr:to>
      <xdr:col>6</xdr:col>
      <xdr:colOff>9525</xdr:colOff>
      <xdr:row>66</xdr:row>
      <xdr:rowOff>161925</xdr:rowOff>
    </xdr:to>
    <xdr:sp macro="" textlink="">
      <xdr:nvSpPr>
        <xdr:cNvPr id="24620" name="Picture 94"/>
        <xdr:cNvSpPr>
          <a:spLocks noChangeAspect="1" noChangeArrowheads="1"/>
        </xdr:cNvSpPr>
      </xdr:nvSpPr>
      <xdr:spPr bwMode="auto">
        <a:xfrm>
          <a:off x="3314700" y="12506325"/>
          <a:ext cx="285750" cy="304800"/>
        </a:xfrm>
        <a:prstGeom prst="rect">
          <a:avLst/>
        </a:prstGeom>
        <a:noFill/>
        <a:ln w="9525">
          <a:noFill/>
          <a:round/>
          <a:headEnd/>
          <a:tailEnd/>
        </a:ln>
        <a:effectLst/>
      </xdr:spPr>
    </xdr:sp>
    <xdr:clientData/>
  </xdr:twoCellAnchor>
  <xdr:twoCellAnchor>
    <xdr:from>
      <xdr:col>3</xdr:col>
      <xdr:colOff>676275</xdr:colOff>
      <xdr:row>66</xdr:row>
      <xdr:rowOff>47625</xdr:rowOff>
    </xdr:from>
    <xdr:to>
      <xdr:col>4</xdr:col>
      <xdr:colOff>171450</xdr:colOff>
      <xdr:row>67</xdr:row>
      <xdr:rowOff>161925</xdr:rowOff>
    </xdr:to>
    <xdr:sp macro="" textlink="">
      <xdr:nvSpPr>
        <xdr:cNvPr id="24621" name="Picture 95"/>
        <xdr:cNvSpPr>
          <a:spLocks noChangeAspect="1" noChangeArrowheads="1"/>
        </xdr:cNvSpPr>
      </xdr:nvSpPr>
      <xdr:spPr bwMode="auto">
        <a:xfrm>
          <a:off x="2209800" y="12696825"/>
          <a:ext cx="295275" cy="304800"/>
        </a:xfrm>
        <a:prstGeom prst="rect">
          <a:avLst/>
        </a:prstGeom>
        <a:noFill/>
        <a:ln w="9525">
          <a:noFill/>
          <a:round/>
          <a:headEnd/>
          <a:tailEnd/>
        </a:ln>
        <a:effectLst/>
      </xdr:spPr>
    </xdr:sp>
    <xdr:clientData/>
  </xdr:twoCellAnchor>
  <xdr:twoCellAnchor>
    <xdr:from>
      <xdr:col>4</xdr:col>
      <xdr:colOff>981075</xdr:colOff>
      <xdr:row>66</xdr:row>
      <xdr:rowOff>47625</xdr:rowOff>
    </xdr:from>
    <xdr:to>
      <xdr:col>6</xdr:col>
      <xdr:colOff>9525</xdr:colOff>
      <xdr:row>67</xdr:row>
      <xdr:rowOff>161925</xdr:rowOff>
    </xdr:to>
    <xdr:sp macro="" textlink="">
      <xdr:nvSpPr>
        <xdr:cNvPr id="24622" name="Picture 96"/>
        <xdr:cNvSpPr>
          <a:spLocks noChangeAspect="1" noChangeArrowheads="1"/>
        </xdr:cNvSpPr>
      </xdr:nvSpPr>
      <xdr:spPr bwMode="auto">
        <a:xfrm>
          <a:off x="3314700" y="12696825"/>
          <a:ext cx="285750" cy="304800"/>
        </a:xfrm>
        <a:prstGeom prst="rect">
          <a:avLst/>
        </a:prstGeom>
        <a:noFill/>
        <a:ln w="9525">
          <a:noFill/>
          <a:round/>
          <a:headEnd/>
          <a:tailEnd/>
        </a:ln>
        <a:effectLst/>
      </xdr:spPr>
    </xdr:sp>
    <xdr:clientData/>
  </xdr:twoCellAnchor>
  <xdr:twoCellAnchor>
    <xdr:from>
      <xdr:col>3</xdr:col>
      <xdr:colOff>676275</xdr:colOff>
      <xdr:row>67</xdr:row>
      <xdr:rowOff>47625</xdr:rowOff>
    </xdr:from>
    <xdr:to>
      <xdr:col>4</xdr:col>
      <xdr:colOff>171450</xdr:colOff>
      <xdr:row>68</xdr:row>
      <xdr:rowOff>161925</xdr:rowOff>
    </xdr:to>
    <xdr:sp macro="" textlink="">
      <xdr:nvSpPr>
        <xdr:cNvPr id="24623" name="Picture 97"/>
        <xdr:cNvSpPr>
          <a:spLocks noChangeAspect="1" noChangeArrowheads="1"/>
        </xdr:cNvSpPr>
      </xdr:nvSpPr>
      <xdr:spPr bwMode="auto">
        <a:xfrm>
          <a:off x="2209800" y="12887325"/>
          <a:ext cx="295275" cy="304800"/>
        </a:xfrm>
        <a:prstGeom prst="rect">
          <a:avLst/>
        </a:prstGeom>
        <a:noFill/>
        <a:ln w="9525">
          <a:noFill/>
          <a:round/>
          <a:headEnd/>
          <a:tailEnd/>
        </a:ln>
        <a:effectLst/>
      </xdr:spPr>
    </xdr:sp>
    <xdr:clientData/>
  </xdr:twoCellAnchor>
  <xdr:twoCellAnchor>
    <xdr:from>
      <xdr:col>4</xdr:col>
      <xdr:colOff>981075</xdr:colOff>
      <xdr:row>67</xdr:row>
      <xdr:rowOff>47625</xdr:rowOff>
    </xdr:from>
    <xdr:to>
      <xdr:col>6</xdr:col>
      <xdr:colOff>9525</xdr:colOff>
      <xdr:row>68</xdr:row>
      <xdr:rowOff>161925</xdr:rowOff>
    </xdr:to>
    <xdr:sp macro="" textlink="">
      <xdr:nvSpPr>
        <xdr:cNvPr id="24624" name="Picture 98"/>
        <xdr:cNvSpPr>
          <a:spLocks noChangeAspect="1" noChangeArrowheads="1"/>
        </xdr:cNvSpPr>
      </xdr:nvSpPr>
      <xdr:spPr bwMode="auto">
        <a:xfrm>
          <a:off x="3314700" y="12887325"/>
          <a:ext cx="285750" cy="304800"/>
        </a:xfrm>
        <a:prstGeom prst="rect">
          <a:avLst/>
        </a:prstGeom>
        <a:noFill/>
        <a:ln w="9525">
          <a:noFill/>
          <a:round/>
          <a:headEnd/>
          <a:tailEnd/>
        </a:ln>
        <a:effectLst/>
      </xdr:spPr>
    </xdr:sp>
    <xdr:clientData/>
  </xdr:twoCellAnchor>
  <xdr:twoCellAnchor>
    <xdr:from>
      <xdr:col>0</xdr:col>
      <xdr:colOff>428625</xdr:colOff>
      <xdr:row>89</xdr:row>
      <xdr:rowOff>66675</xdr:rowOff>
    </xdr:from>
    <xdr:to>
      <xdr:col>1</xdr:col>
      <xdr:colOff>85725</xdr:colOff>
      <xdr:row>90</xdr:row>
      <xdr:rowOff>0</xdr:rowOff>
    </xdr:to>
    <xdr:sp macro="" textlink="">
      <xdr:nvSpPr>
        <xdr:cNvPr id="24625" name="Picture 99"/>
        <xdr:cNvSpPr>
          <a:spLocks noChangeAspect="1" noChangeArrowheads="1"/>
        </xdr:cNvSpPr>
      </xdr:nvSpPr>
      <xdr:spPr bwMode="auto">
        <a:xfrm>
          <a:off x="428625" y="17097375"/>
          <a:ext cx="104775" cy="123825"/>
        </a:xfrm>
        <a:prstGeom prst="rect">
          <a:avLst/>
        </a:prstGeom>
        <a:noFill/>
        <a:ln w="9525">
          <a:noFill/>
          <a:round/>
          <a:headEnd/>
          <a:tailEnd/>
        </a:ln>
        <a:effectLst/>
      </xdr:spPr>
    </xdr:sp>
    <xdr:clientData/>
  </xdr:twoCellAnchor>
  <xdr:twoCellAnchor>
    <xdr:from>
      <xdr:col>0</xdr:col>
      <xdr:colOff>428625</xdr:colOff>
      <xdr:row>92</xdr:row>
      <xdr:rowOff>161925</xdr:rowOff>
    </xdr:from>
    <xdr:to>
      <xdr:col>0</xdr:col>
      <xdr:colOff>428625</xdr:colOff>
      <xdr:row>93</xdr:row>
      <xdr:rowOff>28575</xdr:rowOff>
    </xdr:to>
    <xdr:sp macro="" textlink="">
      <xdr:nvSpPr>
        <xdr:cNvPr id="24626" name="Picture 100"/>
        <xdr:cNvSpPr>
          <a:spLocks noChangeAspect="1" noChangeArrowheads="1"/>
        </xdr:cNvSpPr>
      </xdr:nvSpPr>
      <xdr:spPr bwMode="auto">
        <a:xfrm>
          <a:off x="428625" y="17764125"/>
          <a:ext cx="0" cy="57150"/>
        </a:xfrm>
        <a:prstGeom prst="rect">
          <a:avLst/>
        </a:prstGeom>
        <a:noFill/>
        <a:ln w="9525">
          <a:noFill/>
          <a:round/>
          <a:headEnd/>
          <a:tailEnd/>
        </a:ln>
        <a:effectLst/>
      </xdr:spPr>
    </xdr:sp>
    <xdr:clientData/>
  </xdr:twoCellAnchor>
  <xdr:twoCellAnchor>
    <xdr:from>
      <xdr:col>0</xdr:col>
      <xdr:colOff>428625</xdr:colOff>
      <xdr:row>99</xdr:row>
      <xdr:rowOff>171450</xdr:rowOff>
    </xdr:from>
    <xdr:to>
      <xdr:col>0</xdr:col>
      <xdr:colOff>428625</xdr:colOff>
      <xdr:row>100</xdr:row>
      <xdr:rowOff>38100</xdr:rowOff>
    </xdr:to>
    <xdr:sp macro="" textlink="">
      <xdr:nvSpPr>
        <xdr:cNvPr id="24627" name="Picture 101"/>
        <xdr:cNvSpPr>
          <a:spLocks noChangeAspect="1" noChangeArrowheads="1"/>
        </xdr:cNvSpPr>
      </xdr:nvSpPr>
      <xdr:spPr bwMode="auto">
        <a:xfrm>
          <a:off x="428625" y="19107150"/>
          <a:ext cx="0" cy="57150"/>
        </a:xfrm>
        <a:prstGeom prst="rect">
          <a:avLst/>
        </a:prstGeom>
        <a:noFill/>
        <a:ln w="9525">
          <a:noFill/>
          <a:round/>
          <a:headEnd/>
          <a:tailEnd/>
        </a:ln>
        <a:effectLst/>
      </xdr:spPr>
    </xdr:sp>
    <xdr:clientData/>
  </xdr:twoCellAnchor>
  <xdr:twoCellAnchor>
    <xdr:from>
      <xdr:col>0</xdr:col>
      <xdr:colOff>428625</xdr:colOff>
      <xdr:row>121</xdr:row>
      <xdr:rowOff>76200</xdr:rowOff>
    </xdr:from>
    <xdr:to>
      <xdr:col>0</xdr:col>
      <xdr:colOff>438150</xdr:colOff>
      <xdr:row>121</xdr:row>
      <xdr:rowOff>152400</xdr:rowOff>
    </xdr:to>
    <xdr:sp macro="" textlink="">
      <xdr:nvSpPr>
        <xdr:cNvPr id="24628" name="Picture 102"/>
        <xdr:cNvSpPr>
          <a:spLocks noChangeAspect="1" noChangeArrowheads="1"/>
        </xdr:cNvSpPr>
      </xdr:nvSpPr>
      <xdr:spPr bwMode="auto">
        <a:xfrm>
          <a:off x="428625" y="23202900"/>
          <a:ext cx="9525" cy="76200"/>
        </a:xfrm>
        <a:prstGeom prst="rect">
          <a:avLst/>
        </a:prstGeom>
        <a:noFill/>
        <a:ln w="9525">
          <a:noFill/>
          <a:round/>
          <a:headEnd/>
          <a:tailEnd/>
        </a:ln>
        <a:effectLst/>
      </xdr:spPr>
    </xdr:sp>
    <xdr:clientData/>
  </xdr:twoCellAnchor>
  <xdr:twoCellAnchor>
    <xdr:from>
      <xdr:col>0</xdr:col>
      <xdr:colOff>428625</xdr:colOff>
      <xdr:row>128</xdr:row>
      <xdr:rowOff>104775</xdr:rowOff>
    </xdr:from>
    <xdr:to>
      <xdr:col>0</xdr:col>
      <xdr:colOff>438150</xdr:colOff>
      <xdr:row>128</xdr:row>
      <xdr:rowOff>161925</xdr:rowOff>
    </xdr:to>
    <xdr:sp macro="" textlink="">
      <xdr:nvSpPr>
        <xdr:cNvPr id="24629" name="Picture 103"/>
        <xdr:cNvSpPr>
          <a:spLocks noChangeAspect="1" noChangeArrowheads="1"/>
        </xdr:cNvSpPr>
      </xdr:nvSpPr>
      <xdr:spPr bwMode="auto">
        <a:xfrm>
          <a:off x="428625" y="24564975"/>
          <a:ext cx="9525" cy="57150"/>
        </a:xfrm>
        <a:prstGeom prst="rect">
          <a:avLst/>
        </a:prstGeom>
        <a:noFill/>
        <a:ln w="9525">
          <a:noFill/>
          <a:round/>
          <a:headEnd/>
          <a:tailEnd/>
        </a:ln>
        <a:effectLst/>
      </xdr:spPr>
    </xdr:sp>
    <xdr:clientData/>
  </xdr:twoCellAnchor>
  <xdr:twoCellAnchor>
    <xdr:from>
      <xdr:col>0</xdr:col>
      <xdr:colOff>428625</xdr:colOff>
      <xdr:row>150</xdr:row>
      <xdr:rowOff>0</xdr:rowOff>
    </xdr:from>
    <xdr:to>
      <xdr:col>0</xdr:col>
      <xdr:colOff>438150</xdr:colOff>
      <xdr:row>150</xdr:row>
      <xdr:rowOff>57150</xdr:rowOff>
    </xdr:to>
    <xdr:sp macro="" textlink="">
      <xdr:nvSpPr>
        <xdr:cNvPr id="24630" name="Picture 104"/>
        <xdr:cNvSpPr>
          <a:spLocks noChangeAspect="1" noChangeArrowheads="1"/>
        </xdr:cNvSpPr>
      </xdr:nvSpPr>
      <xdr:spPr bwMode="auto">
        <a:xfrm>
          <a:off x="428625" y="28651200"/>
          <a:ext cx="9525" cy="57150"/>
        </a:xfrm>
        <a:prstGeom prst="rect">
          <a:avLst/>
        </a:prstGeom>
        <a:noFill/>
        <a:ln w="9525">
          <a:noFill/>
          <a:round/>
          <a:headEnd/>
          <a:tailEnd/>
        </a:ln>
        <a:effectLst/>
      </xdr:spPr>
    </xdr:sp>
    <xdr:clientData/>
  </xdr:twoCellAnchor>
  <xdr:twoCellAnchor>
    <xdr:from>
      <xdr:col>0</xdr:col>
      <xdr:colOff>428625</xdr:colOff>
      <xdr:row>157</xdr:row>
      <xdr:rowOff>9525</xdr:rowOff>
    </xdr:from>
    <xdr:to>
      <xdr:col>0</xdr:col>
      <xdr:colOff>438150</xdr:colOff>
      <xdr:row>157</xdr:row>
      <xdr:rowOff>66675</xdr:rowOff>
    </xdr:to>
    <xdr:sp macro="" textlink="">
      <xdr:nvSpPr>
        <xdr:cNvPr id="24631" name="Picture 105"/>
        <xdr:cNvSpPr>
          <a:spLocks noChangeAspect="1" noChangeArrowheads="1"/>
        </xdr:cNvSpPr>
      </xdr:nvSpPr>
      <xdr:spPr bwMode="auto">
        <a:xfrm>
          <a:off x="428625" y="29994225"/>
          <a:ext cx="9525" cy="57150"/>
        </a:xfrm>
        <a:prstGeom prst="rect">
          <a:avLst/>
        </a:prstGeom>
        <a:noFill/>
        <a:ln w="9525">
          <a:noFill/>
          <a:round/>
          <a:headEnd/>
          <a:tailEnd/>
        </a:ln>
        <a:effectLst/>
      </xdr:spPr>
    </xdr:sp>
    <xdr:clientData/>
  </xdr:twoCellAnchor>
  <xdr:twoCellAnchor>
    <xdr:from>
      <xdr:col>0</xdr:col>
      <xdr:colOff>428625</xdr:colOff>
      <xdr:row>178</xdr:row>
      <xdr:rowOff>104775</xdr:rowOff>
    </xdr:from>
    <xdr:to>
      <xdr:col>0</xdr:col>
      <xdr:colOff>438150</xdr:colOff>
      <xdr:row>178</xdr:row>
      <xdr:rowOff>180975</xdr:rowOff>
    </xdr:to>
    <xdr:sp macro="" textlink="">
      <xdr:nvSpPr>
        <xdr:cNvPr id="24632" name="Picture 106"/>
        <xdr:cNvSpPr>
          <a:spLocks noChangeAspect="1" noChangeArrowheads="1"/>
        </xdr:cNvSpPr>
      </xdr:nvSpPr>
      <xdr:spPr bwMode="auto">
        <a:xfrm>
          <a:off x="428625" y="34089975"/>
          <a:ext cx="9525" cy="76200"/>
        </a:xfrm>
        <a:prstGeom prst="rect">
          <a:avLst/>
        </a:prstGeom>
        <a:noFill/>
        <a:ln w="9525">
          <a:noFill/>
          <a:round/>
          <a:headEnd/>
          <a:tailEnd/>
        </a:ln>
        <a:effectLst/>
      </xdr:spPr>
    </xdr:sp>
    <xdr:clientData/>
  </xdr:twoCellAnchor>
  <xdr:twoCellAnchor>
    <xdr:from>
      <xdr:col>0</xdr:col>
      <xdr:colOff>428625</xdr:colOff>
      <xdr:row>185</xdr:row>
      <xdr:rowOff>114300</xdr:rowOff>
    </xdr:from>
    <xdr:to>
      <xdr:col>0</xdr:col>
      <xdr:colOff>428625</xdr:colOff>
      <xdr:row>186</xdr:row>
      <xdr:rowOff>0</xdr:rowOff>
    </xdr:to>
    <xdr:sp macro="" textlink="">
      <xdr:nvSpPr>
        <xdr:cNvPr id="24633" name="Picture 107"/>
        <xdr:cNvSpPr>
          <a:spLocks noChangeAspect="1" noChangeArrowheads="1"/>
        </xdr:cNvSpPr>
      </xdr:nvSpPr>
      <xdr:spPr bwMode="auto">
        <a:xfrm>
          <a:off x="428625" y="35433000"/>
          <a:ext cx="0" cy="76200"/>
        </a:xfrm>
        <a:prstGeom prst="rect">
          <a:avLst/>
        </a:prstGeom>
        <a:noFill/>
        <a:ln w="9525">
          <a:noFill/>
          <a:round/>
          <a:headEnd/>
          <a:tailEnd/>
        </a:ln>
        <a:effectLst/>
      </xdr:spPr>
    </xdr:sp>
    <xdr:clientData/>
  </xdr:twoCellAnchor>
  <xdr:twoCellAnchor>
    <xdr:from>
      <xdr:col>0</xdr:col>
      <xdr:colOff>428625</xdr:colOff>
      <xdr:row>207</xdr:row>
      <xdr:rowOff>38100</xdr:rowOff>
    </xdr:from>
    <xdr:to>
      <xdr:col>0</xdr:col>
      <xdr:colOff>438150</xdr:colOff>
      <xdr:row>207</xdr:row>
      <xdr:rowOff>95250</xdr:rowOff>
    </xdr:to>
    <xdr:sp macro="" textlink="">
      <xdr:nvSpPr>
        <xdr:cNvPr id="24634" name="Picture 108"/>
        <xdr:cNvSpPr>
          <a:spLocks noChangeAspect="1" noChangeArrowheads="1"/>
        </xdr:cNvSpPr>
      </xdr:nvSpPr>
      <xdr:spPr bwMode="auto">
        <a:xfrm>
          <a:off x="428625" y="39547800"/>
          <a:ext cx="9525" cy="57150"/>
        </a:xfrm>
        <a:prstGeom prst="rect">
          <a:avLst/>
        </a:prstGeom>
        <a:noFill/>
        <a:ln w="9525">
          <a:noFill/>
          <a:round/>
          <a:headEnd/>
          <a:tailEnd/>
        </a:ln>
        <a:effectLst/>
      </xdr:spPr>
    </xdr:sp>
    <xdr:clientData/>
  </xdr:twoCellAnchor>
  <xdr:twoCellAnchor>
    <xdr:from>
      <xdr:col>0</xdr:col>
      <xdr:colOff>428625</xdr:colOff>
      <xdr:row>214</xdr:row>
      <xdr:rowOff>47625</xdr:rowOff>
    </xdr:from>
    <xdr:to>
      <xdr:col>0</xdr:col>
      <xdr:colOff>438150</xdr:colOff>
      <xdr:row>214</xdr:row>
      <xdr:rowOff>104775</xdr:rowOff>
    </xdr:to>
    <xdr:sp macro="" textlink="">
      <xdr:nvSpPr>
        <xdr:cNvPr id="24635" name="Picture 109"/>
        <xdr:cNvSpPr>
          <a:spLocks noChangeAspect="1" noChangeArrowheads="1"/>
        </xdr:cNvSpPr>
      </xdr:nvSpPr>
      <xdr:spPr bwMode="auto">
        <a:xfrm>
          <a:off x="428625" y="40890825"/>
          <a:ext cx="9525" cy="57150"/>
        </a:xfrm>
        <a:prstGeom prst="rect">
          <a:avLst/>
        </a:prstGeom>
        <a:noFill/>
        <a:ln w="9525">
          <a:noFill/>
          <a:round/>
          <a:headEnd/>
          <a:tailEnd/>
        </a:ln>
        <a:effectLst/>
      </xdr:spPr>
    </xdr:sp>
    <xdr:clientData/>
  </xdr:twoCellAnchor>
  <xdr:twoCellAnchor>
    <xdr:from>
      <xdr:col>0</xdr:col>
      <xdr:colOff>428625</xdr:colOff>
      <xdr:row>235</xdr:row>
      <xdr:rowOff>142875</xdr:rowOff>
    </xdr:from>
    <xdr:to>
      <xdr:col>0</xdr:col>
      <xdr:colOff>428625</xdr:colOff>
      <xdr:row>236</xdr:row>
      <xdr:rowOff>28575</xdr:rowOff>
    </xdr:to>
    <xdr:sp macro="" textlink="">
      <xdr:nvSpPr>
        <xdr:cNvPr id="24636" name="Picture 110"/>
        <xdr:cNvSpPr>
          <a:spLocks noChangeAspect="1" noChangeArrowheads="1"/>
        </xdr:cNvSpPr>
      </xdr:nvSpPr>
      <xdr:spPr bwMode="auto">
        <a:xfrm>
          <a:off x="428625" y="44986575"/>
          <a:ext cx="0" cy="76200"/>
        </a:xfrm>
        <a:prstGeom prst="rect">
          <a:avLst/>
        </a:prstGeom>
        <a:noFill/>
        <a:ln w="9525">
          <a:noFill/>
          <a:round/>
          <a:headEnd/>
          <a:tailEnd/>
        </a:ln>
        <a:effectLst/>
      </xdr:spPr>
    </xdr:sp>
    <xdr:clientData/>
  </xdr:twoCellAnchor>
  <xdr:twoCellAnchor>
    <xdr:from>
      <xdr:col>0</xdr:col>
      <xdr:colOff>428625</xdr:colOff>
      <xdr:row>242</xdr:row>
      <xdr:rowOff>152400</xdr:rowOff>
    </xdr:from>
    <xdr:to>
      <xdr:col>0</xdr:col>
      <xdr:colOff>428625</xdr:colOff>
      <xdr:row>243</xdr:row>
      <xdr:rowOff>38100</xdr:rowOff>
    </xdr:to>
    <xdr:sp macro="" textlink="">
      <xdr:nvSpPr>
        <xdr:cNvPr id="24637" name="Picture 111"/>
        <xdr:cNvSpPr>
          <a:spLocks noChangeAspect="1" noChangeArrowheads="1"/>
        </xdr:cNvSpPr>
      </xdr:nvSpPr>
      <xdr:spPr bwMode="auto">
        <a:xfrm>
          <a:off x="428625" y="46329600"/>
          <a:ext cx="0" cy="76200"/>
        </a:xfrm>
        <a:prstGeom prst="rect">
          <a:avLst/>
        </a:prstGeom>
        <a:noFill/>
        <a:ln w="9525">
          <a:noFill/>
          <a:round/>
          <a:headEnd/>
          <a:tailEnd/>
        </a:ln>
        <a:effectLst/>
      </xdr:spPr>
    </xdr:sp>
    <xdr:clientData/>
  </xdr:twoCellAnchor>
  <xdr:twoCellAnchor>
    <xdr:from>
      <xdr:col>0</xdr:col>
      <xdr:colOff>428625</xdr:colOff>
      <xdr:row>264</xdr:row>
      <xdr:rowOff>66675</xdr:rowOff>
    </xdr:from>
    <xdr:to>
      <xdr:col>0</xdr:col>
      <xdr:colOff>438150</xdr:colOff>
      <xdr:row>264</xdr:row>
      <xdr:rowOff>123825</xdr:rowOff>
    </xdr:to>
    <xdr:sp macro="" textlink="">
      <xdr:nvSpPr>
        <xdr:cNvPr id="24638" name="Picture 112"/>
        <xdr:cNvSpPr>
          <a:spLocks noChangeAspect="1" noChangeArrowheads="1"/>
        </xdr:cNvSpPr>
      </xdr:nvSpPr>
      <xdr:spPr bwMode="auto">
        <a:xfrm>
          <a:off x="428625" y="50434875"/>
          <a:ext cx="9525" cy="57150"/>
        </a:xfrm>
        <a:prstGeom prst="rect">
          <a:avLst/>
        </a:prstGeom>
        <a:noFill/>
        <a:ln w="9525">
          <a:noFill/>
          <a:round/>
          <a:headEnd/>
          <a:tailEnd/>
        </a:ln>
        <a:effectLst/>
      </xdr:spPr>
    </xdr:sp>
    <xdr:clientData/>
  </xdr:twoCellAnchor>
  <xdr:twoCellAnchor>
    <xdr:from>
      <xdr:col>0</xdr:col>
      <xdr:colOff>428625</xdr:colOff>
      <xdr:row>271</xdr:row>
      <xdr:rowOff>76200</xdr:rowOff>
    </xdr:from>
    <xdr:to>
      <xdr:col>0</xdr:col>
      <xdr:colOff>438150</xdr:colOff>
      <xdr:row>271</xdr:row>
      <xdr:rowOff>133350</xdr:rowOff>
    </xdr:to>
    <xdr:sp macro="" textlink="">
      <xdr:nvSpPr>
        <xdr:cNvPr id="24639" name="Picture 113"/>
        <xdr:cNvSpPr>
          <a:spLocks noChangeAspect="1" noChangeArrowheads="1"/>
        </xdr:cNvSpPr>
      </xdr:nvSpPr>
      <xdr:spPr bwMode="auto">
        <a:xfrm>
          <a:off x="428625" y="51777900"/>
          <a:ext cx="9525" cy="57150"/>
        </a:xfrm>
        <a:prstGeom prst="rect">
          <a:avLst/>
        </a:prstGeom>
        <a:noFill/>
        <a:ln w="9525">
          <a:noFill/>
          <a:round/>
          <a:headEnd/>
          <a:tailEnd/>
        </a:ln>
        <a:effectLst/>
      </xdr:spPr>
    </xdr:sp>
    <xdr:clientData/>
  </xdr:twoCellAnchor>
  <xdr:twoCellAnchor>
    <xdr:from>
      <xdr:col>0</xdr:col>
      <xdr:colOff>428625</xdr:colOff>
      <xdr:row>289</xdr:row>
      <xdr:rowOff>47625</xdr:rowOff>
    </xdr:from>
    <xdr:to>
      <xdr:col>0</xdr:col>
      <xdr:colOff>438150</xdr:colOff>
      <xdr:row>289</xdr:row>
      <xdr:rowOff>104775</xdr:rowOff>
    </xdr:to>
    <xdr:sp macro="" textlink="">
      <xdr:nvSpPr>
        <xdr:cNvPr id="24640" name="Picture 114"/>
        <xdr:cNvSpPr>
          <a:spLocks noChangeAspect="1" noChangeArrowheads="1"/>
        </xdr:cNvSpPr>
      </xdr:nvSpPr>
      <xdr:spPr bwMode="auto">
        <a:xfrm>
          <a:off x="428625" y="55559325"/>
          <a:ext cx="9525" cy="57150"/>
        </a:xfrm>
        <a:prstGeom prst="rect">
          <a:avLst/>
        </a:prstGeom>
        <a:noFill/>
        <a:ln w="9525">
          <a:noFill/>
          <a:round/>
          <a:headEnd/>
          <a:tailEnd/>
        </a:ln>
        <a:effectLst/>
      </xdr:spPr>
    </xdr:sp>
    <xdr:clientData/>
  </xdr:twoCellAnchor>
  <xdr:twoCellAnchor>
    <xdr:from>
      <xdr:col>0</xdr:col>
      <xdr:colOff>428625</xdr:colOff>
      <xdr:row>296</xdr:row>
      <xdr:rowOff>47625</xdr:rowOff>
    </xdr:from>
    <xdr:to>
      <xdr:col>0</xdr:col>
      <xdr:colOff>438150</xdr:colOff>
      <xdr:row>296</xdr:row>
      <xdr:rowOff>104775</xdr:rowOff>
    </xdr:to>
    <xdr:sp macro="" textlink="">
      <xdr:nvSpPr>
        <xdr:cNvPr id="24641" name="Picture 115"/>
        <xdr:cNvSpPr>
          <a:spLocks noChangeAspect="1" noChangeArrowheads="1"/>
        </xdr:cNvSpPr>
      </xdr:nvSpPr>
      <xdr:spPr bwMode="auto">
        <a:xfrm>
          <a:off x="428625" y="56892825"/>
          <a:ext cx="9525" cy="57150"/>
        </a:xfrm>
        <a:prstGeom prst="rect">
          <a:avLst/>
        </a:prstGeom>
        <a:noFill/>
        <a:ln w="9525">
          <a:noFill/>
          <a:round/>
          <a:headEnd/>
          <a:tailEnd/>
        </a:ln>
        <a:effectLst/>
      </xdr:spPr>
    </xdr:sp>
    <xdr:clientData/>
  </xdr:twoCellAnchor>
  <xdr:twoCellAnchor>
    <xdr:from>
      <xdr:col>0</xdr:col>
      <xdr:colOff>428625</xdr:colOff>
      <xdr:row>324</xdr:row>
      <xdr:rowOff>161925</xdr:rowOff>
    </xdr:from>
    <xdr:to>
      <xdr:col>1</xdr:col>
      <xdr:colOff>85725</xdr:colOff>
      <xdr:row>325</xdr:row>
      <xdr:rowOff>114300</xdr:rowOff>
    </xdr:to>
    <xdr:sp macro="" textlink="">
      <xdr:nvSpPr>
        <xdr:cNvPr id="24642" name="Picture 116"/>
        <xdr:cNvSpPr>
          <a:spLocks noChangeAspect="1" noChangeArrowheads="1"/>
        </xdr:cNvSpPr>
      </xdr:nvSpPr>
      <xdr:spPr bwMode="auto">
        <a:xfrm>
          <a:off x="428625" y="62341125"/>
          <a:ext cx="104775" cy="142875"/>
        </a:xfrm>
        <a:prstGeom prst="rect">
          <a:avLst/>
        </a:prstGeom>
        <a:noFill/>
        <a:ln w="9525">
          <a:noFill/>
          <a:round/>
          <a:headEnd/>
          <a:tailEnd/>
        </a:ln>
        <a:effectLst/>
      </xdr:spPr>
    </xdr:sp>
    <xdr:clientData/>
  </xdr:twoCellAnchor>
  <xdr:twoCellAnchor>
    <xdr:from>
      <xdr:col>0</xdr:col>
      <xdr:colOff>428625</xdr:colOff>
      <xdr:row>328</xdr:row>
      <xdr:rowOff>85725</xdr:rowOff>
    </xdr:from>
    <xdr:to>
      <xdr:col>1</xdr:col>
      <xdr:colOff>85725</xdr:colOff>
      <xdr:row>329</xdr:row>
      <xdr:rowOff>9525</xdr:rowOff>
    </xdr:to>
    <xdr:sp macro="" textlink="">
      <xdr:nvSpPr>
        <xdr:cNvPr id="24643" name="Picture 117"/>
        <xdr:cNvSpPr>
          <a:spLocks noChangeAspect="1" noChangeArrowheads="1"/>
        </xdr:cNvSpPr>
      </xdr:nvSpPr>
      <xdr:spPr bwMode="auto">
        <a:xfrm>
          <a:off x="428625" y="63026925"/>
          <a:ext cx="104775" cy="114300"/>
        </a:xfrm>
        <a:prstGeom prst="rect">
          <a:avLst/>
        </a:prstGeom>
        <a:noFill/>
        <a:ln w="9525">
          <a:noFill/>
          <a:round/>
          <a:headEnd/>
          <a:tailEnd/>
        </a:ln>
        <a:effectLst/>
      </xdr:spPr>
    </xdr:sp>
    <xdr:clientData/>
  </xdr:twoCellAnchor>
  <xdr:twoCellAnchor>
    <xdr:from>
      <xdr:col>0</xdr:col>
      <xdr:colOff>428625</xdr:colOff>
      <xdr:row>329</xdr:row>
      <xdr:rowOff>114300</xdr:rowOff>
    </xdr:from>
    <xdr:to>
      <xdr:col>0</xdr:col>
      <xdr:colOff>438150</xdr:colOff>
      <xdr:row>329</xdr:row>
      <xdr:rowOff>123825</xdr:rowOff>
    </xdr:to>
    <xdr:sp macro="" textlink="">
      <xdr:nvSpPr>
        <xdr:cNvPr id="24644" name="Picture 118"/>
        <xdr:cNvSpPr>
          <a:spLocks noChangeAspect="1" noChangeArrowheads="1"/>
        </xdr:cNvSpPr>
      </xdr:nvSpPr>
      <xdr:spPr bwMode="auto">
        <a:xfrm>
          <a:off x="428625" y="63246000"/>
          <a:ext cx="9525" cy="9525"/>
        </a:xfrm>
        <a:prstGeom prst="rect">
          <a:avLst/>
        </a:prstGeom>
        <a:noFill/>
        <a:ln w="9525">
          <a:noFill/>
          <a:round/>
          <a:headEnd/>
          <a:tailEnd/>
        </a:ln>
        <a:effectLst/>
      </xdr:spPr>
    </xdr:sp>
    <xdr:clientData/>
  </xdr:twoCellAnchor>
  <xdr:twoCellAnchor>
    <xdr:from>
      <xdr:col>1</xdr:col>
      <xdr:colOff>0</xdr:colOff>
      <xdr:row>308</xdr:row>
      <xdr:rowOff>161925</xdr:rowOff>
    </xdr:from>
    <xdr:to>
      <xdr:col>1</xdr:col>
      <xdr:colOff>342900</xdr:colOff>
      <xdr:row>310</xdr:row>
      <xdr:rowOff>133350</xdr:rowOff>
    </xdr:to>
    <xdr:pic>
      <xdr:nvPicPr>
        <xdr:cNvPr id="24646" name="Picture 70"/>
        <xdr:cNvPicPr>
          <a:picLocks noChangeAspect="1" noChangeArrowheads="1"/>
        </xdr:cNvPicPr>
      </xdr:nvPicPr>
      <xdr:blipFill>
        <a:blip xmlns:r="http://schemas.openxmlformats.org/officeDocument/2006/relationships" r:embed="rId1" cstate="print"/>
        <a:srcRect/>
        <a:stretch>
          <a:fillRect/>
        </a:stretch>
      </xdr:blipFill>
      <xdr:spPr bwMode="auto">
        <a:xfrm>
          <a:off x="447675" y="59293125"/>
          <a:ext cx="342900" cy="352425"/>
        </a:xfrm>
        <a:prstGeom prst="rect">
          <a:avLst/>
        </a:prstGeom>
        <a:noFill/>
        <a:ln w="9525">
          <a:noFill/>
          <a:round/>
          <a:headEnd/>
          <a:tailEnd/>
        </a:ln>
        <a:effectLst/>
      </xdr:spPr>
    </xdr:pic>
    <xdr:clientData/>
  </xdr:twoCellAnchor>
  <xdr:twoCellAnchor>
    <xdr:from>
      <xdr:col>1</xdr:col>
      <xdr:colOff>0</xdr:colOff>
      <xdr:row>308</xdr:row>
      <xdr:rowOff>161925</xdr:rowOff>
    </xdr:from>
    <xdr:to>
      <xdr:col>1</xdr:col>
      <xdr:colOff>342900</xdr:colOff>
      <xdr:row>310</xdr:row>
      <xdr:rowOff>133350</xdr:rowOff>
    </xdr:to>
    <xdr:pic>
      <xdr:nvPicPr>
        <xdr:cNvPr id="24647" name="Picture 71"/>
        <xdr:cNvPicPr>
          <a:picLocks noChangeAspect="1" noChangeArrowheads="1"/>
        </xdr:cNvPicPr>
      </xdr:nvPicPr>
      <xdr:blipFill>
        <a:blip xmlns:r="http://schemas.openxmlformats.org/officeDocument/2006/relationships" r:embed="rId1" cstate="print"/>
        <a:srcRect/>
        <a:stretch>
          <a:fillRect/>
        </a:stretch>
      </xdr:blipFill>
      <xdr:spPr bwMode="auto">
        <a:xfrm>
          <a:off x="447675" y="59293125"/>
          <a:ext cx="342900" cy="352425"/>
        </a:xfrm>
        <a:prstGeom prst="rect">
          <a:avLst/>
        </a:prstGeom>
        <a:noFill/>
        <a:ln w="9525">
          <a:noFill/>
          <a:round/>
          <a:headEnd/>
          <a:tailEnd/>
        </a:ln>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2724150</xdr:colOff>
      <xdr:row>7</xdr:row>
      <xdr:rowOff>123825</xdr:rowOff>
    </xdr:to>
    <xdr:pic>
      <xdr:nvPicPr>
        <xdr:cNvPr id="2969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391525" cy="1257300"/>
        </a:xfrm>
        <a:prstGeom prst="rect">
          <a:avLst/>
        </a:prstGeom>
        <a:solidFill>
          <a:srgbClr val="FFFFFF"/>
        </a:solidFill>
        <a:ln w="9360">
          <a:noFill/>
          <a:miter lim="800000"/>
          <a:headEnd/>
          <a:tailEnd/>
        </a:ln>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22</xdr:col>
      <xdr:colOff>447675</xdr:colOff>
      <xdr:row>10</xdr:row>
      <xdr:rowOff>57150</xdr:rowOff>
    </xdr:to>
    <xdr:sp macro="" textlink="" fLocksText="0">
      <xdr:nvSpPr>
        <xdr:cNvPr id="30726" name="Text Box 60"/>
        <xdr:cNvSpPr>
          <a:spLocks noChangeArrowheads="1"/>
        </xdr:cNvSpPr>
      </xdr:nvSpPr>
      <xdr:spPr bwMode="auto">
        <a:xfrm>
          <a:off x="142875" y="28575"/>
          <a:ext cx="6591300" cy="1457325"/>
        </a:xfrm>
        <a:prstGeom prst="rect">
          <a:avLst/>
        </a:prstGeom>
        <a:solidFill>
          <a:srgbClr val="FFFFFF"/>
        </a:solidFill>
        <a:ln w="9360">
          <a:solidFill>
            <a:srgbClr val="000000"/>
          </a:solidFill>
          <a:miter lim="800000"/>
          <a:headEnd/>
          <a:tailEnd/>
        </a:ln>
        <a:effectLst/>
      </xdr:spPr>
      <xdr:txBody>
        <a:bodyPr vertOverflow="clip" wrap="square" lIns="0" tIns="0" rIns="0" bIns="0" anchor="t" upright="1"/>
        <a:lstStyle/>
        <a:p>
          <a:pPr algn="l" rtl="0">
            <a:defRPr sz="1000"/>
          </a:pPr>
          <a:r>
            <a:rPr lang="nl-NL" sz="1000" b="0" i="0" u="none" strike="noStrike" baseline="0">
              <a:solidFill>
                <a:srgbClr val="000000"/>
              </a:solidFill>
              <a:latin typeface="Arial"/>
              <a:cs typeface="Arial"/>
            </a:rPr>
            <a:t>De rangschikking van elk team in elke groep wordt als volgt bepaald:</a:t>
          </a:r>
        </a:p>
        <a:p>
          <a:pPr algn="l" rtl="0">
            <a:defRPr sz="1000"/>
          </a:pPr>
          <a:r>
            <a:rPr lang="nl-NL" sz="1000" b="0" i="0" u="none" strike="noStrike" baseline="0">
              <a:solidFill>
                <a:srgbClr val="000000"/>
              </a:solidFill>
              <a:latin typeface="Arial"/>
              <a:cs typeface="Arial"/>
            </a:rPr>
            <a:t>a) hoogste aantal behaalde punten in alle groepswedstrijden;</a:t>
          </a:r>
        </a:p>
        <a:p>
          <a:pPr algn="l" rtl="0">
            <a:defRPr sz="1000"/>
          </a:pPr>
          <a:r>
            <a:rPr lang="nl-NL" sz="1000" b="0" i="0" u="none" strike="noStrike" baseline="0">
              <a:solidFill>
                <a:srgbClr val="000000"/>
              </a:solidFill>
              <a:latin typeface="Arial"/>
              <a:cs typeface="Arial"/>
            </a:rPr>
            <a:t>b) doelpuntenverschil in alle groepswedstrijden;</a:t>
          </a:r>
        </a:p>
        <a:p>
          <a:pPr algn="l" rtl="0">
            <a:defRPr sz="1000"/>
          </a:pPr>
          <a:r>
            <a:rPr lang="nl-NL" sz="1000" b="0" i="0" u="none" strike="noStrike" baseline="0">
              <a:solidFill>
                <a:srgbClr val="000000"/>
              </a:solidFill>
              <a:latin typeface="Arial"/>
              <a:cs typeface="Arial"/>
            </a:rPr>
            <a:t>c) hoogste aantal gescoorde doelpunten in alle groepswedstrijden.</a:t>
          </a:r>
        </a:p>
        <a:p>
          <a:pPr algn="l" rtl="0">
            <a:defRPr sz="1000"/>
          </a:pPr>
          <a:r>
            <a:rPr lang="nl-NL" sz="1000" b="0" i="0" u="none" strike="noStrike" baseline="0">
              <a:solidFill>
                <a:srgbClr val="000000"/>
              </a:solidFill>
              <a:latin typeface="Arial"/>
              <a:cs typeface="Arial"/>
            </a:rPr>
            <a:t>Als twee of meer teams gelijk eindigen op basis van de drie bovenstaande criteria, wordt hun rangschikking als volgt bepaald:</a:t>
          </a:r>
        </a:p>
        <a:p>
          <a:pPr algn="l" rtl="0">
            <a:defRPr sz="1000"/>
          </a:pPr>
          <a:r>
            <a:rPr lang="nl-NL" sz="1000" b="0" i="0" u="none" strike="noStrike" baseline="0">
              <a:solidFill>
                <a:srgbClr val="000000"/>
              </a:solidFill>
              <a:latin typeface="Arial"/>
              <a:cs typeface="Arial"/>
            </a:rPr>
            <a:t>d) Hoogste aantal behaalde punten in de groepswedstrijden tussen de betrokken teams;</a:t>
          </a:r>
        </a:p>
        <a:p>
          <a:pPr algn="l" rtl="0">
            <a:defRPr sz="1000"/>
          </a:pPr>
          <a:r>
            <a:rPr lang="nl-NL" sz="1000" b="0" i="0" u="none" strike="noStrike" baseline="0">
              <a:solidFill>
                <a:srgbClr val="000000"/>
              </a:solidFill>
              <a:latin typeface="Arial"/>
              <a:cs typeface="Arial"/>
            </a:rPr>
            <a:t>e) doelpuntenverschil van de groepswedstrijden tussen de betrokken teams;</a:t>
          </a:r>
        </a:p>
        <a:p>
          <a:pPr algn="l" rtl="0">
            <a:defRPr sz="1000"/>
          </a:pPr>
          <a:r>
            <a:rPr lang="nl-NL" sz="1000" b="0" i="0" u="none" strike="noStrike" baseline="0">
              <a:solidFill>
                <a:srgbClr val="000000"/>
              </a:solidFill>
              <a:latin typeface="Arial"/>
              <a:cs typeface="Arial"/>
            </a:rPr>
            <a:t>f) het hoogste aantal gescoorde doelpunten in alle groepswedstrijden tussen de betrokken teams;</a:t>
          </a:r>
        </a:p>
        <a:p>
          <a:pPr algn="l" rtl="0">
            <a:defRPr sz="1000"/>
          </a:pPr>
          <a:r>
            <a:rPr lang="nl-NL" sz="1000" b="0" i="0" u="none" strike="noStrike" baseline="0">
              <a:solidFill>
                <a:srgbClr val="000000"/>
              </a:solidFill>
              <a:latin typeface="Arial"/>
              <a:cs typeface="Arial"/>
            </a:rPr>
            <a:t>g) loting door het organisatiecomité van WK 2010™.</a:t>
          </a:r>
        </a:p>
        <a:p>
          <a:pPr algn="l" rtl="0">
            <a:defRPr sz="1000"/>
          </a:pPr>
          <a:r>
            <a:rPr lang="nl-NL" sz="1000" b="0" i="0" u="none" strike="noStrike" baseline="0">
              <a:solidFill>
                <a:srgbClr val="000000"/>
              </a:solidFill>
              <a:latin typeface="Arial"/>
              <a:cs typeface="Arial"/>
            </a:rPr>
            <a:t>-------------</a:t>
          </a:r>
          <a:r>
            <a:rPr lang="nl-NL" sz="1000" b="1" i="0" u="none" strike="noStrike" baseline="0">
              <a:solidFill>
                <a:srgbClr val="000000"/>
              </a:solidFill>
              <a:latin typeface="Arial"/>
              <a:cs typeface="Arial"/>
            </a:rPr>
            <a:t>Indien er loting plaats zal vinden, dient de final rank handmatig ingevuld te worden (kolom "N")</a:t>
          </a:r>
          <a:r>
            <a:rPr lang="nl-NL" sz="1000" b="0" i="0" u="none" strike="noStrike" baseline="0">
              <a:solidFill>
                <a:srgbClr val="000000"/>
              </a:solidFill>
              <a:latin typeface="Arial"/>
              <a:cs typeface="Arial"/>
            </a:rPr>
            <a:t>---------------</a:t>
          </a:r>
        </a:p>
      </xdr:txBody>
    </xdr:sp>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EAEAEA"/>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8" Type="http://schemas.openxmlformats.org/officeDocument/2006/relationships/hyperlink" Target="file:///C:\Documents%20and%20Settings\ovu00029\Local%20Settings\Backup\home\eric\disclaimer" TargetMode="External"/><Relationship Id="rId3" Type="http://schemas.openxmlformats.org/officeDocument/2006/relationships/hyperlink" Target="file:///C:\Documents%20and%20Settings\ovu00029\Local%20Settings\Backup\home\eric\colofon" TargetMode="External"/><Relationship Id="rId7" Type="http://schemas.openxmlformats.org/officeDocument/2006/relationships/hyperlink" Target="http://www.ek.nl/" TargetMode="External"/><Relationship Id="rId12" Type="http://schemas.openxmlformats.org/officeDocument/2006/relationships/drawing" Target="../drawings/drawing4.xml"/><Relationship Id="rId2" Type="http://schemas.openxmlformats.org/officeDocument/2006/relationships/hyperlink" Target="file:///C:\Documents%20and%20Settings\ovu00029\Local%20Settings\Backup\home\eric\contact_met_wk_nl" TargetMode="External"/><Relationship Id="rId1" Type="http://schemas.openxmlformats.org/officeDocument/2006/relationships/hyperlink" Target="file:///C:\Documents%20and%20Settings\ovu00029\Local%20Settings\Backup\home\eric\over_wk_nl" TargetMode="External"/><Relationship Id="rId6" Type="http://schemas.openxmlformats.org/officeDocument/2006/relationships/hyperlink" Target="http://www.oranjefestival.nl/" TargetMode="External"/><Relationship Id="rId11" Type="http://schemas.openxmlformats.org/officeDocument/2006/relationships/hyperlink" Target="file:///C:\Documents%20and%20Settings\ovu00029\Local%20Settings\Backup\home\eric\vertel_het_door" TargetMode="External"/><Relationship Id="rId5" Type="http://schemas.openxmlformats.org/officeDocument/2006/relationships/hyperlink" Target="http://www.voetbalonline.nl/" TargetMode="External"/><Relationship Id="rId10" Type="http://schemas.openxmlformats.org/officeDocument/2006/relationships/hyperlink" Target="file:///C:\Documents%20and%20Settings\ovu00029\Local%20Settings\Backup\home\eric\algemene_voorwaarden" TargetMode="External"/><Relationship Id="rId4" Type="http://schemas.openxmlformats.org/officeDocument/2006/relationships/hyperlink" Target="file:///C:\Documents%20and%20Settings\ovu00029\Local%20Settings\Backup\home\eric\contact_met_wk_nl" TargetMode="External"/><Relationship Id="rId9" Type="http://schemas.openxmlformats.org/officeDocument/2006/relationships/hyperlink" Target="file:///C:\Documents%20and%20Settings\ovu00029\Local%20Settings\Backup\home\eric\privacy_statemen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dimension ref="A1:IV78"/>
  <sheetViews>
    <sheetView workbookViewId="0">
      <selection activeCell="F35" sqref="F35"/>
    </sheetView>
  </sheetViews>
  <sheetFormatPr defaultColWidth="0" defaultRowHeight="12.75" customHeight="1" zeroHeight="1"/>
  <cols>
    <col min="1" max="1" width="2.42578125" style="1" customWidth="1"/>
    <col min="2" max="2" width="3.28515625" style="1" customWidth="1"/>
    <col min="3" max="3" width="32.5703125" style="1" customWidth="1"/>
    <col min="4" max="4" width="2" style="1" customWidth="1"/>
    <col min="5" max="5" width="0.5703125" style="1" customWidth="1"/>
    <col min="6" max="6" width="15.7109375" style="1" customWidth="1"/>
    <col min="7" max="8" width="20.7109375" style="1" customWidth="1"/>
    <col min="9" max="9" width="5.85546875" style="1" customWidth="1"/>
    <col min="10" max="16" width="0" style="1" hidden="1" customWidth="1"/>
    <col min="17" max="16384" width="0" style="2" hidden="1"/>
  </cols>
  <sheetData>
    <row r="1" spans="1:24" s="5" customFormat="1">
      <c r="A1" s="3"/>
      <c r="B1" s="3"/>
      <c r="C1" s="3"/>
      <c r="D1" s="3"/>
      <c r="E1" s="3"/>
      <c r="F1" s="3"/>
      <c r="G1" s="3"/>
      <c r="H1" s="3"/>
      <c r="I1" s="3"/>
      <c r="J1" s="3"/>
      <c r="K1" s="3"/>
      <c r="L1" s="3"/>
      <c r="M1" s="3"/>
      <c r="N1" s="3"/>
      <c r="O1" s="3"/>
      <c r="P1" s="3"/>
      <c r="Q1" s="3"/>
      <c r="R1" s="4"/>
      <c r="S1" s="4"/>
      <c r="T1" s="4"/>
      <c r="U1" s="4"/>
      <c r="V1" s="4"/>
      <c r="W1" s="4"/>
      <c r="X1" s="4"/>
    </row>
    <row r="2" spans="1:24" s="5" customFormat="1" ht="18">
      <c r="A2" s="355"/>
      <c r="B2" s="355"/>
      <c r="C2" s="355"/>
      <c r="D2" s="355"/>
      <c r="E2" s="355"/>
      <c r="F2" s="355"/>
      <c r="G2" s="355"/>
      <c r="H2" s="355"/>
      <c r="I2" s="6"/>
      <c r="J2" s="6"/>
      <c r="K2" s="6"/>
      <c r="L2" s="6"/>
      <c r="M2" s="6"/>
      <c r="N2" s="6"/>
      <c r="O2" s="6"/>
      <c r="P2" s="6"/>
      <c r="Q2" s="7"/>
      <c r="R2" s="8"/>
      <c r="S2" s="8"/>
      <c r="T2" s="8"/>
      <c r="U2" s="8"/>
      <c r="V2" s="8"/>
      <c r="W2" s="8"/>
      <c r="X2" s="8"/>
    </row>
    <row r="3" spans="1:24" s="5" customFormat="1" ht="18">
      <c r="A3" s="355"/>
      <c r="B3" s="355"/>
      <c r="C3" s="355"/>
      <c r="D3" s="355"/>
      <c r="E3" s="355"/>
      <c r="F3" s="355"/>
      <c r="G3" s="355"/>
      <c r="H3" s="355"/>
      <c r="I3" s="6"/>
      <c r="J3" s="6"/>
      <c r="K3" s="6"/>
      <c r="L3" s="6"/>
      <c r="M3" s="6"/>
      <c r="N3" s="6"/>
      <c r="O3" s="6"/>
      <c r="P3" s="6"/>
      <c r="Q3" s="7"/>
      <c r="R3" s="8"/>
      <c r="S3" s="8"/>
      <c r="T3" s="8"/>
      <c r="U3" s="8"/>
      <c r="V3" s="8"/>
      <c r="W3" s="8"/>
      <c r="X3" s="8"/>
    </row>
    <row r="4" spans="1:24" s="5" customFormat="1" ht="18">
      <c r="A4" s="355"/>
      <c r="B4" s="355"/>
      <c r="C4" s="355"/>
      <c r="D4" s="355"/>
      <c r="E4" s="355"/>
      <c r="F4" s="355"/>
      <c r="G4" s="355"/>
      <c r="H4" s="355"/>
      <c r="I4" s="6"/>
      <c r="J4" s="6"/>
      <c r="K4" s="6"/>
      <c r="L4" s="6"/>
      <c r="M4" s="6"/>
      <c r="N4" s="6"/>
      <c r="O4" s="6"/>
      <c r="P4" s="6"/>
      <c r="Q4" s="7"/>
      <c r="R4" s="8"/>
      <c r="S4" s="8"/>
      <c r="T4" s="8"/>
      <c r="U4" s="8"/>
      <c r="V4" s="8"/>
      <c r="W4" s="8"/>
      <c r="X4" s="8"/>
    </row>
    <row r="5" spans="1:24" s="5" customFormat="1">
      <c r="A5" s="9"/>
      <c r="B5" s="9"/>
      <c r="C5" s="9"/>
      <c r="D5" s="9"/>
      <c r="E5" s="9"/>
      <c r="F5" s="9"/>
      <c r="G5" s="9"/>
      <c r="H5" s="9"/>
      <c r="I5" s="9"/>
      <c r="J5" s="9"/>
      <c r="K5" s="9"/>
      <c r="L5" s="9"/>
      <c r="M5" s="9"/>
      <c r="N5" s="9"/>
      <c r="O5" s="9"/>
      <c r="P5" s="9"/>
      <c r="Q5" s="9"/>
      <c r="R5" s="4"/>
      <c r="S5" s="4"/>
      <c r="T5" s="4"/>
      <c r="U5" s="4"/>
      <c r="V5" s="4"/>
      <c r="W5" s="4"/>
      <c r="X5" s="4"/>
    </row>
    <row r="6" spans="1:24" s="5" customFormat="1">
      <c r="A6" s="9"/>
      <c r="B6" s="9"/>
      <c r="C6" s="9"/>
      <c r="D6" s="9"/>
      <c r="E6" s="9"/>
      <c r="F6" s="9"/>
      <c r="G6" s="9"/>
      <c r="H6" s="9"/>
      <c r="I6" s="9"/>
      <c r="J6" s="9"/>
      <c r="K6" s="9"/>
      <c r="L6" s="9"/>
      <c r="M6" s="9"/>
      <c r="N6" s="9"/>
      <c r="O6" s="9"/>
      <c r="P6" s="9"/>
      <c r="Q6" s="9"/>
      <c r="R6" s="4"/>
      <c r="S6" s="4"/>
      <c r="T6" s="4"/>
      <c r="U6" s="4"/>
      <c r="V6" s="4"/>
      <c r="W6" s="4"/>
      <c r="X6" s="4"/>
    </row>
    <row r="7" spans="1:24" s="5" customFormat="1">
      <c r="A7" s="10"/>
      <c r="B7" s="10"/>
      <c r="C7" s="11"/>
      <c r="D7" s="12"/>
      <c r="E7" s="10"/>
      <c r="F7" s="10"/>
      <c r="G7" s="10"/>
      <c r="H7" s="10"/>
      <c r="I7" s="10"/>
      <c r="J7" s="10"/>
      <c r="K7" s="10"/>
      <c r="L7" s="10"/>
      <c r="M7" s="10"/>
      <c r="N7" s="10"/>
      <c r="O7" s="10"/>
      <c r="P7" s="10"/>
      <c r="R7" s="2"/>
      <c r="S7" s="2"/>
      <c r="T7" s="2"/>
      <c r="U7" s="2"/>
      <c r="V7" s="2"/>
      <c r="W7" s="2"/>
      <c r="X7" s="2"/>
    </row>
    <row r="8" spans="1:24" s="5" customFormat="1" hidden="1">
      <c r="A8" s="10"/>
      <c r="B8" s="10"/>
      <c r="C8" s="11"/>
      <c r="D8" s="12"/>
      <c r="E8" s="10"/>
      <c r="F8" s="10"/>
      <c r="G8" s="10"/>
      <c r="H8" s="10"/>
      <c r="I8" s="10"/>
      <c r="J8" s="10"/>
      <c r="K8" s="10"/>
      <c r="L8" s="10"/>
      <c r="M8" s="10"/>
      <c r="N8" s="10"/>
      <c r="O8" s="10"/>
      <c r="P8" s="10"/>
      <c r="R8" s="2"/>
      <c r="S8" s="2"/>
      <c r="T8" s="2"/>
      <c r="U8" s="2"/>
      <c r="V8" s="2"/>
      <c r="W8" s="2"/>
      <c r="X8" s="2"/>
    </row>
    <row r="9" spans="1:24" s="19" customFormat="1">
      <c r="A9" s="13" t="s">
        <v>0</v>
      </c>
      <c r="B9" s="14"/>
      <c r="C9" s="15"/>
      <c r="D9" s="16"/>
      <c r="E9" s="14"/>
      <c r="F9" s="17"/>
      <c r="G9" s="18"/>
      <c r="H9" s="18"/>
      <c r="I9" s="14"/>
      <c r="J9" s="14"/>
      <c r="K9" s="14"/>
      <c r="L9" s="14"/>
      <c r="M9" s="14"/>
      <c r="N9" s="14"/>
      <c r="O9" s="14"/>
      <c r="P9" s="14"/>
      <c r="R9" s="2"/>
      <c r="S9" s="2"/>
      <c r="T9" s="2"/>
      <c r="U9" s="2"/>
      <c r="V9" s="2"/>
      <c r="W9" s="2"/>
      <c r="X9" s="2"/>
    </row>
    <row r="10" spans="1:24" s="5" customFormat="1" ht="51">
      <c r="A10" s="20"/>
      <c r="B10" s="21"/>
      <c r="C10" s="11"/>
      <c r="D10" s="12"/>
      <c r="E10" s="10"/>
      <c r="F10" s="22" t="s">
        <v>1</v>
      </c>
      <c r="G10" s="22" t="s">
        <v>2</v>
      </c>
      <c r="H10" s="22" t="s">
        <v>3</v>
      </c>
      <c r="I10" s="23"/>
      <c r="J10" s="23"/>
      <c r="K10" s="23"/>
      <c r="L10" s="10"/>
      <c r="M10" s="10"/>
      <c r="N10" s="10"/>
      <c r="O10" s="10"/>
      <c r="P10" s="10"/>
      <c r="R10" s="2"/>
      <c r="S10" s="2"/>
      <c r="T10" s="2"/>
      <c r="U10" s="2"/>
      <c r="V10" s="2"/>
      <c r="W10" s="2"/>
      <c r="X10" s="2"/>
    </row>
    <row r="11" spans="1:24" s="29" customFormat="1">
      <c r="A11" s="24"/>
      <c r="B11" s="24"/>
      <c r="C11" s="25" t="s">
        <v>4</v>
      </c>
      <c r="D11" s="26"/>
      <c r="E11" s="24"/>
      <c r="F11" s="27">
        <v>0</v>
      </c>
      <c r="G11" s="27">
        <v>0</v>
      </c>
      <c r="H11" s="27">
        <v>0</v>
      </c>
      <c r="I11" s="24"/>
      <c r="J11" s="24"/>
      <c r="K11" s="24"/>
      <c r="L11" s="24"/>
      <c r="M11" s="24"/>
      <c r="N11" s="24"/>
      <c r="O11" s="24"/>
      <c r="P11" s="24"/>
      <c r="Q11" s="28"/>
      <c r="R11" s="2"/>
      <c r="S11" s="2"/>
      <c r="T11" s="2"/>
      <c r="U11" s="2"/>
      <c r="V11" s="2"/>
      <c r="W11" s="2"/>
      <c r="X11" s="2"/>
    </row>
    <row r="12" spans="1:24" s="5" customFormat="1">
      <c r="A12" s="10"/>
      <c r="B12" s="10"/>
      <c r="C12" s="11"/>
      <c r="D12" s="12"/>
      <c r="E12" s="10"/>
      <c r="F12" s="30"/>
      <c r="G12" s="30"/>
      <c r="H12" s="30"/>
      <c r="I12" s="10"/>
      <c r="J12" s="10"/>
      <c r="K12" s="10"/>
      <c r="L12" s="10"/>
      <c r="M12" s="10"/>
      <c r="N12" s="10"/>
      <c r="O12" s="10"/>
      <c r="P12" s="10"/>
      <c r="R12" s="2"/>
      <c r="S12" s="2"/>
      <c r="T12" s="2"/>
      <c r="U12" s="2"/>
      <c r="V12" s="2"/>
      <c r="W12" s="2"/>
      <c r="X12" s="2"/>
    </row>
    <row r="13" spans="1:24" s="29" customFormat="1">
      <c r="A13" s="24"/>
      <c r="B13" s="24"/>
      <c r="C13" s="25" t="s">
        <v>5</v>
      </c>
      <c r="D13" s="26"/>
      <c r="E13" s="24"/>
      <c r="F13" s="27">
        <v>0</v>
      </c>
      <c r="G13" s="27">
        <v>0</v>
      </c>
      <c r="H13" s="27">
        <v>0</v>
      </c>
      <c r="I13" s="24"/>
      <c r="J13" s="24"/>
      <c r="K13" s="24"/>
      <c r="L13" s="24"/>
      <c r="M13" s="24"/>
      <c r="N13" s="24"/>
      <c r="O13" s="24"/>
      <c r="P13" s="24"/>
      <c r="Q13" s="28"/>
      <c r="R13" s="2"/>
      <c r="S13" s="2"/>
      <c r="T13" s="2"/>
      <c r="U13" s="2"/>
      <c r="V13" s="2"/>
      <c r="W13" s="2"/>
      <c r="X13" s="2"/>
    </row>
    <row r="14" spans="1:24" s="5" customFormat="1">
      <c r="A14" s="10"/>
      <c r="B14" s="10"/>
      <c r="C14" s="11"/>
      <c r="D14" s="12"/>
      <c r="E14" s="10"/>
      <c r="F14" s="30"/>
      <c r="G14" s="30"/>
      <c r="H14" s="30"/>
      <c r="I14" s="10"/>
      <c r="J14" s="10"/>
      <c r="K14" s="10"/>
      <c r="L14" s="10"/>
      <c r="M14" s="10"/>
      <c r="N14" s="10"/>
      <c r="O14" s="10"/>
      <c r="P14" s="10"/>
      <c r="R14" s="2"/>
      <c r="S14" s="2"/>
      <c r="T14" s="2"/>
      <c r="U14" s="2"/>
      <c r="V14" s="2"/>
      <c r="W14" s="2"/>
      <c r="X14" s="2"/>
    </row>
    <row r="15" spans="1:24" s="29" customFormat="1">
      <c r="A15" s="24"/>
      <c r="B15" s="24"/>
      <c r="C15" s="25" t="s">
        <v>6</v>
      </c>
      <c r="D15" s="26"/>
      <c r="E15" s="24"/>
      <c r="F15" s="27">
        <v>0</v>
      </c>
      <c r="G15" s="27">
        <v>0</v>
      </c>
      <c r="H15" s="27">
        <v>0</v>
      </c>
      <c r="I15" s="24"/>
      <c r="J15" s="24"/>
      <c r="K15" s="24"/>
      <c r="L15" s="24"/>
      <c r="M15" s="24"/>
      <c r="N15" s="24"/>
      <c r="O15" s="24"/>
      <c r="P15" s="24"/>
      <c r="Q15" s="28"/>
      <c r="R15" s="2"/>
      <c r="S15" s="2"/>
      <c r="T15" s="2"/>
      <c r="U15" s="2"/>
      <c r="V15" s="2"/>
      <c r="W15" s="2"/>
      <c r="X15" s="2"/>
    </row>
    <row r="16" spans="1:24" s="5" customFormat="1">
      <c r="A16" s="10"/>
      <c r="B16" s="10"/>
      <c r="C16" s="11"/>
      <c r="D16" s="12"/>
      <c r="E16" s="10"/>
      <c r="F16" s="30"/>
      <c r="G16" s="30"/>
      <c r="H16" s="30"/>
      <c r="I16" s="10"/>
      <c r="J16" s="10"/>
      <c r="K16" s="10"/>
      <c r="L16" s="10"/>
      <c r="M16" s="10"/>
      <c r="N16" s="10"/>
      <c r="O16" s="10"/>
      <c r="P16" s="10"/>
      <c r="R16" s="2"/>
      <c r="S16" s="2"/>
      <c r="T16" s="2"/>
      <c r="U16" s="2"/>
      <c r="V16" s="2"/>
      <c r="W16" s="2"/>
      <c r="X16" s="2"/>
    </row>
    <row r="17" spans="1:256" s="29" customFormat="1">
      <c r="A17" s="24"/>
      <c r="B17" s="24"/>
      <c r="C17" s="25" t="s">
        <v>7</v>
      </c>
      <c r="D17" s="26"/>
      <c r="E17" s="24"/>
      <c r="F17" s="27">
        <v>10</v>
      </c>
      <c r="G17" s="27">
        <v>10</v>
      </c>
      <c r="H17" s="27">
        <v>10</v>
      </c>
      <c r="I17" s="24"/>
      <c r="J17" s="24"/>
      <c r="K17" s="24"/>
      <c r="L17" s="24"/>
      <c r="M17" s="24"/>
      <c r="N17" s="24"/>
      <c r="O17" s="24"/>
      <c r="P17" s="24"/>
      <c r="Q17" s="28"/>
      <c r="R17" s="2"/>
      <c r="S17" s="2"/>
      <c r="T17" s="2"/>
      <c r="U17" s="2"/>
      <c r="V17" s="2"/>
      <c r="W17" s="2"/>
      <c r="X17" s="2"/>
    </row>
    <row r="18" spans="1:256" s="5" customFormat="1">
      <c r="A18" s="10"/>
      <c r="B18" s="10"/>
      <c r="C18" s="11"/>
      <c r="D18" s="12"/>
      <c r="E18" s="10"/>
      <c r="F18" s="30"/>
      <c r="G18" s="30"/>
      <c r="H18" s="30"/>
      <c r="I18" s="10"/>
      <c r="J18" s="10"/>
      <c r="K18" s="10"/>
      <c r="L18" s="10"/>
      <c r="M18" s="10"/>
      <c r="N18" s="10"/>
      <c r="O18" s="10"/>
      <c r="P18" s="10"/>
      <c r="R18" s="2"/>
      <c r="S18" s="2"/>
      <c r="T18" s="2"/>
      <c r="U18" s="2"/>
      <c r="V18" s="2"/>
      <c r="W18" s="2"/>
      <c r="X18" s="2"/>
    </row>
    <row r="19" spans="1:256" s="29" customFormat="1">
      <c r="A19" s="24"/>
      <c r="B19" s="24"/>
      <c r="C19" s="25" t="s">
        <v>8</v>
      </c>
      <c r="D19" s="26"/>
      <c r="E19" s="24"/>
      <c r="F19" s="27">
        <v>5</v>
      </c>
      <c r="G19" s="27">
        <v>5</v>
      </c>
      <c r="H19" s="27">
        <v>5</v>
      </c>
      <c r="I19" s="24"/>
      <c r="J19" s="24"/>
      <c r="K19" s="24"/>
      <c r="L19" s="24"/>
      <c r="M19" s="24"/>
      <c r="N19" s="24"/>
      <c r="O19" s="24"/>
      <c r="P19" s="24"/>
      <c r="Q19" s="28"/>
      <c r="R19" s="2"/>
      <c r="S19" s="2"/>
      <c r="T19" s="2"/>
      <c r="U19" s="2"/>
      <c r="V19" s="2"/>
      <c r="W19" s="2"/>
      <c r="X19" s="2"/>
    </row>
    <row r="20" spans="1:256" s="5" customFormat="1">
      <c r="A20" s="10"/>
      <c r="B20" s="10"/>
      <c r="C20" s="11"/>
      <c r="D20" s="12"/>
      <c r="E20" s="10"/>
      <c r="F20" s="30"/>
      <c r="G20" s="30"/>
      <c r="H20" s="30"/>
      <c r="I20" s="10"/>
      <c r="J20" s="10"/>
      <c r="K20" s="10"/>
      <c r="L20" s="10"/>
      <c r="M20" s="10"/>
      <c r="N20" s="10"/>
      <c r="O20" s="10"/>
      <c r="P20" s="10"/>
      <c r="R20" s="2"/>
      <c r="S20" s="2"/>
      <c r="T20" s="2"/>
      <c r="U20" s="2"/>
      <c r="V20" s="2"/>
      <c r="W20" s="2"/>
      <c r="X20" s="2"/>
    </row>
    <row r="21" spans="1:256" s="29" customFormat="1">
      <c r="A21" s="24"/>
      <c r="B21" s="24"/>
      <c r="C21" s="25" t="s">
        <v>9</v>
      </c>
      <c r="D21" s="26"/>
      <c r="E21" s="24"/>
      <c r="F21" s="27" t="s">
        <v>10</v>
      </c>
      <c r="G21" s="27">
        <v>0</v>
      </c>
      <c r="H21" s="27">
        <v>0</v>
      </c>
      <c r="I21" s="24"/>
      <c r="J21" s="24"/>
      <c r="K21" s="24"/>
      <c r="L21" s="24"/>
      <c r="M21" s="24"/>
      <c r="N21" s="24"/>
      <c r="O21" s="24"/>
      <c r="P21" s="24"/>
      <c r="Q21" s="28"/>
      <c r="R21" s="2"/>
      <c r="S21" s="2"/>
      <c r="T21" s="2"/>
      <c r="U21" s="2"/>
      <c r="V21" s="2"/>
      <c r="W21" s="2"/>
      <c r="X21" s="2"/>
    </row>
    <row r="22" spans="1:256" s="5" customFormat="1">
      <c r="A22" s="10"/>
      <c r="B22" s="10"/>
      <c r="C22" s="11"/>
      <c r="D22" s="12"/>
      <c r="E22" s="10"/>
      <c r="F22" s="10"/>
      <c r="G22" s="10"/>
      <c r="H22" s="10"/>
      <c r="I22" s="10"/>
      <c r="J22" s="10"/>
      <c r="K22" s="10"/>
      <c r="L22" s="10"/>
      <c r="M22" s="10"/>
      <c r="N22" s="10"/>
      <c r="O22" s="10"/>
      <c r="P22" s="10"/>
      <c r="R22" s="2"/>
      <c r="S22" s="2"/>
      <c r="T22" s="2"/>
      <c r="U22" s="2"/>
      <c r="V22" s="2"/>
      <c r="W22" s="2"/>
      <c r="X22" s="2"/>
    </row>
    <row r="23" spans="1:256" s="19" customFormat="1">
      <c r="A23" s="13" t="s">
        <v>11</v>
      </c>
      <c r="B23" s="14"/>
      <c r="C23" s="15"/>
      <c r="D23" s="16"/>
      <c r="E23" s="14"/>
      <c r="F23" s="14"/>
      <c r="G23" s="14"/>
      <c r="H23" s="14"/>
      <c r="I23" s="14"/>
      <c r="J23" s="14"/>
      <c r="K23" s="14"/>
      <c r="L23" s="14"/>
      <c r="M23" s="14"/>
      <c r="N23" s="14"/>
      <c r="O23" s="14"/>
      <c r="P23" s="14"/>
      <c r="R23" s="2"/>
      <c r="S23" s="2"/>
      <c r="T23" s="2"/>
      <c r="U23" s="2"/>
      <c r="V23" s="2"/>
      <c r="W23" s="2"/>
      <c r="X23" s="2"/>
    </row>
    <row r="24" spans="1:256" s="5" customFormat="1">
      <c r="A24" s="10"/>
      <c r="B24" s="10"/>
      <c r="C24" s="11"/>
      <c r="D24" s="12"/>
      <c r="E24" s="10"/>
      <c r="F24" s="10"/>
      <c r="G24" s="10"/>
      <c r="H24" s="10"/>
      <c r="I24" s="10"/>
      <c r="J24" s="10"/>
      <c r="K24" s="10"/>
      <c r="L24" s="10"/>
      <c r="M24" s="10"/>
      <c r="N24" s="10"/>
      <c r="O24" s="10"/>
      <c r="P24" s="10"/>
      <c r="R24" s="2"/>
      <c r="S24" s="2"/>
      <c r="T24" s="2"/>
      <c r="U24" s="2"/>
      <c r="V24" s="2"/>
      <c r="W24" s="2"/>
      <c r="X24" s="2"/>
    </row>
    <row r="25" spans="1:256" s="29" customFormat="1">
      <c r="A25" s="24"/>
      <c r="B25" s="24"/>
      <c r="C25" s="25" t="s">
        <v>12</v>
      </c>
      <c r="D25" s="26"/>
      <c r="E25" s="24"/>
      <c r="F25" s="31">
        <v>10</v>
      </c>
      <c r="G25" s="24"/>
      <c r="H25" s="24"/>
      <c r="I25" s="24"/>
      <c r="J25" s="24"/>
      <c r="K25" s="24"/>
      <c r="L25" s="24"/>
      <c r="M25" s="24"/>
      <c r="N25" s="24"/>
      <c r="O25" s="24"/>
      <c r="P25" s="24"/>
      <c r="Q25" s="28"/>
      <c r="R25" s="2"/>
      <c r="S25" s="2"/>
      <c r="T25" s="2"/>
      <c r="U25" s="2"/>
      <c r="V25" s="2"/>
      <c r="W25" s="2"/>
      <c r="X25" s="2"/>
    </row>
    <row r="26" spans="1:256" s="5" customFormat="1">
      <c r="A26" s="10"/>
      <c r="B26" s="10"/>
      <c r="C26" s="11"/>
      <c r="D26" s="12"/>
      <c r="E26" s="10"/>
      <c r="F26" s="32"/>
      <c r="G26" s="10"/>
      <c r="H26" s="10"/>
      <c r="I26" s="10"/>
      <c r="J26" s="10"/>
      <c r="K26" s="10"/>
      <c r="L26" s="10"/>
      <c r="M26" s="10"/>
      <c r="N26" s="10"/>
      <c r="O26" s="10"/>
      <c r="P26" s="10"/>
      <c r="R26" s="2"/>
      <c r="S26" s="2"/>
      <c r="T26" s="2"/>
      <c r="U26" s="2"/>
      <c r="V26" s="2"/>
      <c r="W26" s="2"/>
      <c r="X26" s="2"/>
    </row>
    <row r="27" spans="1:256" s="29" customFormat="1">
      <c r="A27" s="24"/>
      <c r="B27" s="24"/>
      <c r="C27" s="25" t="s">
        <v>13</v>
      </c>
      <c r="D27" s="26"/>
      <c r="E27" s="24"/>
      <c r="F27" s="31">
        <v>15</v>
      </c>
      <c r="G27" s="24"/>
      <c r="H27" s="24"/>
      <c r="I27" s="24"/>
      <c r="J27" s="24"/>
      <c r="K27" s="24"/>
      <c r="L27" s="24"/>
      <c r="M27" s="24"/>
      <c r="N27" s="24"/>
      <c r="O27" s="24"/>
      <c r="P27" s="24"/>
      <c r="Q27" s="28"/>
      <c r="R27" s="2"/>
      <c r="S27" s="2"/>
      <c r="T27" s="2"/>
      <c r="U27" s="2"/>
      <c r="V27" s="2"/>
      <c r="W27" s="2"/>
      <c r="X27" s="2"/>
    </row>
    <row r="28" spans="1:256" s="5" customFormat="1">
      <c r="A28" s="10"/>
      <c r="B28" s="10"/>
      <c r="C28" s="11"/>
      <c r="D28" s="12"/>
      <c r="E28" s="10"/>
      <c r="F28" s="32"/>
      <c r="G28" s="10"/>
      <c r="H28" s="10"/>
      <c r="I28" s="10"/>
      <c r="J28" s="10"/>
      <c r="K28" s="10"/>
      <c r="L28" s="10"/>
      <c r="M28" s="10"/>
      <c r="N28" s="10"/>
      <c r="O28" s="10"/>
      <c r="P28" s="10"/>
      <c r="R28" s="2"/>
      <c r="S28" s="2"/>
      <c r="T28" s="2"/>
      <c r="U28" s="2"/>
      <c r="V28" s="2"/>
      <c r="W28" s="2"/>
      <c r="X28" s="2"/>
    </row>
    <row r="29" spans="1:256" s="28" customFormat="1">
      <c r="A29" s="24"/>
      <c r="B29" s="24"/>
      <c r="C29" s="25" t="s">
        <v>14</v>
      </c>
      <c r="D29" s="26"/>
      <c r="E29" s="24"/>
      <c r="F29" s="31">
        <v>20</v>
      </c>
      <c r="G29" s="24"/>
      <c r="H29" s="24"/>
      <c r="I29" s="24"/>
      <c r="J29" s="24"/>
      <c r="K29" s="24"/>
      <c r="L29" s="24"/>
      <c r="M29" s="24"/>
      <c r="N29" s="24"/>
      <c r="O29" s="24"/>
      <c r="P29" s="24"/>
      <c r="R29" s="2"/>
      <c r="S29" s="2"/>
      <c r="T29" s="2"/>
      <c r="U29" s="2"/>
      <c r="V29" s="2"/>
      <c r="W29" s="2"/>
      <c r="X29" s="2"/>
      <c r="IV29" s="29"/>
    </row>
    <row r="30" spans="1:256" s="5" customFormat="1">
      <c r="A30" s="10"/>
      <c r="B30" s="10"/>
      <c r="C30" s="11"/>
      <c r="D30" s="12"/>
      <c r="E30" s="10"/>
      <c r="F30" s="32"/>
      <c r="G30" s="10"/>
      <c r="H30" s="10"/>
      <c r="I30" s="10"/>
      <c r="J30" s="10"/>
      <c r="K30" s="10"/>
      <c r="L30" s="10"/>
      <c r="M30" s="10"/>
      <c r="N30" s="10"/>
      <c r="O30" s="10"/>
      <c r="P30" s="10"/>
      <c r="R30" s="2"/>
      <c r="S30" s="2"/>
      <c r="T30" s="2"/>
      <c r="U30" s="2"/>
      <c r="V30" s="2"/>
      <c r="W30" s="2"/>
      <c r="X30" s="2"/>
    </row>
    <row r="31" spans="1:256" s="28" customFormat="1">
      <c r="A31" s="24"/>
      <c r="B31" s="24"/>
      <c r="C31" s="25" t="s">
        <v>15</v>
      </c>
      <c r="D31" s="26"/>
      <c r="E31" s="24"/>
      <c r="F31" s="31">
        <v>25</v>
      </c>
      <c r="G31" s="24"/>
      <c r="H31" s="24"/>
      <c r="I31" s="24"/>
      <c r="J31" s="24"/>
      <c r="K31" s="24"/>
      <c r="L31" s="24"/>
      <c r="M31" s="24"/>
      <c r="N31" s="24"/>
      <c r="O31" s="24"/>
      <c r="P31" s="24"/>
      <c r="R31" s="2"/>
      <c r="S31" s="2"/>
      <c r="T31" s="2"/>
      <c r="U31" s="2"/>
      <c r="V31" s="2"/>
      <c r="W31" s="2"/>
      <c r="X31" s="2"/>
      <c r="IV31" s="29"/>
    </row>
    <row r="32" spans="1:256" s="5" customFormat="1">
      <c r="A32" s="10"/>
      <c r="B32" s="10"/>
      <c r="C32" s="11"/>
      <c r="D32" s="12"/>
      <c r="E32" s="10"/>
      <c r="F32" s="32"/>
      <c r="G32" s="10"/>
      <c r="H32" s="10"/>
      <c r="I32" s="10"/>
      <c r="J32" s="10"/>
      <c r="K32" s="10"/>
      <c r="L32" s="10"/>
      <c r="M32" s="10"/>
      <c r="N32" s="10"/>
      <c r="O32" s="10"/>
      <c r="P32" s="10"/>
      <c r="R32" s="2"/>
      <c r="S32" s="2"/>
      <c r="T32" s="2"/>
      <c r="U32" s="2"/>
      <c r="V32" s="2"/>
      <c r="W32" s="2"/>
      <c r="X32" s="2"/>
    </row>
    <row r="33" spans="1:24" s="29" customFormat="1">
      <c r="A33" s="24"/>
      <c r="B33" s="24"/>
      <c r="C33" s="25" t="s">
        <v>16</v>
      </c>
      <c r="D33" s="26"/>
      <c r="E33" s="24"/>
      <c r="F33" s="31">
        <v>30</v>
      </c>
      <c r="G33" s="24"/>
      <c r="H33" s="24"/>
      <c r="I33" s="24"/>
      <c r="J33" s="24"/>
      <c r="K33" s="24"/>
      <c r="L33" s="24"/>
      <c r="M33" s="24"/>
      <c r="N33" s="24"/>
      <c r="O33" s="24"/>
      <c r="P33" s="24"/>
      <c r="Q33" s="28"/>
      <c r="R33" s="2"/>
      <c r="S33" s="2"/>
      <c r="T33" s="2"/>
      <c r="U33" s="2"/>
      <c r="V33" s="2"/>
      <c r="W33" s="2"/>
      <c r="X33" s="2"/>
    </row>
    <row r="34" spans="1:24" s="5" customFormat="1">
      <c r="A34" s="10"/>
      <c r="B34" s="10"/>
      <c r="C34" s="11"/>
      <c r="D34" s="12"/>
      <c r="E34" s="10"/>
      <c r="F34" s="32"/>
      <c r="G34" s="10"/>
      <c r="H34" s="10"/>
      <c r="I34" s="10"/>
      <c r="J34" s="10"/>
      <c r="K34" s="10"/>
      <c r="L34" s="10"/>
      <c r="M34" s="10"/>
      <c r="N34" s="10"/>
      <c r="O34" s="10"/>
      <c r="P34" s="10"/>
      <c r="R34" s="2"/>
      <c r="S34" s="2"/>
      <c r="T34" s="2"/>
      <c r="U34" s="2"/>
      <c r="V34" s="2"/>
      <c r="W34" s="2"/>
      <c r="X34" s="2"/>
    </row>
    <row r="35" spans="1:24" s="29" customFormat="1">
      <c r="A35" s="24"/>
      <c r="B35" s="24"/>
      <c r="C35" s="25" t="s">
        <v>17</v>
      </c>
      <c r="D35" s="26"/>
      <c r="E35" s="24"/>
      <c r="F35" s="31">
        <v>50</v>
      </c>
      <c r="G35" s="24"/>
      <c r="H35" s="24"/>
      <c r="I35" s="24"/>
      <c r="J35" s="24"/>
      <c r="K35" s="24"/>
      <c r="L35" s="24"/>
      <c r="M35" s="24"/>
      <c r="N35" s="24"/>
      <c r="O35" s="24"/>
      <c r="P35" s="24"/>
      <c r="Q35" s="28"/>
      <c r="R35" s="2"/>
      <c r="S35" s="2"/>
      <c r="T35" s="2"/>
      <c r="U35" s="2"/>
      <c r="V35" s="2"/>
      <c r="W35" s="2"/>
      <c r="X35" s="2"/>
    </row>
    <row r="36" spans="1:24" s="5" customFormat="1">
      <c r="A36" s="356"/>
      <c r="B36" s="356"/>
      <c r="C36" s="356"/>
      <c r="D36" s="356"/>
      <c r="E36" s="356"/>
      <c r="F36" s="356"/>
      <c r="G36" s="356"/>
      <c r="H36" s="356"/>
      <c r="I36" s="356"/>
      <c r="J36" s="356"/>
      <c r="K36" s="356"/>
      <c r="L36" s="10"/>
      <c r="M36" s="10"/>
      <c r="N36" s="10"/>
      <c r="O36" s="10"/>
      <c r="P36" s="10"/>
      <c r="Q36" s="9"/>
      <c r="R36" s="4"/>
      <c r="S36" s="4"/>
      <c r="T36" s="4"/>
      <c r="U36" s="4"/>
      <c r="V36" s="4"/>
      <c r="W36" s="4"/>
      <c r="X36" s="4"/>
    </row>
    <row r="37" spans="1:24" s="5" customFormat="1">
      <c r="A37" s="357"/>
      <c r="B37" s="357"/>
      <c r="C37" s="357"/>
      <c r="D37" s="357"/>
      <c r="E37" s="357"/>
      <c r="F37" s="357"/>
      <c r="G37" s="357"/>
      <c r="H37" s="33"/>
      <c r="I37" s="33"/>
      <c r="J37" s="33"/>
      <c r="K37" s="33"/>
      <c r="L37" s="33"/>
      <c r="M37" s="33"/>
      <c r="N37" s="33"/>
      <c r="O37" s="33"/>
      <c r="P37" s="33"/>
      <c r="Q37" s="34"/>
      <c r="R37" s="4"/>
      <c r="S37" s="4"/>
      <c r="T37" s="4"/>
      <c r="U37" s="4"/>
      <c r="V37" s="4"/>
      <c r="W37" s="4"/>
      <c r="X37" s="4"/>
    </row>
    <row r="38" spans="1:24" s="10" customFormat="1" ht="12.75" hidden="1" customHeight="1">
      <c r="C38" s="12"/>
      <c r="D38" s="12"/>
      <c r="F38" s="12"/>
      <c r="R38" s="1"/>
      <c r="S38" s="1"/>
      <c r="T38" s="1"/>
      <c r="U38" s="1"/>
      <c r="V38" s="1"/>
      <c r="W38" s="1"/>
      <c r="X38" s="1"/>
    </row>
    <row r="39" spans="1:24" s="10" customFormat="1" ht="12.75" customHeight="1">
      <c r="A39" s="10" t="s">
        <v>18</v>
      </c>
      <c r="C39" s="12"/>
      <c r="D39" s="12"/>
      <c r="F39" s="12"/>
      <c r="R39" s="1"/>
      <c r="S39" s="1"/>
      <c r="T39" s="1"/>
      <c r="U39" s="1"/>
      <c r="V39" s="1"/>
      <c r="W39" s="1"/>
      <c r="X39" s="1"/>
    </row>
    <row r="40" spans="1:24" s="5" customFormat="1" hidden="1">
      <c r="A40" s="10"/>
      <c r="B40" s="10"/>
      <c r="C40" s="10"/>
      <c r="D40" s="10"/>
      <c r="E40" s="10"/>
      <c r="F40" s="10"/>
      <c r="G40" s="10"/>
      <c r="H40" s="10"/>
      <c r="I40" s="10"/>
      <c r="J40" s="10"/>
      <c r="K40" s="10"/>
      <c r="L40" s="10"/>
      <c r="M40" s="10"/>
      <c r="N40" s="10"/>
      <c r="O40" s="10"/>
      <c r="P40" s="10"/>
      <c r="R40" s="2"/>
      <c r="S40" s="2"/>
      <c r="T40" s="2"/>
      <c r="U40" s="2"/>
      <c r="V40" s="2"/>
      <c r="W40" s="2"/>
      <c r="X40" s="2"/>
    </row>
    <row r="41" spans="1:24" s="5" customFormat="1" hidden="1">
      <c r="A41" s="10"/>
      <c r="B41" s="10"/>
      <c r="C41" s="10"/>
      <c r="D41" s="10"/>
      <c r="E41" s="10"/>
      <c r="F41" s="10"/>
      <c r="G41" s="10"/>
      <c r="H41" s="10"/>
      <c r="I41" s="10"/>
      <c r="J41" s="10"/>
      <c r="K41" s="10"/>
      <c r="L41" s="10"/>
      <c r="M41" s="10"/>
      <c r="N41" s="10"/>
      <c r="O41" s="10"/>
      <c r="P41" s="10"/>
      <c r="R41" s="2"/>
      <c r="S41" s="2"/>
      <c r="T41" s="2"/>
      <c r="U41" s="2"/>
      <c r="V41" s="2"/>
      <c r="W41" s="2"/>
      <c r="X41" s="2"/>
    </row>
    <row r="42" spans="1:24" hidden="1"/>
    <row r="43" spans="1:24" hidden="1"/>
    <row r="44" spans="1:24" hidden="1"/>
    <row r="45" spans="1:24" hidden="1"/>
    <row r="46" spans="1:24" hidden="1"/>
    <row r="47" spans="1:24" hidden="1"/>
    <row r="48" spans="1:24"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sheetData>
  <sheetProtection selectLockedCells="1" selectUnlockedCells="1"/>
  <mergeCells count="3">
    <mergeCell ref="A2:H4"/>
    <mergeCell ref="A36:K36"/>
    <mergeCell ref="A37:G37"/>
  </mergeCells>
  <pageMargins left="0.75" right="0.75" top="1" bottom="1" header="0.51180555555555551" footer="0.51180555555555551"/>
  <pageSetup firstPageNumber="0" orientation="portrait" horizontalDpi="300" verticalDpi="300"/>
  <headerFooter alignWithMargins="0"/>
  <drawing r:id="rId1"/>
</worksheet>
</file>

<file path=xl/worksheets/sheet10.xml><?xml version="1.0" encoding="utf-8"?>
<worksheet xmlns="http://schemas.openxmlformats.org/spreadsheetml/2006/main" xmlns:r="http://schemas.openxmlformats.org/officeDocument/2006/relationships">
  <dimension ref="A1:Q310"/>
  <sheetViews>
    <sheetView topLeftCell="A49"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357</v>
      </c>
      <c r="L1" s="211"/>
      <c r="P1" s="210">
        <f>SUM(P14:P89)+E11+H11+L7+L11</f>
        <v>420</v>
      </c>
    </row>
    <row r="2" spans="1:17" s="212" customFormat="1" ht="15" customHeight="1">
      <c r="B2" s="213" t="s">
        <v>97</v>
      </c>
      <c r="G2" s="213" t="s">
        <v>98</v>
      </c>
      <c r="J2" s="213" t="s">
        <v>99</v>
      </c>
      <c r="L2" s="214"/>
    </row>
    <row r="3" spans="1:17" s="212" customFormat="1" ht="15" customHeight="1">
      <c r="B3" s="212" t="str">
        <f t="shared" ref="B3:B10" si="0">E70</f>
        <v>Mexico</v>
      </c>
      <c r="C3" s="247">
        <f>IF(AND(ISNA(MATCH(B3,Invulblad!$F$76:$F$83,0)),ISNA(MATCH(B3,Invulblad!$J$76:$J$83,0))),0,10)</f>
        <v>10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Duitsland</v>
      </c>
      <c r="L3" s="247">
        <f>IF(AND(ISNA(MATCH(J3,Invulblad!$F$94:$F$95,0)),ISNA(MATCH(J3,Invulblad!$J$94:$J$95,0))),0,20+25)</f>
        <v>45</v>
      </c>
      <c r="Q3" s="248"/>
    </row>
    <row r="4" spans="1:17" s="212" customFormat="1" ht="15" customHeight="1">
      <c r="B4" s="212" t="str">
        <f t="shared" si="0"/>
        <v>Engeland</v>
      </c>
      <c r="C4" s="247">
        <f>IF(AND(ISNA(MATCH(B4,Invulblad!$F$76:$F$83,0)),ISNA(MATCH(B4,Invulblad!$J$76:$J$83,0))),0,10)</f>
        <v>10</v>
      </c>
      <c r="D4" s="212" t="str">
        <f t="shared" si="1"/>
        <v>Duitsland</v>
      </c>
      <c r="E4" s="247">
        <f>IF(AND(ISNA(MATCH(D4,Invulblad!$F$76:$F$83,0)),ISNA(MATCH(D4,Invulblad!$J$76:$J$83,0))),0,10)</f>
        <v>10</v>
      </c>
      <c r="G4" s="212" t="str">
        <f>E80</f>
        <v>Mexico</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Servië</v>
      </c>
      <c r="C5" s="247">
        <f>IF(AND(ISNA(MATCH(B5,Invulblad!$F$76:$F$83,0)),ISNA(MATCH(B5,Invulblad!$J$76:$J$83,0))),0,10)</f>
        <v>0</v>
      </c>
      <c r="D5" s="212" t="str">
        <f t="shared" si="1"/>
        <v>USA</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Frankrijk</v>
      </c>
      <c r="E6" s="247">
        <f>IF(AND(ISNA(MATCH(D6,Invulblad!$F$76:$F$83,0)),ISNA(MATCH(D6,Invulblad!$J$76:$J$83,0))),0,10)</f>
        <v>0</v>
      </c>
      <c r="G6" s="212" t="str">
        <f>E82</f>
        <v>Italië</v>
      </c>
      <c r="H6" s="247">
        <f>IF(AND(ISNA(MATCH(G6,Invulblad!$F$87:$F$90,0)),ISNA(MATCH(G6,Invulblad!$J$87:$J$90,0))),0,15)</f>
        <v>0</v>
      </c>
      <c r="J6" s="212" t="str">
        <f>G85</f>
        <v>Italië</v>
      </c>
      <c r="L6" s="247">
        <f>IF(AND(ISNA(MATCH(J6,Invulblad!$F$94:$F$95,0)),ISNA(MATCH(J6,Invulblad!$J$94:$J$95,0))),0,20+25)</f>
        <v>0</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Duitsland</v>
      </c>
      <c r="H8" s="247">
        <f>IF(AND(ISNA(MATCH(G8,Invulblad!$F$87:$F$90,0)),ISNA(MATCH(G8,Invulblad!$J$87:$J$90,0))),0,15)</f>
        <v>15</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USA</v>
      </c>
      <c r="H9" s="247">
        <f>IF(AND(ISNA(MATCH(G9,Invulblad!$F$87:$F$90,0)),ISNA(MATCH(G9,Invulblad!$J$87:$J$90,0))),0,15)</f>
        <v>0</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Italië</v>
      </c>
      <c r="L10" s="247">
        <f>IF(AND(ISNA(MATCH(J10,Invulblad!$F$103,0)),ISNA(MATCH(J10,Invulblad!$J$103,0))),0,5)</f>
        <v>0</v>
      </c>
    </row>
    <row r="11" spans="1:17" s="212" customFormat="1" ht="15" customHeight="1">
      <c r="D11" s="215" t="s">
        <v>100</v>
      </c>
      <c r="E11" s="250">
        <f>SUM(C3:E10)</f>
        <v>110</v>
      </c>
      <c r="G11" s="215" t="s">
        <v>92</v>
      </c>
      <c r="H11" s="250">
        <f>SUM(H3:H10)</f>
        <v>75</v>
      </c>
      <c r="J11" s="215" t="s">
        <v>101</v>
      </c>
      <c r="K11" s="216"/>
      <c r="L11" s="250">
        <f>SUM(L9:L10)</f>
        <v>0</v>
      </c>
    </row>
    <row r="12" spans="1:17">
      <c r="B12" s="218" t="s">
        <v>19</v>
      </c>
      <c r="C12" s="218"/>
      <c r="D12" s="218"/>
      <c r="E12" s="219" t="str">
        <f>IF(H89&gt;J89,E89,G89)</f>
        <v>Italië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1</v>
      </c>
      <c r="I16" s="229" t="s">
        <v>29</v>
      </c>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1</v>
      </c>
      <c r="I17" s="229" t="s">
        <v>29</v>
      </c>
      <c r="J17" s="229">
        <v>2</v>
      </c>
      <c r="K17" s="235">
        <f t="shared" si="2"/>
        <v>2</v>
      </c>
      <c r="L17" s="233">
        <f>VLOOKUP($B17,Invulblad!$A$11:$S$103,13,0)</f>
        <v>2</v>
      </c>
      <c r="M17" s="234">
        <f>IF(L17&lt;&gt;"",VLOOKUP($B17,Invulblad!$A$11:$S$103,7,0),"")</f>
        <v>0</v>
      </c>
      <c r="N17" s="229" t="s">
        <v>29</v>
      </c>
      <c r="O17" s="234">
        <f>IF(L17&lt;&gt;"",VLOOKUP($B17,Invulblad!$A$11:$S$103,9,0),"")</f>
        <v>2</v>
      </c>
      <c r="P17" s="235">
        <f t="shared" si="3"/>
        <v>5</v>
      </c>
    </row>
    <row r="18" spans="1:16">
      <c r="A18" s="205">
        <v>5</v>
      </c>
      <c r="B18" s="212">
        <v>33</v>
      </c>
      <c r="C18" s="226">
        <v>40351</v>
      </c>
      <c r="D18" s="227">
        <v>0.66666666666666663</v>
      </c>
      <c r="E18" s="228" t="s">
        <v>114</v>
      </c>
      <c r="F18" s="229" t="s">
        <v>29</v>
      </c>
      <c r="G18" s="212" t="s">
        <v>112</v>
      </c>
      <c r="H18" s="229">
        <v>2</v>
      </c>
      <c r="I18" s="229" t="s">
        <v>29</v>
      </c>
      <c r="J18" s="229">
        <v>1</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0</v>
      </c>
      <c r="I22" s="229" t="s">
        <v>29</v>
      </c>
      <c r="J22" s="229">
        <v>1</v>
      </c>
      <c r="K22" s="235">
        <f t="shared" si="2"/>
        <v>2</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0</v>
      </c>
      <c r="I23" s="229" t="s">
        <v>29</v>
      </c>
      <c r="J23" s="229">
        <v>1</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1</v>
      </c>
      <c r="I30" s="229" t="s">
        <v>29</v>
      </c>
      <c r="J30" s="229">
        <v>2</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1</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2</v>
      </c>
      <c r="K37" s="235">
        <f t="shared" si="2"/>
        <v>2</v>
      </c>
      <c r="L37" s="233">
        <f>VLOOKUP($B37,Invulblad!$A$11:$S$103,13,0)</f>
        <v>2</v>
      </c>
      <c r="M37" s="234">
        <f>IF(L37&lt;&gt;"",VLOOKUP($B37,Invulblad!$A$11:$S$103,7,0),"")</f>
        <v>0</v>
      </c>
      <c r="N37" s="229" t="s">
        <v>29</v>
      </c>
      <c r="O37" s="234">
        <f>IF(L37&lt;&gt;"",VLOOKUP($B37,Invulblad!$A$11:$S$103,9,0),"")</f>
        <v>1</v>
      </c>
      <c r="P37" s="235">
        <f t="shared" si="6"/>
        <v>5</v>
      </c>
    </row>
    <row r="38" spans="1:16">
      <c r="A38" s="205">
        <v>28</v>
      </c>
      <c r="B38" s="212">
        <v>24</v>
      </c>
      <c r="C38" s="226">
        <v>40348</v>
      </c>
      <c r="D38" s="227">
        <v>0.66666666666666663</v>
      </c>
      <c r="E38" s="228" t="s">
        <v>136</v>
      </c>
      <c r="F38" s="229" t="s">
        <v>29</v>
      </c>
      <c r="G38" s="212" t="s">
        <v>132</v>
      </c>
      <c r="H38" s="229">
        <v>1</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2</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1</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2</v>
      </c>
      <c r="I45" s="229" t="s">
        <v>29</v>
      </c>
      <c r="J45" s="229">
        <v>1</v>
      </c>
      <c r="K45" s="235" t="str">
        <f t="shared" si="2"/>
        <v>1</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1</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1</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2</v>
      </c>
      <c r="I52" s="229" t="s">
        <v>29</v>
      </c>
      <c r="J52" s="229">
        <v>1</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2</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1</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0</v>
      </c>
      <c r="I56" s="229" t="s">
        <v>29</v>
      </c>
      <c r="J56" s="229">
        <v>1</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2</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1</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10</v>
      </c>
    </row>
    <row r="64" spans="1:16">
      <c r="A64" s="205">
        <v>58</v>
      </c>
      <c r="B64" s="212">
        <v>16</v>
      </c>
      <c r="C64" s="226">
        <v>40345</v>
      </c>
      <c r="D64" s="227">
        <v>0.66666666666666663</v>
      </c>
      <c r="E64" s="228" t="s">
        <v>165</v>
      </c>
      <c r="F64" s="229" t="s">
        <v>29</v>
      </c>
      <c r="G64" s="212" t="s">
        <v>166</v>
      </c>
      <c r="H64" s="229">
        <v>2</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10</v>
      </c>
    </row>
    <row r="66" spans="1:16">
      <c r="A66" s="205">
        <v>60</v>
      </c>
      <c r="B66" s="212">
        <v>32</v>
      </c>
      <c r="C66" s="226">
        <v>40350</v>
      </c>
      <c r="D66" s="227">
        <v>0.85416666666666663</v>
      </c>
      <c r="E66" s="228" t="s">
        <v>165</v>
      </c>
      <c r="F66" s="229" t="s">
        <v>29</v>
      </c>
      <c r="G66" s="212" t="s">
        <v>168</v>
      </c>
      <c r="H66" s="229">
        <v>2</v>
      </c>
      <c r="I66" s="229" t="s">
        <v>29</v>
      </c>
      <c r="J66" s="229">
        <v>1</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10</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214</v>
      </c>
      <c r="F70" s="229" t="s">
        <v>29</v>
      </c>
      <c r="G70" s="212" t="s">
        <v>122</v>
      </c>
      <c r="H70" s="229">
        <v>2</v>
      </c>
      <c r="I70" s="229" t="s">
        <v>29</v>
      </c>
      <c r="J70" s="229">
        <v>1</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10</v>
      </c>
    </row>
    <row r="71" spans="1:16">
      <c r="A71" s="205">
        <v>66</v>
      </c>
      <c r="B71" s="212">
        <v>50</v>
      </c>
      <c r="C71" s="226">
        <v>40355</v>
      </c>
      <c r="D71" s="227">
        <v>0.85416666666666663</v>
      </c>
      <c r="E71" s="228" t="s">
        <v>124</v>
      </c>
      <c r="F71" s="229" t="s">
        <v>29</v>
      </c>
      <c r="G71" s="222" t="s">
        <v>239</v>
      </c>
      <c r="H71" s="229">
        <v>1</v>
      </c>
      <c r="I71" s="229" t="s">
        <v>29</v>
      </c>
      <c r="J71" s="229">
        <v>2</v>
      </c>
      <c r="K71" s="235">
        <f t="shared" si="8"/>
        <v>2</v>
      </c>
      <c r="L71" s="233">
        <f>VLOOKUP($B71,Invulblad!$A$11:$S$103,13,0)</f>
        <v>2</v>
      </c>
      <c r="M71" s="234">
        <f>IF(L71&lt;&gt;"",VLOOKUP($B71,Invulblad!$A$11:$S$103,7,0),"")</f>
        <v>1</v>
      </c>
      <c r="N71" s="229" t="s">
        <v>29</v>
      </c>
      <c r="O71" s="234">
        <f>IF(L71&lt;&gt;"",VLOOKUP($B71,Invulblad!$A$11:$S$103,9,0),"")</f>
        <v>2</v>
      </c>
      <c r="P71" s="235">
        <f t="shared" si="12"/>
        <v>10</v>
      </c>
    </row>
    <row r="72" spans="1:16">
      <c r="A72" s="205">
        <v>67</v>
      </c>
      <c r="B72" s="212">
        <v>51</v>
      </c>
      <c r="C72" s="226">
        <v>40356</v>
      </c>
      <c r="D72" s="227">
        <v>0.66666666666666663</v>
      </c>
      <c r="E72" s="228" t="s">
        <v>240</v>
      </c>
      <c r="F72" s="229" t="s">
        <v>29</v>
      </c>
      <c r="G72" s="222" t="s">
        <v>32</v>
      </c>
      <c r="H72" s="229">
        <v>0</v>
      </c>
      <c r="I72" s="229" t="s">
        <v>29</v>
      </c>
      <c r="J72" s="229">
        <v>1</v>
      </c>
      <c r="K72" s="235">
        <f t="shared" si="8"/>
        <v>2</v>
      </c>
      <c r="L72" s="233" t="str">
        <f>VLOOKUP($B72,Invulblad!$A$11:$S$103,13,0)</f>
        <v>1</v>
      </c>
      <c r="M72" s="234">
        <f>IF(L72&lt;&gt;"",VLOOKUP($B72,Invulblad!$A$11:$S$103,7,0),"")</f>
        <v>4</v>
      </c>
      <c r="N72" s="229" t="s">
        <v>29</v>
      </c>
      <c r="O72" s="234">
        <f>IF(L72&lt;&gt;"",VLOOKUP($B72,Invulblad!$A$11:$S$103,9,0),"")</f>
        <v>1</v>
      </c>
      <c r="P72" s="235">
        <f t="shared" si="12"/>
        <v>0</v>
      </c>
    </row>
    <row r="73" spans="1:16">
      <c r="A73" s="205">
        <v>68</v>
      </c>
      <c r="B73" s="212">
        <v>52</v>
      </c>
      <c r="C73" s="226">
        <v>40356</v>
      </c>
      <c r="D73" s="227">
        <v>0.85416666666666663</v>
      </c>
      <c r="E73" s="223" t="s">
        <v>116</v>
      </c>
      <c r="F73" s="229" t="s">
        <v>29</v>
      </c>
      <c r="G73" s="212" t="s">
        <v>205</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274</v>
      </c>
      <c r="H75" s="229">
        <v>2</v>
      </c>
      <c r="I75" s="229" t="s">
        <v>29</v>
      </c>
      <c r="J75" s="229">
        <v>1</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248</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1</v>
      </c>
      <c r="I77" s="229" t="s">
        <v>29</v>
      </c>
      <c r="J77" s="229">
        <v>0</v>
      </c>
      <c r="K77" s="235" t="str">
        <f t="shared" si="8"/>
        <v>1</v>
      </c>
      <c r="L77" s="233" t="str">
        <f>VLOOKUP($B77,Invulblad!$A$11:$S$103,13,0)</f>
        <v>1</v>
      </c>
      <c r="M77" s="234">
        <f>IF(L77&lt;&gt;"",VLOOKUP($B77,Invulblad!$A$11:$S$103,7,0),"")</f>
        <v>1</v>
      </c>
      <c r="N77" s="229" t="s">
        <v>29</v>
      </c>
      <c r="O77" s="234">
        <f>IF(L77&lt;&gt;"",VLOOKUP($B77,Invulblad!$A$11:$S$103,9,0),"")</f>
        <v>0</v>
      </c>
      <c r="P77" s="235">
        <f t="shared" si="12"/>
        <v>10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2</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214</v>
      </c>
      <c r="F80" s="229" t="s">
        <v>29</v>
      </c>
      <c r="G80" s="222" t="s">
        <v>239</v>
      </c>
      <c r="H80" s="229">
        <v>1</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32</v>
      </c>
      <c r="H81" s="229">
        <v>2</v>
      </c>
      <c r="I81" s="229" t="s">
        <v>29</v>
      </c>
      <c r="J81" s="229">
        <v>0</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3" t="s">
        <v>257</v>
      </c>
      <c r="F82" s="229" t="s">
        <v>29</v>
      </c>
      <c r="G82" s="212" t="s">
        <v>200</v>
      </c>
      <c r="H82" s="229">
        <v>2</v>
      </c>
      <c r="I82" s="229" t="s">
        <v>29</v>
      </c>
      <c r="J82" s="229">
        <v>0</v>
      </c>
      <c r="K82" s="235" t="str">
        <f t="shared" si="13"/>
        <v>1</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239</v>
      </c>
      <c r="F84" s="229" t="s">
        <v>29</v>
      </c>
      <c r="G84" s="222" t="s">
        <v>265</v>
      </c>
      <c r="H84" s="229">
        <v>1</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8" t="s">
        <v>116</v>
      </c>
      <c r="F85" s="229" t="s">
        <v>29</v>
      </c>
      <c r="G85" s="222" t="s">
        <v>257</v>
      </c>
      <c r="H85" s="229">
        <v>1</v>
      </c>
      <c r="I85" s="229" t="s">
        <v>29</v>
      </c>
      <c r="J85" s="229">
        <v>2</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239</v>
      </c>
      <c r="F87" s="229" t="s">
        <v>29</v>
      </c>
      <c r="G87" s="222" t="s">
        <v>116</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257</v>
      </c>
      <c r="H89" s="229">
        <v>2</v>
      </c>
      <c r="I89" s="229" t="s">
        <v>29</v>
      </c>
      <c r="J89" s="229">
        <v>3</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214</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226</v>
      </c>
      <c r="D101" s="241" t="s">
        <v>218</v>
      </c>
      <c r="E101" s="241" t="s">
        <v>217</v>
      </c>
    </row>
    <row r="102" spans="2:5">
      <c r="B102" s="242" t="s">
        <v>214</v>
      </c>
      <c r="C102" s="242" t="s">
        <v>225</v>
      </c>
      <c r="D102" s="242" t="s">
        <v>213</v>
      </c>
      <c r="E102" s="242" t="s">
        <v>226</v>
      </c>
    </row>
    <row r="103" spans="2:5">
      <c r="B103" s="241" t="s">
        <v>109</v>
      </c>
      <c r="C103" s="241" t="s">
        <v>213</v>
      </c>
      <c r="D103" s="241" t="s">
        <v>216</v>
      </c>
      <c r="E103" s="241" t="s">
        <v>211</v>
      </c>
    </row>
    <row r="104" spans="2:5">
      <c r="B104" s="242" t="s">
        <v>107</v>
      </c>
      <c r="C104" s="242" t="s">
        <v>212</v>
      </c>
      <c r="D104" s="242" t="s">
        <v>233</v>
      </c>
      <c r="E104" s="242" t="s">
        <v>213</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213</v>
      </c>
      <c r="D125" s="241" t="s">
        <v>216</v>
      </c>
      <c r="E125" s="241" t="s">
        <v>218</v>
      </c>
    </row>
    <row r="126" spans="1:15">
      <c r="B126" s="242" t="s">
        <v>116</v>
      </c>
      <c r="C126" s="242" t="s">
        <v>225</v>
      </c>
      <c r="D126" s="242" t="s">
        <v>213</v>
      </c>
      <c r="E126" s="242" t="s">
        <v>217</v>
      </c>
    </row>
    <row r="127" spans="1:15">
      <c r="B127" s="241" t="s">
        <v>122</v>
      </c>
      <c r="C127" s="241" t="s">
        <v>226</v>
      </c>
      <c r="D127" s="241" t="s">
        <v>218</v>
      </c>
      <c r="E127" s="241" t="s">
        <v>213</v>
      </c>
    </row>
    <row r="128" spans="1:15">
      <c r="B128" s="242" t="s">
        <v>118</v>
      </c>
      <c r="C128" s="242" t="s">
        <v>212</v>
      </c>
      <c r="D128" s="242" t="s">
        <v>233</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216</v>
      </c>
      <c r="E149" s="241" t="s">
        <v>215</v>
      </c>
    </row>
    <row r="150" spans="2:5">
      <c r="B150" s="242" t="s">
        <v>124</v>
      </c>
      <c r="C150" s="242" t="s">
        <v>225</v>
      </c>
      <c r="D150" s="242" t="s">
        <v>213</v>
      </c>
      <c r="E150" s="242" t="s">
        <v>226</v>
      </c>
    </row>
    <row r="151" spans="2:5">
      <c r="B151" s="241" t="s">
        <v>128</v>
      </c>
      <c r="C151" s="241" t="s">
        <v>212</v>
      </c>
      <c r="D151" s="241" t="s">
        <v>233</v>
      </c>
      <c r="E151" s="241" t="s">
        <v>215</v>
      </c>
    </row>
    <row r="152" spans="2:5">
      <c r="B152" s="242" t="s">
        <v>32</v>
      </c>
      <c r="C152" s="242" t="s">
        <v>226</v>
      </c>
      <c r="D152" s="242" t="s">
        <v>218</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240</v>
      </c>
    </row>
    <row r="167" spans="1:15">
      <c r="A167" s="205" t="s">
        <v>80</v>
      </c>
      <c r="B167" s="206" t="s">
        <v>204</v>
      </c>
      <c r="C167" s="206" t="s">
        <v>203</v>
      </c>
      <c r="D167" s="218" t="s">
        <v>239</v>
      </c>
    </row>
    <row r="170" spans="1:15">
      <c r="B170" s="218" t="s">
        <v>241</v>
      </c>
    </row>
    <row r="172" spans="1:15">
      <c r="B172" s="240" t="s">
        <v>207</v>
      </c>
      <c r="C172" s="240" t="s">
        <v>208</v>
      </c>
      <c r="D172" s="240" t="s">
        <v>209</v>
      </c>
      <c r="E172" s="240" t="s">
        <v>210</v>
      </c>
    </row>
    <row r="173" spans="1:15">
      <c r="B173" s="241" t="s">
        <v>239</v>
      </c>
      <c r="C173" s="241" t="s">
        <v>226</v>
      </c>
      <c r="D173" s="241" t="s">
        <v>218</v>
      </c>
      <c r="E173" s="241" t="s">
        <v>217</v>
      </c>
    </row>
    <row r="174" spans="1:15">
      <c r="B174" s="242" t="s">
        <v>242</v>
      </c>
      <c r="C174" s="242" t="s">
        <v>213</v>
      </c>
      <c r="D174" s="242" t="s">
        <v>216</v>
      </c>
      <c r="E174" s="242" t="s">
        <v>211</v>
      </c>
    </row>
    <row r="175" spans="1:15">
      <c r="B175" s="241" t="s">
        <v>244</v>
      </c>
      <c r="C175" s="241" t="s">
        <v>212</v>
      </c>
      <c r="D175" s="241" t="s">
        <v>233</v>
      </c>
      <c r="E175" s="241" t="s">
        <v>213</v>
      </c>
    </row>
    <row r="176" spans="1:15">
      <c r="B176" s="242" t="s">
        <v>240</v>
      </c>
      <c r="C176" s="242" t="s">
        <v>225</v>
      </c>
      <c r="D176" s="242" t="s">
        <v>213</v>
      </c>
      <c r="E176" s="242" t="s">
        <v>226</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15">
      <c r="B194" s="218" t="s">
        <v>249</v>
      </c>
    </row>
    <row r="196" spans="2:15">
      <c r="B196" s="240" t="s">
        <v>207</v>
      </c>
      <c r="C196" s="240" t="s">
        <v>208</v>
      </c>
      <c r="D196" s="240" t="s">
        <v>209</v>
      </c>
      <c r="E196" s="240" t="s">
        <v>210</v>
      </c>
    </row>
    <row r="197" spans="2:15">
      <c r="B197" s="241" t="s">
        <v>178</v>
      </c>
      <c r="C197" s="241" t="s">
        <v>225</v>
      </c>
      <c r="D197" s="241" t="s">
        <v>213</v>
      </c>
      <c r="E197" s="241" t="s">
        <v>226</v>
      </c>
    </row>
    <row r="198" spans="2:15">
      <c r="B198" s="242" t="s">
        <v>250</v>
      </c>
      <c r="C198" s="242" t="s">
        <v>213</v>
      </c>
      <c r="D198" s="242" t="s">
        <v>216</v>
      </c>
      <c r="E198" s="242" t="s">
        <v>213</v>
      </c>
    </row>
    <row r="199" spans="2:15">
      <c r="B199" s="241" t="s">
        <v>251</v>
      </c>
      <c r="C199" s="241" t="s">
        <v>212</v>
      </c>
      <c r="D199" s="241" t="s">
        <v>233</v>
      </c>
      <c r="E199" s="241" t="s">
        <v>218</v>
      </c>
    </row>
    <row r="200" spans="2:15">
      <c r="B200" s="242" t="s">
        <v>248</v>
      </c>
      <c r="C200" s="242" t="s">
        <v>226</v>
      </c>
      <c r="D200" s="242" t="s">
        <v>218</v>
      </c>
      <c r="E200" s="242" t="s">
        <v>211</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182</v>
      </c>
    </row>
    <row r="218" spans="1:10">
      <c r="B218" s="218" t="s">
        <v>258</v>
      </c>
    </row>
    <row r="220" spans="1:10">
      <c r="B220" s="240" t="s">
        <v>207</v>
      </c>
      <c r="C220" s="240" t="s">
        <v>208</v>
      </c>
      <c r="D220" s="240" t="s">
        <v>209</v>
      </c>
      <c r="E220" s="240" t="s">
        <v>210</v>
      </c>
    </row>
    <row r="221" spans="1:10">
      <c r="B221" s="241" t="s">
        <v>257</v>
      </c>
      <c r="C221" s="241" t="s">
        <v>225</v>
      </c>
      <c r="D221" s="241" t="s">
        <v>213</v>
      </c>
      <c r="E221" s="241" t="s">
        <v>226</v>
      </c>
    </row>
    <row r="222" spans="1:10">
      <c r="B222" s="242" t="s">
        <v>259</v>
      </c>
      <c r="C222" s="242" t="s">
        <v>212</v>
      </c>
      <c r="D222" s="242" t="s">
        <v>233</v>
      </c>
      <c r="E222" s="242" t="s">
        <v>213</v>
      </c>
    </row>
    <row r="223" spans="1:10">
      <c r="B223" s="241" t="s">
        <v>182</v>
      </c>
      <c r="C223" s="241" t="s">
        <v>226</v>
      </c>
      <c r="D223" s="241" t="s">
        <v>218</v>
      </c>
      <c r="E223" s="241" t="s">
        <v>217</v>
      </c>
    </row>
    <row r="224" spans="1:10">
      <c r="B224" s="242" t="s">
        <v>260</v>
      </c>
      <c r="C224" s="242" t="s">
        <v>213</v>
      </c>
      <c r="D224" s="242" t="s">
        <v>216</v>
      </c>
      <c r="E224" s="242" t="s">
        <v>211</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226</v>
      </c>
      <c r="D245" s="241" t="s">
        <v>215</v>
      </c>
      <c r="E245" s="241" t="s">
        <v>211</v>
      </c>
    </row>
    <row r="246" spans="2:10">
      <c r="B246" s="242" t="s">
        <v>265</v>
      </c>
      <c r="C246" s="242" t="s">
        <v>225</v>
      </c>
      <c r="D246" s="242" t="s">
        <v>211</v>
      </c>
      <c r="E246" s="242" t="s">
        <v>226</v>
      </c>
    </row>
    <row r="247" spans="2:10">
      <c r="B247" s="241" t="s">
        <v>266</v>
      </c>
      <c r="C247" s="241" t="s">
        <v>213</v>
      </c>
      <c r="D247" s="241" t="s">
        <v>216</v>
      </c>
      <c r="E247" s="241" t="s">
        <v>215</v>
      </c>
    </row>
    <row r="248" spans="2:10">
      <c r="B248" s="242" t="s">
        <v>269</v>
      </c>
      <c r="C248" s="242" t="s">
        <v>212</v>
      </c>
      <c r="D248" s="242" t="s">
        <v>224</v>
      </c>
      <c r="E248" s="242" t="s">
        <v>212</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226</v>
      </c>
      <c r="D268" s="241" t="s">
        <v>218</v>
      </c>
      <c r="E268" s="241" t="s">
        <v>213</v>
      </c>
    </row>
    <row r="269" spans="1:5">
      <c r="B269" s="242" t="s">
        <v>200</v>
      </c>
      <c r="C269" s="242" t="s">
        <v>225</v>
      </c>
      <c r="D269" s="242" t="s">
        <v>213</v>
      </c>
      <c r="E269" s="242" t="s">
        <v>226</v>
      </c>
    </row>
    <row r="270" spans="1:5">
      <c r="B270" s="241" t="s">
        <v>276</v>
      </c>
      <c r="C270" s="241" t="s">
        <v>213</v>
      </c>
      <c r="D270" s="241" t="s">
        <v>216</v>
      </c>
      <c r="E270" s="241" t="s">
        <v>215</v>
      </c>
    </row>
    <row r="271" spans="1:5">
      <c r="B271" s="242" t="s">
        <v>277</v>
      </c>
      <c r="C271" s="242" t="s">
        <v>212</v>
      </c>
      <c r="D271" s="242" t="s">
        <v>233</v>
      </c>
      <c r="E271" s="242" t="s">
        <v>218</v>
      </c>
    </row>
    <row r="274" spans="2:15">
      <c r="B274" s="218" t="s">
        <v>278</v>
      </c>
    </row>
    <row r="275" spans="2:15">
      <c r="B275" s="212"/>
    </row>
    <row r="276" spans="2:15">
      <c r="B276" s="212" t="s">
        <v>279</v>
      </c>
    </row>
    <row r="277" spans="2:15">
      <c r="B277" s="212" t="s">
        <v>280</v>
      </c>
    </row>
    <row r="279" spans="2:15">
      <c r="K279" s="243"/>
      <c r="L279" s="244"/>
      <c r="M279" s="243"/>
      <c r="N279" s="243"/>
      <c r="O279" s="243"/>
    </row>
    <row r="280" spans="2:15">
      <c r="B280" s="243"/>
      <c r="C280" s="243"/>
      <c r="D280" s="243"/>
      <c r="E280" s="243"/>
      <c r="F280" s="243"/>
      <c r="G280" s="243"/>
      <c r="H280" s="243"/>
      <c r="I280" s="243"/>
      <c r="J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322</v>
      </c>
      <c r="L1" s="211"/>
      <c r="P1" s="210">
        <f>SUM(P14:P89)+E11+H11+L7+L11</f>
        <v>410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Ghana</v>
      </c>
      <c r="E4" s="247">
        <f>IF(AND(ISNA(MATCH(D4,Invulblad!$F$76:$F$83,0)),ISNA(MATCH(D4,Invulblad!$J$76:$J$83,0))),0,10)</f>
        <v>10</v>
      </c>
      <c r="G4" s="212" t="str">
        <f>E80</f>
        <v>Nigeria</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Slovenië</v>
      </c>
      <c r="E5" s="247">
        <f>IF(AND(ISNA(MATCH(D5,Invulblad!$F$76:$F$83,0)),ISNA(MATCH(D5,Invulblad!$J$76:$J$83,0))),0,10)</f>
        <v>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Zuid-Afrika</v>
      </c>
      <c r="E6" s="247">
        <f>IF(AND(ISNA(MATCH(D6,Invulblad!$F$76:$F$83,0)),ISNA(MATCH(D6,Invulblad!$J$76:$J$83,0))),0,10)</f>
        <v>0</v>
      </c>
      <c r="G6" s="212" t="str">
        <f>E82</f>
        <v>Italië</v>
      </c>
      <c r="H6" s="247">
        <f>IF(AND(ISNA(MATCH(G6,Invulblad!$F$87:$F$90,0)),ISNA(MATCH(G6,Invulblad!$J$87:$J$90,0))),0,15)</f>
        <v>0</v>
      </c>
      <c r="J6" s="212" t="str">
        <f>G85</f>
        <v>Italië</v>
      </c>
      <c r="L6" s="247">
        <f>IF(AND(ISNA(MATCH(J6,Invulblad!$F$94:$F$95,0)),ISNA(MATCH(J6,Invulblad!$J$94:$J$95,0))),0,20+25)</f>
        <v>0</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Duitsland</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0</v>
      </c>
    </row>
    <row r="12" spans="1:17">
      <c r="B12" s="218" t="s">
        <v>19</v>
      </c>
      <c r="C12" s="218"/>
      <c r="D12" s="218"/>
      <c r="E12" s="219" t="str">
        <f>IF(H89&gt;J89,E89,G89)</f>
        <v>Brazilië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301</v>
      </c>
      <c r="F15" s="229" t="s">
        <v>29</v>
      </c>
      <c r="G15" s="212" t="s">
        <v>110</v>
      </c>
      <c r="H15" s="229">
        <v>0</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1</v>
      </c>
      <c r="I16" s="229" t="s">
        <v>29</v>
      </c>
      <c r="J16" s="229">
        <v>0</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2</v>
      </c>
      <c r="I17" s="229" t="s">
        <v>29</v>
      </c>
      <c r="J17" s="229">
        <v>0</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0</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0</v>
      </c>
      <c r="I23" s="229" t="s">
        <v>29</v>
      </c>
      <c r="J23" s="229">
        <v>1</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1</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1</v>
      </c>
      <c r="K29" s="235">
        <f t="shared" si="2"/>
        <v>2</v>
      </c>
      <c r="L29" s="233">
        <f>VLOOKUP($B29,Invulblad!$A$11:$S$103,13,0)</f>
        <v>2</v>
      </c>
      <c r="M29" s="234">
        <f>IF(L29&lt;&gt;"",VLOOKUP($B29,Invulblad!$A$11:$S$103,7,0),"")</f>
        <v>0</v>
      </c>
      <c r="N29" s="229" t="s">
        <v>29</v>
      </c>
      <c r="O29" s="234">
        <f>IF(L29&lt;&gt;"",VLOOKUP($B29,Invulblad!$A$11:$S$103,9,0),"")</f>
        <v>1</v>
      </c>
      <c r="P29" s="235">
        <f t="shared" si="5"/>
        <v>10</v>
      </c>
    </row>
    <row r="30" spans="1:16">
      <c r="A30" s="205">
        <v>19</v>
      </c>
      <c r="B30" s="212">
        <v>22</v>
      </c>
      <c r="C30" s="226">
        <v>40347</v>
      </c>
      <c r="D30" s="227">
        <v>0.66666666666666663</v>
      </c>
      <c r="E30" s="228" t="s">
        <v>308</v>
      </c>
      <c r="F30" s="229" t="s">
        <v>29</v>
      </c>
      <c r="G30" s="212" t="s">
        <v>125</v>
      </c>
      <c r="H30" s="229">
        <v>1</v>
      </c>
      <c r="I30" s="229" t="s">
        <v>29</v>
      </c>
      <c r="J30" s="229">
        <v>0</v>
      </c>
      <c r="K30" s="235" t="str">
        <f t="shared" si="2"/>
        <v>1</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1</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1</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0</v>
      </c>
      <c r="I36" s="229" t="s">
        <v>29</v>
      </c>
      <c r="J36" s="229">
        <v>1</v>
      </c>
      <c r="K36" s="235">
        <f t="shared" si="2"/>
        <v>2</v>
      </c>
      <c r="L36" s="233">
        <f>VLOOKUP($B36,Invulblad!$A$11:$S$103,13,0)</f>
        <v>2</v>
      </c>
      <c r="M36" s="234">
        <f>IF(L36&lt;&gt;"",VLOOKUP($B36,Invulblad!$A$11:$S$103,7,0),"")</f>
        <v>0</v>
      </c>
      <c r="N36" s="229" t="s">
        <v>29</v>
      </c>
      <c r="O36" s="234">
        <f>IF(L36&lt;&gt;"",VLOOKUP($B36,Invulblad!$A$11:$S$103,9,0),"")</f>
        <v>1</v>
      </c>
      <c r="P36" s="235">
        <f t="shared" si="6"/>
        <v>10</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0</v>
      </c>
      <c r="K38" s="235" t="str">
        <f t="shared" si="2"/>
        <v>1</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1</v>
      </c>
      <c r="K39" s="235">
        <f t="shared" si="2"/>
        <v>2</v>
      </c>
      <c r="L39" s="233">
        <f>VLOOKUP($B39,Invulblad!$A$11:$S$103,13,0)</f>
        <v>2</v>
      </c>
      <c r="M39" s="234">
        <f>IF(L39&lt;&gt;"",VLOOKUP($B39,Invulblad!$A$11:$S$103,7,0),"")</f>
        <v>0</v>
      </c>
      <c r="N39" s="229" t="s">
        <v>29</v>
      </c>
      <c r="O39" s="234">
        <f>IF(L39&lt;&gt;"",VLOOKUP($B39,Invulblad!$A$11:$S$103,9,0),"")</f>
        <v>1</v>
      </c>
      <c r="P39" s="235">
        <f t="shared" si="6"/>
        <v>10</v>
      </c>
    </row>
    <row r="40" spans="1:16">
      <c r="A40" s="205">
        <v>30</v>
      </c>
      <c r="B40" s="212">
        <v>40</v>
      </c>
      <c r="C40" s="226">
        <v>40352</v>
      </c>
      <c r="D40" s="227">
        <v>0.85416666666666663</v>
      </c>
      <c r="E40" s="228" t="s">
        <v>138</v>
      </c>
      <c r="F40" s="229" t="s">
        <v>29</v>
      </c>
      <c r="G40" s="212" t="s">
        <v>135</v>
      </c>
      <c r="H40" s="229">
        <v>1</v>
      </c>
      <c r="I40" s="229" t="s">
        <v>29</v>
      </c>
      <c r="J40" s="229">
        <v>0</v>
      </c>
      <c r="K40" s="235" t="str">
        <f t="shared" si="2"/>
        <v>1</v>
      </c>
      <c r="L40" s="233" t="str">
        <f>VLOOKUP($B40,Invulblad!$A$11:$S$103,13,0)</f>
        <v>1</v>
      </c>
      <c r="M40" s="234">
        <f>IF(L40&lt;&gt;"",VLOOKUP($B40,Invulblad!$A$11:$S$103,7,0),"")</f>
        <v>2</v>
      </c>
      <c r="N40" s="229" t="s">
        <v>29</v>
      </c>
      <c r="O40" s="234">
        <f>IF(L40&lt;&gt;"",VLOOKUP($B40,Invulblad!$A$11:$S$103,9,0),"")</f>
        <v>1</v>
      </c>
      <c r="P40" s="235">
        <f t="shared" si="6"/>
        <v>5</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1</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1</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1</v>
      </c>
      <c r="K49" s="235">
        <f t="shared" si="8"/>
        <v>3</v>
      </c>
      <c r="L49" s="233">
        <f>VLOOKUP($B49,Invulblad!$A$11:$S$103,13,0)</f>
        <v>3</v>
      </c>
      <c r="M49" s="234">
        <f>IF(L49&lt;&gt;"",VLOOKUP($B49,Invulblad!$A$11:$S$103,7,0),"")</f>
        <v>1</v>
      </c>
      <c r="N49" s="229" t="s">
        <v>29</v>
      </c>
      <c r="O49" s="234">
        <f>IF(L49&lt;&gt;"",VLOOKUP($B49,Invulblad!$A$11:$S$103,9,0),"")</f>
        <v>1</v>
      </c>
      <c r="P49" s="235">
        <f t="shared" ref="P49:P54" si="9">IF(L49&lt;&gt;"",IF(AND(M49=H49,O49=J49),10,IF(K49=L49,5,0)),"")</f>
        <v>10</v>
      </c>
    </row>
    <row r="50" spans="1:16">
      <c r="A50" s="205">
        <v>42</v>
      </c>
      <c r="B50" s="212">
        <v>12</v>
      </c>
      <c r="C50" s="226">
        <v>40344</v>
      </c>
      <c r="D50" s="227">
        <v>0.5625</v>
      </c>
      <c r="E50" s="228" t="s">
        <v>149</v>
      </c>
      <c r="F50" s="229" t="s">
        <v>29</v>
      </c>
      <c r="G50" s="212" t="s">
        <v>150</v>
      </c>
      <c r="H50" s="229">
        <v>0</v>
      </c>
      <c r="I50" s="229" t="s">
        <v>29</v>
      </c>
      <c r="J50" s="229">
        <v>1</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0</v>
      </c>
      <c r="I51" s="229" t="s">
        <v>29</v>
      </c>
      <c r="J51" s="229">
        <v>1</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1</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2</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1</v>
      </c>
      <c r="K56" s="235">
        <f t="shared" si="8"/>
        <v>3</v>
      </c>
      <c r="L56" s="233">
        <f>VLOOKUP($B56,Invulblad!$A$11:$S$103,13,0)</f>
        <v>3</v>
      </c>
      <c r="M56" s="234">
        <f>IF(L56&lt;&gt;"",VLOOKUP($B56,Invulblad!$A$11:$S$103,7,0),"")</f>
        <v>0</v>
      </c>
      <c r="N56" s="229" t="s">
        <v>29</v>
      </c>
      <c r="O56" s="234">
        <f>IF(L56&lt;&gt;"",VLOOKUP($B56,Invulblad!$A$11:$S$103,9,0),"")</f>
        <v>0</v>
      </c>
      <c r="P56" s="235">
        <f t="shared" ref="P56:P61" si="10">IF(L56&lt;&gt;"",IF(AND(M56=H56,O56=J56),10,IF(K56=L56,5,0)),"")</f>
        <v>5</v>
      </c>
    </row>
    <row r="57" spans="1:16">
      <c r="A57" s="205">
        <v>50</v>
      </c>
      <c r="B57" s="212">
        <v>14</v>
      </c>
      <c r="C57" s="226">
        <v>40344</v>
      </c>
      <c r="D57" s="227">
        <v>0.85416666666666663</v>
      </c>
      <c r="E57" s="228" t="s">
        <v>157</v>
      </c>
      <c r="F57" s="229" t="s">
        <v>29</v>
      </c>
      <c r="G57" s="212" t="s">
        <v>158</v>
      </c>
      <c r="H57" s="229">
        <v>2</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1</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0</v>
      </c>
      <c r="I60" s="229" t="s">
        <v>29</v>
      </c>
      <c r="J60" s="229">
        <v>1</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1</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10</v>
      </c>
    </row>
    <row r="66" spans="1:16">
      <c r="A66" s="205">
        <v>60</v>
      </c>
      <c r="B66" s="212">
        <v>32</v>
      </c>
      <c r="C66" s="226">
        <v>40350</v>
      </c>
      <c r="D66" s="227">
        <v>0.85416666666666663</v>
      </c>
      <c r="E66" s="228" t="s">
        <v>165</v>
      </c>
      <c r="F66" s="229" t="s">
        <v>29</v>
      </c>
      <c r="G66" s="212" t="s">
        <v>168</v>
      </c>
      <c r="H66" s="229">
        <v>1</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0</v>
      </c>
      <c r="I68" s="229" t="s">
        <v>29</v>
      </c>
      <c r="J68" s="229">
        <v>0</v>
      </c>
      <c r="K68" s="235">
        <f t="shared" si="8"/>
        <v>3</v>
      </c>
      <c r="L68" s="233">
        <f>VLOOKUP($B68,Invulblad!$A$11:$S$103,13,0)</f>
        <v>3</v>
      </c>
      <c r="M68" s="234">
        <f>IF(L68&lt;&gt;"",VLOOKUP($B68,Invulblad!$A$11:$S$103,7,0),"")</f>
        <v>0</v>
      </c>
      <c r="N68" s="229" t="s">
        <v>29</v>
      </c>
      <c r="O68" s="234">
        <f>IF(L68&lt;&gt;"",VLOOKUP($B68,Invulblad!$A$11:$S$103,9,0),"")</f>
        <v>0</v>
      </c>
      <c r="P68" s="235">
        <f t="shared" si="11"/>
        <v>10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8" t="s">
        <v>205</v>
      </c>
      <c r="F70" s="229" t="s">
        <v>29</v>
      </c>
      <c r="G70" s="222" t="s">
        <v>122</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244</v>
      </c>
      <c r="H71" s="229">
        <v>2</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128</v>
      </c>
      <c r="H72" s="229">
        <v>1</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107</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1</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274</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248</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0</v>
      </c>
      <c r="I77" s="229" t="s">
        <v>29</v>
      </c>
      <c r="J77" s="229">
        <v>0</v>
      </c>
      <c r="K77" s="235">
        <f t="shared" si="8"/>
        <v>3</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2</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122</v>
      </c>
      <c r="F80" s="229" t="s">
        <v>29</v>
      </c>
      <c r="G80" s="222" t="s">
        <v>124</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116</v>
      </c>
      <c r="F81" s="229" t="s">
        <v>29</v>
      </c>
      <c r="G81" s="222" t="s">
        <v>239</v>
      </c>
      <c r="H81" s="229">
        <v>0</v>
      </c>
      <c r="I81" s="229" t="s">
        <v>29</v>
      </c>
      <c r="J81" s="229">
        <v>0</v>
      </c>
      <c r="K81" s="235">
        <f t="shared" si="13"/>
        <v>3</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3" t="s">
        <v>257</v>
      </c>
      <c r="F82" s="229" t="s">
        <v>29</v>
      </c>
      <c r="G82" s="212" t="s">
        <v>200</v>
      </c>
      <c r="H82" s="229">
        <v>0</v>
      </c>
      <c r="I82" s="229" t="s">
        <v>29</v>
      </c>
      <c r="J82" s="229">
        <v>0</v>
      </c>
      <c r="K82" s="235">
        <f t="shared" si="13"/>
        <v>3</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0</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239</v>
      </c>
      <c r="F85" s="229" t="s">
        <v>29</v>
      </c>
      <c r="G85" s="212" t="s">
        <v>257</v>
      </c>
      <c r="H85" s="229">
        <v>1</v>
      </c>
      <c r="I85" s="229" t="s">
        <v>29</v>
      </c>
      <c r="J85" s="229">
        <v>0</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257</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239</v>
      </c>
      <c r="H89" s="229">
        <v>2</v>
      </c>
      <c r="I89" s="229" t="s">
        <v>29</v>
      </c>
      <c r="J89" s="229">
        <v>1</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107</v>
      </c>
    </row>
    <row r="98" spans="2:5">
      <c r="B98" s="218" t="s">
        <v>206</v>
      </c>
    </row>
    <row r="100" spans="2:5">
      <c r="B100" s="240" t="s">
        <v>207</v>
      </c>
      <c r="C100" s="240" t="s">
        <v>208</v>
      </c>
      <c r="D100" s="240" t="s">
        <v>209</v>
      </c>
      <c r="E100" s="240" t="s">
        <v>210</v>
      </c>
    </row>
    <row r="101" spans="2:5">
      <c r="B101" s="241" t="s">
        <v>205</v>
      </c>
      <c r="C101" s="241" t="s">
        <v>225</v>
      </c>
      <c r="D101" s="241" t="s">
        <v>217</v>
      </c>
      <c r="E101" s="241" t="s">
        <v>226</v>
      </c>
    </row>
    <row r="102" spans="2:5">
      <c r="B102" s="242" t="s">
        <v>214</v>
      </c>
      <c r="C102" s="242" t="s">
        <v>211</v>
      </c>
      <c r="D102" s="242" t="s">
        <v>216</v>
      </c>
      <c r="E102" s="242" t="s">
        <v>215</v>
      </c>
    </row>
    <row r="103" spans="2:5">
      <c r="B103" s="241" t="s">
        <v>109</v>
      </c>
      <c r="C103" s="241" t="s">
        <v>212</v>
      </c>
      <c r="D103" s="241" t="s">
        <v>243</v>
      </c>
      <c r="E103" s="241" t="s">
        <v>212</v>
      </c>
    </row>
    <row r="104" spans="2:5">
      <c r="B104" s="242" t="s">
        <v>107</v>
      </c>
      <c r="C104" s="242" t="s">
        <v>211</v>
      </c>
      <c r="D104" s="242" t="s">
        <v>212</v>
      </c>
      <c r="E104" s="242" t="s">
        <v>213</v>
      </c>
    </row>
    <row r="107" spans="2:5">
      <c r="B107" s="218" t="s">
        <v>219</v>
      </c>
    </row>
    <row r="108" spans="2:5">
      <c r="B108" s="212"/>
    </row>
    <row r="109" spans="2:5">
      <c r="B109" s="212" t="s">
        <v>220</v>
      </c>
    </row>
    <row r="110" spans="2:5">
      <c r="B110" s="212" t="s">
        <v>323</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212</v>
      </c>
      <c r="D125" s="241" t="s">
        <v>233</v>
      </c>
      <c r="E125" s="241" t="s">
        <v>212</v>
      </c>
    </row>
    <row r="126" spans="1:15">
      <c r="B126" s="242" t="s">
        <v>116</v>
      </c>
      <c r="C126" s="242" t="s">
        <v>225</v>
      </c>
      <c r="D126" s="242" t="s">
        <v>213</v>
      </c>
      <c r="E126" s="242" t="s">
        <v>211</v>
      </c>
    </row>
    <row r="127" spans="1:15">
      <c r="B127" s="241" t="s">
        <v>122</v>
      </c>
      <c r="C127" s="241" t="s">
        <v>226</v>
      </c>
      <c r="D127" s="241" t="s">
        <v>218</v>
      </c>
      <c r="E127" s="241" t="s">
        <v>213</v>
      </c>
    </row>
    <row r="128" spans="1:15">
      <c r="B128" s="242" t="s">
        <v>118</v>
      </c>
      <c r="C128" s="242" t="s">
        <v>213</v>
      </c>
      <c r="D128" s="242" t="s">
        <v>216</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212</v>
      </c>
      <c r="D149" s="241" t="s">
        <v>243</v>
      </c>
      <c r="E149" s="241" t="s">
        <v>212</v>
      </c>
    </row>
    <row r="150" spans="2:5">
      <c r="B150" s="242" t="s">
        <v>124</v>
      </c>
      <c r="C150" s="242" t="s">
        <v>234</v>
      </c>
      <c r="D150" s="242" t="s">
        <v>213</v>
      </c>
      <c r="E150" s="242" t="s">
        <v>217</v>
      </c>
    </row>
    <row r="151" spans="2:5">
      <c r="B151" s="241" t="s">
        <v>128</v>
      </c>
      <c r="C151" s="241" t="s">
        <v>234</v>
      </c>
      <c r="D151" s="241" t="s">
        <v>215</v>
      </c>
      <c r="E151" s="241" t="s">
        <v>213</v>
      </c>
    </row>
    <row r="152" spans="2:5">
      <c r="B152" s="242" t="s">
        <v>32</v>
      </c>
      <c r="C152" s="242" t="s">
        <v>213</v>
      </c>
      <c r="D152" s="242" t="s">
        <v>216</v>
      </c>
      <c r="E152" s="242" t="s">
        <v>215</v>
      </c>
    </row>
    <row r="155" spans="2:5">
      <c r="B155" s="218" t="s">
        <v>235</v>
      </c>
    </row>
    <row r="156" spans="2:5">
      <c r="B156" s="212"/>
    </row>
    <row r="157" spans="2:5">
      <c r="B157" s="212" t="s">
        <v>311</v>
      </c>
    </row>
    <row r="158" spans="2:5">
      <c r="B158" s="212"/>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244</v>
      </c>
    </row>
    <row r="170" spans="1:15">
      <c r="B170" s="218" t="s">
        <v>241</v>
      </c>
    </row>
    <row r="172" spans="1:15">
      <c r="B172" s="240" t="s">
        <v>207</v>
      </c>
      <c r="C172" s="240" t="s">
        <v>208</v>
      </c>
      <c r="D172" s="240" t="s">
        <v>209</v>
      </c>
      <c r="E172" s="240" t="s">
        <v>210</v>
      </c>
    </row>
    <row r="173" spans="1:15">
      <c r="B173" s="241" t="s">
        <v>239</v>
      </c>
      <c r="C173" s="241" t="s">
        <v>225</v>
      </c>
      <c r="D173" s="241" t="s">
        <v>213</v>
      </c>
      <c r="E173" s="241" t="s">
        <v>213</v>
      </c>
    </row>
    <row r="174" spans="1:15">
      <c r="B174" s="242" t="s">
        <v>242</v>
      </c>
      <c r="C174" s="242" t="s">
        <v>213</v>
      </c>
      <c r="D174" s="242" t="s">
        <v>216</v>
      </c>
      <c r="E174" s="242" t="s">
        <v>218</v>
      </c>
    </row>
    <row r="175" spans="1:15">
      <c r="B175" s="241" t="s">
        <v>244</v>
      </c>
      <c r="C175" s="241" t="s">
        <v>226</v>
      </c>
      <c r="D175" s="241" t="s">
        <v>218</v>
      </c>
      <c r="E175" s="241" t="s">
        <v>215</v>
      </c>
    </row>
    <row r="176" spans="1:15">
      <c r="B176" s="242" t="s">
        <v>240</v>
      </c>
      <c r="C176" s="242" t="s">
        <v>212</v>
      </c>
      <c r="D176" s="242" t="s">
        <v>233</v>
      </c>
      <c r="E176" s="242" t="s">
        <v>212</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234</v>
      </c>
      <c r="D197" s="241" t="s">
        <v>213</v>
      </c>
      <c r="E197" s="241" t="s">
        <v>211</v>
      </c>
    </row>
    <row r="198" spans="2:5">
      <c r="B198" s="242" t="s">
        <v>250</v>
      </c>
      <c r="C198" s="242" t="s">
        <v>211</v>
      </c>
      <c r="D198" s="242" t="s">
        <v>212</v>
      </c>
      <c r="E198" s="242" t="s">
        <v>215</v>
      </c>
    </row>
    <row r="199" spans="2:5">
      <c r="B199" s="241" t="s">
        <v>251</v>
      </c>
      <c r="C199" s="241" t="s">
        <v>212</v>
      </c>
      <c r="D199" s="241" t="s">
        <v>243</v>
      </c>
      <c r="E199" s="241" t="s">
        <v>212</v>
      </c>
    </row>
    <row r="200" spans="2:5">
      <c r="B200" s="242" t="s">
        <v>248</v>
      </c>
      <c r="C200" s="242" t="s">
        <v>217</v>
      </c>
      <c r="D200" s="242" t="s">
        <v>218</v>
      </c>
      <c r="E200" s="242" t="s">
        <v>213</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234</v>
      </c>
      <c r="D221" s="241" t="s">
        <v>213</v>
      </c>
      <c r="E221" s="241" t="s">
        <v>211</v>
      </c>
    </row>
    <row r="222" spans="1:15">
      <c r="B222" s="242" t="s">
        <v>259</v>
      </c>
      <c r="C222" s="242" t="s">
        <v>212</v>
      </c>
      <c r="D222" s="242" t="s">
        <v>233</v>
      </c>
      <c r="E222" s="242" t="s">
        <v>212</v>
      </c>
    </row>
    <row r="223" spans="1:15">
      <c r="B223" s="241" t="s">
        <v>182</v>
      </c>
      <c r="C223" s="241" t="s">
        <v>234</v>
      </c>
      <c r="D223" s="241" t="s">
        <v>215</v>
      </c>
      <c r="E223" s="241" t="s">
        <v>213</v>
      </c>
    </row>
    <row r="224" spans="1:15">
      <c r="B224" s="242" t="s">
        <v>260</v>
      </c>
      <c r="C224" s="242" t="s">
        <v>213</v>
      </c>
      <c r="D224" s="242" t="s">
        <v>227</v>
      </c>
      <c r="E224" s="242" t="s">
        <v>218</v>
      </c>
    </row>
    <row r="227" spans="1:15">
      <c r="B227" s="218" t="s">
        <v>261</v>
      </c>
    </row>
    <row r="228" spans="1:15">
      <c r="B228" s="212"/>
    </row>
    <row r="229" spans="1:15">
      <c r="B229" s="212" t="s">
        <v>315</v>
      </c>
    </row>
    <row r="233" spans="1:15">
      <c r="B233" s="243"/>
      <c r="C233" s="243"/>
      <c r="D233" s="243"/>
      <c r="E233" s="243"/>
      <c r="F233" s="243"/>
      <c r="G233" s="243"/>
      <c r="H233" s="243"/>
      <c r="I233" s="243"/>
      <c r="J233" s="243"/>
    </row>
    <row r="234" spans="1:15">
      <c r="K234" s="243"/>
      <c r="L234" s="244"/>
      <c r="M234" s="243"/>
      <c r="N234" s="243"/>
      <c r="O234"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211</v>
      </c>
      <c r="D245" s="241" t="s">
        <v>218</v>
      </c>
      <c r="E245" s="241" t="s">
        <v>213</v>
      </c>
    </row>
    <row r="246" spans="2:10">
      <c r="B246" s="242" t="s">
        <v>265</v>
      </c>
      <c r="C246" s="242" t="s">
        <v>225</v>
      </c>
      <c r="D246" s="242" t="s">
        <v>211</v>
      </c>
      <c r="E246" s="242" t="s">
        <v>211</v>
      </c>
    </row>
    <row r="247" spans="2:10">
      <c r="B247" s="241" t="s">
        <v>266</v>
      </c>
      <c r="C247" s="241" t="s">
        <v>211</v>
      </c>
      <c r="D247" s="241" t="s">
        <v>212</v>
      </c>
      <c r="E247" s="241" t="s">
        <v>215</v>
      </c>
    </row>
    <row r="248" spans="2:10">
      <c r="B248" s="242" t="s">
        <v>269</v>
      </c>
      <c r="C248" s="242" t="s">
        <v>212</v>
      </c>
      <c r="D248" s="242" t="s">
        <v>224</v>
      </c>
      <c r="E248" s="242" t="s">
        <v>212</v>
      </c>
    </row>
    <row r="251" spans="2:10">
      <c r="B251" s="218" t="s">
        <v>270</v>
      </c>
    </row>
    <row r="252" spans="2:10">
      <c r="B252" s="212"/>
    </row>
    <row r="253" spans="2:10">
      <c r="B253" s="212" t="s">
        <v>271</v>
      </c>
    </row>
    <row r="254" spans="2:10">
      <c r="B254" s="212" t="s">
        <v>324</v>
      </c>
    </row>
    <row r="256" spans="2:10">
      <c r="B256" s="243"/>
      <c r="C256" s="243"/>
      <c r="D256" s="243"/>
      <c r="E256" s="243"/>
      <c r="F256" s="243"/>
      <c r="G256" s="243"/>
      <c r="H256" s="243"/>
      <c r="I256" s="243"/>
      <c r="J256" s="243"/>
    </row>
    <row r="257" spans="1:15">
      <c r="K257" s="243"/>
      <c r="L257" s="244"/>
      <c r="M257" s="243"/>
      <c r="N257" s="243"/>
      <c r="O257"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274</v>
      </c>
    </row>
    <row r="263" spans="1:15">
      <c r="A263" s="205" t="s">
        <v>88</v>
      </c>
    </row>
    <row r="265" spans="1:15">
      <c r="B265" s="218" t="s">
        <v>275</v>
      </c>
    </row>
    <row r="267" spans="1:15">
      <c r="B267" s="240" t="s">
        <v>207</v>
      </c>
      <c r="C267" s="240" t="s">
        <v>208</v>
      </c>
      <c r="D267" s="240" t="s">
        <v>209</v>
      </c>
      <c r="E267" s="240" t="s">
        <v>210</v>
      </c>
    </row>
    <row r="268" spans="1:15">
      <c r="B268" s="241" t="s">
        <v>274</v>
      </c>
      <c r="C268" s="241" t="s">
        <v>226</v>
      </c>
      <c r="D268" s="241" t="s">
        <v>215</v>
      </c>
      <c r="E268" s="241" t="s">
        <v>213</v>
      </c>
    </row>
    <row r="269" spans="1:15">
      <c r="B269" s="242" t="s">
        <v>200</v>
      </c>
      <c r="C269" s="242" t="s">
        <v>225</v>
      </c>
      <c r="D269" s="242" t="s">
        <v>213</v>
      </c>
      <c r="E269" s="242" t="s">
        <v>213</v>
      </c>
    </row>
    <row r="270" spans="1:15">
      <c r="B270" s="241" t="s">
        <v>276</v>
      </c>
      <c r="C270" s="241" t="s">
        <v>218</v>
      </c>
      <c r="D270" s="241" t="s">
        <v>227</v>
      </c>
      <c r="E270" s="241" t="s">
        <v>212</v>
      </c>
    </row>
    <row r="271" spans="1:15">
      <c r="B271" s="242" t="s">
        <v>277</v>
      </c>
      <c r="C271" s="242" t="s">
        <v>218</v>
      </c>
      <c r="D271" s="242" t="s">
        <v>233</v>
      </c>
      <c r="E271" s="242" t="s">
        <v>212</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2.xml><?xml version="1.0" encoding="utf-8"?>
<worksheet xmlns="http://schemas.openxmlformats.org/spreadsheetml/2006/main" xmlns:r="http://schemas.openxmlformats.org/officeDocument/2006/relationships">
  <dimension ref="A1:Q310"/>
  <sheetViews>
    <sheetView topLeftCell="A25"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346</v>
      </c>
      <c r="L1" s="211"/>
      <c r="P1" s="210">
        <f>SUM(P14:P89)+E11+H11+L7+L11</f>
        <v>345</v>
      </c>
    </row>
    <row r="2" spans="1:17" s="212" customFormat="1" ht="15" customHeight="1">
      <c r="B2" s="213" t="s">
        <v>97</v>
      </c>
      <c r="G2" s="213" t="s">
        <v>98</v>
      </c>
      <c r="J2" s="213" t="s">
        <v>99</v>
      </c>
      <c r="L2" s="214"/>
    </row>
    <row r="3" spans="1:17" s="212" customFormat="1" ht="15" customHeight="1">
      <c r="B3" s="212" t="str">
        <f t="shared" ref="B3:B10" si="0">E70</f>
        <v>Uruguay</v>
      </c>
      <c r="C3" s="247">
        <f>IF(AND(ISNA(MATCH(B3,Invulblad!$F$76:$F$83,0)),ISNA(MATCH(B3,Invulblad!$J$76:$J$83,0))),0,10)</f>
        <v>10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Uruguay</v>
      </c>
      <c r="H4" s="247">
        <f>IF(AND(ISNA(MATCH(G4,Invulblad!$F$87:$F$90,0)),ISNA(MATCH(G4,Invulblad!$J$87:$J$90,0))),0,15)</f>
        <v>15</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Algerije</v>
      </c>
      <c r="E5" s="247">
        <f>IF(AND(ISNA(MATCH(D5,Invulblad!$F$76:$F$83,0)),ISNA(MATCH(D5,Invulblad!$J$76:$J$83,0))),0,10)</f>
        <v>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Italië</v>
      </c>
      <c r="H6" s="247">
        <f>IF(AND(ISNA(MATCH(G6,Invulblad!$F$87:$F$90,0)),ISNA(MATCH(G6,Invulblad!$J$87:$J$90,0))),0,15)</f>
        <v>0</v>
      </c>
      <c r="J6" s="212" t="str">
        <f>G85</f>
        <v>Italië</v>
      </c>
      <c r="L6" s="247">
        <f>IF(AND(ISNA(MATCH(J6,Invulblad!$F$94:$F$95,0)),ISNA(MATCH(J6,Invulblad!$J$94:$J$95,0))),0,20+25)</f>
        <v>0</v>
      </c>
    </row>
    <row r="7" spans="1:17" s="212" customFormat="1" ht="15" customHeight="1">
      <c r="B7" s="212" t="str">
        <f t="shared" si="0"/>
        <v>Nederland</v>
      </c>
      <c r="C7" s="247">
        <f>IF(AND(ISNA(MATCH(B7,Invulblad!$F$76:$F$83,0)),ISNA(MATCH(B7,Invulblad!$J$76:$J$83,0))),0,10)</f>
        <v>10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0</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Portugal</v>
      </c>
      <c r="H10" s="247">
        <f>IF(AND(ISNA(MATCH(G10,Invulblad!$F$87:$F$90,0)),ISNA(MATCH(G10,Invulblad!$J$87:$J$90,0))),0,15)</f>
        <v>0</v>
      </c>
      <c r="J10" s="212" t="str">
        <f>G89</f>
        <v>Italië</v>
      </c>
      <c r="L10" s="247">
        <f>IF(AND(ISNA(MATCH(J10,Invulblad!$F$103,0)),ISNA(MATCH(J10,Invulblad!$J$103,0))),0,5)</f>
        <v>0</v>
      </c>
    </row>
    <row r="11" spans="1:17" s="212" customFormat="1" ht="15" customHeight="1">
      <c r="D11" s="215" t="s">
        <v>100</v>
      </c>
      <c r="E11" s="250">
        <f>SUM(C3:E10)</f>
        <v>110</v>
      </c>
      <c r="G11" s="215" t="s">
        <v>92</v>
      </c>
      <c r="H11" s="250">
        <f>SUM(H3:H10)</f>
        <v>75</v>
      </c>
      <c r="J11" s="215" t="s">
        <v>101</v>
      </c>
      <c r="K11" s="216"/>
      <c r="L11" s="250">
        <f>SUM(L9:L10)</f>
        <v>0</v>
      </c>
    </row>
    <row r="12" spans="1:17">
      <c r="B12" s="218" t="s">
        <v>19</v>
      </c>
      <c r="C12" s="218"/>
      <c r="D12" s="218"/>
      <c r="E12" s="219" t="str">
        <f>IF(H89&gt;J89,E89,G89)</f>
        <v>Italië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3</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0</v>
      </c>
      <c r="I15" s="229" t="s">
        <v>29</v>
      </c>
      <c r="J15" s="229">
        <v>0</v>
      </c>
      <c r="K15" s="235">
        <f t="shared" si="2"/>
        <v>3</v>
      </c>
      <c r="L15" s="233">
        <f>VLOOKUP($B15,Invulblad!$A$11:$S$103,13,0)</f>
        <v>3</v>
      </c>
      <c r="M15" s="234">
        <f>IF(L15&lt;&gt;"",VLOOKUP($B15,Invulblad!$A$11:$S$103,7,0),"")</f>
        <v>0</v>
      </c>
      <c r="N15" s="229" t="s">
        <v>29</v>
      </c>
      <c r="O15" s="234">
        <f>IF(L15&lt;&gt;"",VLOOKUP($B15,Invulblad!$A$11:$S$103,9,0),"")</f>
        <v>0</v>
      </c>
      <c r="P15" s="235">
        <f t="shared" si="3"/>
        <v>10</v>
      </c>
    </row>
    <row r="16" spans="1:17">
      <c r="A16" s="205">
        <v>3</v>
      </c>
      <c r="B16" s="212">
        <v>17</v>
      </c>
      <c r="C16" s="226">
        <v>40345</v>
      </c>
      <c r="D16" s="227">
        <v>0.85416666666666663</v>
      </c>
      <c r="E16" s="228" t="s">
        <v>111</v>
      </c>
      <c r="F16" s="229" t="s">
        <v>29</v>
      </c>
      <c r="G16" s="212" t="s">
        <v>112</v>
      </c>
      <c r="H16" s="229">
        <v>0</v>
      </c>
      <c r="I16" s="229" t="s">
        <v>29</v>
      </c>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1</v>
      </c>
      <c r="I17" s="229" t="s">
        <v>29</v>
      </c>
      <c r="J17" s="229">
        <v>2</v>
      </c>
      <c r="K17" s="235">
        <f t="shared" si="2"/>
        <v>2</v>
      </c>
      <c r="L17" s="233">
        <f>VLOOKUP($B17,Invulblad!$A$11:$S$103,13,0)</f>
        <v>2</v>
      </c>
      <c r="M17" s="234">
        <f>IF(L17&lt;&gt;"",VLOOKUP($B17,Invulblad!$A$11:$S$103,7,0),"")</f>
        <v>0</v>
      </c>
      <c r="N17" s="229" t="s">
        <v>29</v>
      </c>
      <c r="O17" s="234">
        <f>IF(L17&lt;&gt;"",VLOOKUP($B17,Invulblad!$A$11:$S$103,9,0),"")</f>
        <v>2</v>
      </c>
      <c r="P17" s="235">
        <f t="shared" si="3"/>
        <v>5</v>
      </c>
    </row>
    <row r="18" spans="1:16">
      <c r="A18" s="205">
        <v>5</v>
      </c>
      <c r="B18" s="212">
        <v>33</v>
      </c>
      <c r="C18" s="226">
        <v>40351</v>
      </c>
      <c r="D18" s="227">
        <v>0.66666666666666663</v>
      </c>
      <c r="E18" s="228" t="s">
        <v>114</v>
      </c>
      <c r="F18" s="229" t="s">
        <v>29</v>
      </c>
      <c r="G18" s="212" t="s">
        <v>112</v>
      </c>
      <c r="H18" s="229">
        <v>0</v>
      </c>
      <c r="I18" s="229" t="s">
        <v>29</v>
      </c>
      <c r="J18" s="229">
        <v>1</v>
      </c>
      <c r="K18" s="235">
        <f t="shared" si="2"/>
        <v>2</v>
      </c>
      <c r="L18" s="233">
        <f>VLOOKUP($B18,Invulblad!$A$11:$S$103,13,0)</f>
        <v>2</v>
      </c>
      <c r="M18" s="234">
        <f>IF(L18&lt;&gt;"",VLOOKUP($B18,Invulblad!$A$11:$S$103,7,0),"")</f>
        <v>0</v>
      </c>
      <c r="N18" s="229" t="s">
        <v>29</v>
      </c>
      <c r="O18" s="234">
        <f>IF(L18&lt;&gt;"",VLOOKUP($B18,Invulblad!$A$11:$S$103,9,0),"")</f>
        <v>1</v>
      </c>
      <c r="P18" s="235">
        <f t="shared" si="3"/>
        <v>10</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2</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0</v>
      </c>
      <c r="I22" s="229" t="s">
        <v>29</v>
      </c>
      <c r="J22" s="229">
        <v>1</v>
      </c>
      <c r="K22" s="235">
        <f t="shared" si="2"/>
        <v>2</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0</v>
      </c>
      <c r="I23" s="229" t="s">
        <v>29</v>
      </c>
      <c r="J23" s="229">
        <v>1</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1</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2</v>
      </c>
      <c r="I29" s="229" t="s">
        <v>29</v>
      </c>
      <c r="J29" s="229">
        <v>2</v>
      </c>
      <c r="K29" s="235">
        <f t="shared" si="2"/>
        <v>3</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1</v>
      </c>
      <c r="I30" s="229" t="s">
        <v>29</v>
      </c>
      <c r="J30" s="229">
        <v>1</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3</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0</v>
      </c>
      <c r="I33" s="229" t="s">
        <v>29</v>
      </c>
      <c r="J33" s="229">
        <v>1</v>
      </c>
      <c r="K33" s="235">
        <f t="shared" si="2"/>
        <v>2</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2</v>
      </c>
      <c r="I37" s="229" t="s">
        <v>29</v>
      </c>
      <c r="J37" s="229">
        <v>1</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0</v>
      </c>
      <c r="I38" s="229" t="s">
        <v>29</v>
      </c>
      <c r="J38" s="229">
        <v>1</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0</v>
      </c>
      <c r="I40" s="229" t="s">
        <v>29</v>
      </c>
      <c r="J40" s="229">
        <v>1</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0</v>
      </c>
      <c r="K45" s="235" t="str">
        <f t="shared" si="2"/>
        <v>1</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3</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3</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1</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3</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5</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3</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0</v>
      </c>
      <c r="I60" s="229" t="s">
        <v>29</v>
      </c>
      <c r="J60" s="229">
        <v>1</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1</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3</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10</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109</v>
      </c>
      <c r="F70" s="229" t="s">
        <v>29</v>
      </c>
      <c r="G70" s="212" t="s">
        <v>122</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240</v>
      </c>
      <c r="H71" s="229">
        <v>1</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126</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260</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274</v>
      </c>
      <c r="H75" s="229">
        <v>3</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10</v>
      </c>
    </row>
    <row r="76" spans="1:16">
      <c r="A76" s="205">
        <v>71</v>
      </c>
      <c r="B76" s="212">
        <v>55</v>
      </c>
      <c r="C76" s="226">
        <v>40358</v>
      </c>
      <c r="D76" s="227">
        <v>0.66666666666666663</v>
      </c>
      <c r="E76" s="223" t="s">
        <v>257</v>
      </c>
      <c r="F76" s="229" t="s">
        <v>29</v>
      </c>
      <c r="G76" s="212" t="s">
        <v>248</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8" t="s">
        <v>200</v>
      </c>
      <c r="F77" s="229" t="s">
        <v>29</v>
      </c>
      <c r="G77" s="222" t="s">
        <v>268</v>
      </c>
      <c r="H77" s="229">
        <v>1</v>
      </c>
      <c r="I77" s="229" t="s">
        <v>29</v>
      </c>
      <c r="J77" s="229">
        <v>1</v>
      </c>
      <c r="K77" s="235">
        <f t="shared" si="8"/>
        <v>3</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0</v>
      </c>
      <c r="I79" s="229" t="s">
        <v>29</v>
      </c>
      <c r="J79" s="229">
        <v>1</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109</v>
      </c>
      <c r="F80" s="229" t="s">
        <v>29</v>
      </c>
      <c r="G80" s="222" t="s">
        <v>124</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1</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3" t="s">
        <v>257</v>
      </c>
      <c r="F82" s="229" t="s">
        <v>29</v>
      </c>
      <c r="G82" s="212" t="s">
        <v>268</v>
      </c>
      <c r="H82" s="229">
        <v>1</v>
      </c>
      <c r="I82" s="229" t="s">
        <v>29</v>
      </c>
      <c r="J82" s="229">
        <v>0</v>
      </c>
      <c r="K82" s="235" t="str">
        <f t="shared" si="13"/>
        <v>1</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0</v>
      </c>
      <c r="I84" s="229" t="s">
        <v>29</v>
      </c>
      <c r="J84" s="229">
        <v>3</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8" t="s">
        <v>116</v>
      </c>
      <c r="F85" s="229" t="s">
        <v>29</v>
      </c>
      <c r="G85" s="222" t="s">
        <v>257</v>
      </c>
      <c r="H85" s="229">
        <v>0</v>
      </c>
      <c r="I85" s="229" t="s">
        <v>29</v>
      </c>
      <c r="J85" s="229">
        <v>1</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116</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257</v>
      </c>
      <c r="H89" s="229">
        <v>0</v>
      </c>
      <c r="I89" s="229" t="s">
        <v>29</v>
      </c>
      <c r="J89" s="229">
        <v>1</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109</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211</v>
      </c>
      <c r="D101" s="241" t="s">
        <v>218</v>
      </c>
      <c r="E101" s="241" t="s">
        <v>213</v>
      </c>
    </row>
    <row r="102" spans="2:5">
      <c r="B102" s="242" t="s">
        <v>214</v>
      </c>
      <c r="C102" s="242" t="s">
        <v>226</v>
      </c>
      <c r="D102" s="242" t="s">
        <v>215</v>
      </c>
      <c r="E102" s="242" t="s">
        <v>217</v>
      </c>
    </row>
    <row r="103" spans="2:5">
      <c r="B103" s="241" t="s">
        <v>109</v>
      </c>
      <c r="C103" s="241" t="s">
        <v>234</v>
      </c>
      <c r="D103" s="241" t="s">
        <v>213</v>
      </c>
      <c r="E103" s="241" t="s">
        <v>213</v>
      </c>
    </row>
    <row r="104" spans="2:5">
      <c r="B104" s="242" t="s">
        <v>107</v>
      </c>
      <c r="C104" s="242" t="s">
        <v>212</v>
      </c>
      <c r="D104" s="242" t="s">
        <v>314</v>
      </c>
      <c r="E104" s="242" t="s">
        <v>218</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213</v>
      </c>
      <c r="D125" s="241" t="s">
        <v>216</v>
      </c>
      <c r="E125" s="241" t="s">
        <v>218</v>
      </c>
    </row>
    <row r="126" spans="1:15">
      <c r="B126" s="242" t="s">
        <v>116</v>
      </c>
      <c r="C126" s="242" t="s">
        <v>225</v>
      </c>
      <c r="D126" s="242" t="s">
        <v>211</v>
      </c>
      <c r="E126" s="242" t="s">
        <v>226</v>
      </c>
    </row>
    <row r="127" spans="1:15">
      <c r="B127" s="241" t="s">
        <v>122</v>
      </c>
      <c r="C127" s="241" t="s">
        <v>226</v>
      </c>
      <c r="D127" s="241" t="s">
        <v>218</v>
      </c>
      <c r="E127" s="241" t="s">
        <v>217</v>
      </c>
    </row>
    <row r="128" spans="1:15">
      <c r="B128" s="242" t="s">
        <v>118</v>
      </c>
      <c r="C128" s="242" t="s">
        <v>212</v>
      </c>
      <c r="D128" s="242" t="s">
        <v>243</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126</v>
      </c>
    </row>
    <row r="146" spans="2:5">
      <c r="B146" s="218" t="s">
        <v>232</v>
      </c>
    </row>
    <row r="148" spans="2:5">
      <c r="B148" s="240" t="s">
        <v>207</v>
      </c>
      <c r="C148" s="240" t="s">
        <v>208</v>
      </c>
      <c r="D148" s="240" t="s">
        <v>209</v>
      </c>
      <c r="E148" s="240" t="s">
        <v>210</v>
      </c>
    </row>
    <row r="149" spans="2:5">
      <c r="B149" s="241" t="s">
        <v>126</v>
      </c>
      <c r="C149" s="241" t="s">
        <v>211</v>
      </c>
      <c r="D149" s="241" t="s">
        <v>227</v>
      </c>
      <c r="E149" s="241" t="s">
        <v>213</v>
      </c>
    </row>
    <row r="150" spans="2:5">
      <c r="B150" s="242" t="s">
        <v>124</v>
      </c>
      <c r="C150" s="242" t="s">
        <v>225</v>
      </c>
      <c r="D150" s="242" t="s">
        <v>226</v>
      </c>
      <c r="E150" s="242" t="s">
        <v>234</v>
      </c>
    </row>
    <row r="151" spans="2:5">
      <c r="B151" s="241" t="s">
        <v>128</v>
      </c>
      <c r="C151" s="241" t="s">
        <v>215</v>
      </c>
      <c r="D151" s="241" t="s">
        <v>216</v>
      </c>
      <c r="E151" s="241" t="s">
        <v>211</v>
      </c>
    </row>
    <row r="152" spans="2:5">
      <c r="B152" s="242" t="s">
        <v>32</v>
      </c>
      <c r="C152" s="242" t="s">
        <v>218</v>
      </c>
      <c r="D152" s="242" t="s">
        <v>233</v>
      </c>
      <c r="E152" s="242" t="s">
        <v>218</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225</v>
      </c>
      <c r="D173" s="241" t="s">
        <v>211</v>
      </c>
      <c r="E173" s="241" t="s">
        <v>226</v>
      </c>
    </row>
    <row r="174" spans="1:15">
      <c r="B174" s="242" t="s">
        <v>242</v>
      </c>
      <c r="C174" s="242" t="s">
        <v>213</v>
      </c>
      <c r="D174" s="242" t="s">
        <v>227</v>
      </c>
      <c r="E174" s="242" t="s">
        <v>218</v>
      </c>
    </row>
    <row r="175" spans="1:15">
      <c r="B175" s="241" t="s">
        <v>244</v>
      </c>
      <c r="C175" s="241" t="s">
        <v>212</v>
      </c>
      <c r="D175" s="241" t="s">
        <v>243</v>
      </c>
      <c r="E175" s="241" t="s">
        <v>218</v>
      </c>
    </row>
    <row r="176" spans="1:15">
      <c r="B176" s="242" t="s">
        <v>240</v>
      </c>
      <c r="C176" s="242" t="s">
        <v>226</v>
      </c>
      <c r="D176" s="242" t="s">
        <v>215</v>
      </c>
      <c r="E176" s="242" t="s">
        <v>211</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15">
      <c r="B194" s="218" t="s">
        <v>249</v>
      </c>
    </row>
    <row r="196" spans="2:15">
      <c r="B196" s="240" t="s">
        <v>207</v>
      </c>
      <c r="C196" s="240" t="s">
        <v>208</v>
      </c>
      <c r="D196" s="240" t="s">
        <v>209</v>
      </c>
      <c r="E196" s="240" t="s">
        <v>210</v>
      </c>
    </row>
    <row r="197" spans="2:15">
      <c r="B197" s="241" t="s">
        <v>178</v>
      </c>
      <c r="C197" s="241" t="s">
        <v>225</v>
      </c>
      <c r="D197" s="241" t="s">
        <v>211</v>
      </c>
      <c r="E197" s="241" t="s">
        <v>226</v>
      </c>
    </row>
    <row r="198" spans="2:15">
      <c r="B198" s="242" t="s">
        <v>250</v>
      </c>
      <c r="C198" s="242" t="s">
        <v>213</v>
      </c>
      <c r="D198" s="242" t="s">
        <v>216</v>
      </c>
      <c r="E198" s="242" t="s">
        <v>213</v>
      </c>
    </row>
    <row r="199" spans="2:15">
      <c r="B199" s="241" t="s">
        <v>251</v>
      </c>
      <c r="C199" s="241" t="s">
        <v>212</v>
      </c>
      <c r="D199" s="241" t="s">
        <v>224</v>
      </c>
      <c r="E199" s="241" t="s">
        <v>218</v>
      </c>
    </row>
    <row r="200" spans="2:15">
      <c r="B200" s="242" t="s">
        <v>248</v>
      </c>
      <c r="C200" s="242" t="s">
        <v>226</v>
      </c>
      <c r="D200" s="242" t="s">
        <v>215</v>
      </c>
      <c r="E200" s="242" t="s">
        <v>211</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260</v>
      </c>
    </row>
    <row r="218" spans="1:10">
      <c r="B218" s="218" t="s">
        <v>258</v>
      </c>
    </row>
    <row r="220" spans="1:10">
      <c r="B220" s="240" t="s">
        <v>207</v>
      </c>
      <c r="C220" s="240" t="s">
        <v>208</v>
      </c>
      <c r="D220" s="240" t="s">
        <v>209</v>
      </c>
      <c r="E220" s="240" t="s">
        <v>210</v>
      </c>
    </row>
    <row r="221" spans="1:10">
      <c r="B221" s="241" t="s">
        <v>257</v>
      </c>
      <c r="C221" s="241" t="s">
        <v>225</v>
      </c>
      <c r="D221" s="241" t="s">
        <v>234</v>
      </c>
      <c r="E221" s="241" t="s">
        <v>316</v>
      </c>
    </row>
    <row r="222" spans="1:10">
      <c r="B222" s="242" t="s">
        <v>259</v>
      </c>
      <c r="C222" s="242" t="s">
        <v>212</v>
      </c>
      <c r="D222" s="242" t="s">
        <v>314</v>
      </c>
      <c r="E222" s="242" t="s">
        <v>218</v>
      </c>
    </row>
    <row r="223" spans="1:10">
      <c r="B223" s="241" t="s">
        <v>182</v>
      </c>
      <c r="C223" s="241" t="s">
        <v>211</v>
      </c>
      <c r="D223" s="241" t="s">
        <v>216</v>
      </c>
      <c r="E223" s="241" t="s">
        <v>213</v>
      </c>
    </row>
    <row r="224" spans="1:10">
      <c r="B224" s="242" t="s">
        <v>260</v>
      </c>
      <c r="C224" s="242" t="s">
        <v>211</v>
      </c>
      <c r="D224" s="242" t="s">
        <v>212</v>
      </c>
      <c r="E224" s="242" t="s">
        <v>211</v>
      </c>
    </row>
    <row r="227" spans="1:15">
      <c r="B227" s="218" t="s">
        <v>261</v>
      </c>
    </row>
    <row r="228" spans="1:15">
      <c r="B228" s="212"/>
    </row>
    <row r="229" spans="1:15">
      <c r="B229" s="212" t="s">
        <v>262</v>
      </c>
    </row>
    <row r="230" spans="1:15">
      <c r="B230" s="212" t="s">
        <v>347</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226</v>
      </c>
      <c r="D245" s="241" t="s">
        <v>211</v>
      </c>
      <c r="E245" s="241" t="s">
        <v>226</v>
      </c>
    </row>
    <row r="246" spans="2:10">
      <c r="B246" s="242" t="s">
        <v>265</v>
      </c>
      <c r="C246" s="242" t="s">
        <v>225</v>
      </c>
      <c r="D246" s="242" t="s">
        <v>234</v>
      </c>
      <c r="E246" s="242" t="s">
        <v>316</v>
      </c>
    </row>
    <row r="247" spans="2:10">
      <c r="B247" s="241" t="s">
        <v>266</v>
      </c>
      <c r="C247" s="241" t="s">
        <v>213</v>
      </c>
      <c r="D247" s="241" t="s">
        <v>216</v>
      </c>
      <c r="E247" s="241" t="s">
        <v>211</v>
      </c>
    </row>
    <row r="248" spans="2:10">
      <c r="B248" s="242" t="s">
        <v>269</v>
      </c>
      <c r="C248" s="242" t="s">
        <v>212</v>
      </c>
      <c r="D248" s="242" t="s">
        <v>333</v>
      </c>
      <c r="E248" s="242" t="s">
        <v>212</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211</v>
      </c>
      <c r="D268" s="241" t="s">
        <v>212</v>
      </c>
      <c r="E268" s="241" t="s">
        <v>211</v>
      </c>
    </row>
    <row r="269" spans="1:5">
      <c r="B269" s="242" t="s">
        <v>200</v>
      </c>
      <c r="C269" s="242" t="s">
        <v>225</v>
      </c>
      <c r="D269" s="242" t="s">
        <v>226</v>
      </c>
      <c r="E269" s="242" t="s">
        <v>234</v>
      </c>
    </row>
    <row r="270" spans="1:5">
      <c r="B270" s="241" t="s">
        <v>276</v>
      </c>
      <c r="C270" s="241" t="s">
        <v>211</v>
      </c>
      <c r="D270" s="241" t="s">
        <v>216</v>
      </c>
      <c r="E270" s="241" t="s">
        <v>215</v>
      </c>
    </row>
    <row r="271" spans="1:5">
      <c r="B271" s="242" t="s">
        <v>277</v>
      </c>
      <c r="C271" s="242" t="s">
        <v>212</v>
      </c>
      <c r="D271" s="242" t="s">
        <v>224</v>
      </c>
      <c r="E271" s="242" t="s">
        <v>218</v>
      </c>
    </row>
    <row r="274" spans="2:15">
      <c r="B274" s="218" t="s">
        <v>278</v>
      </c>
    </row>
    <row r="275" spans="2:15">
      <c r="B275" s="212"/>
    </row>
    <row r="276" spans="2:15">
      <c r="B276" s="212" t="s">
        <v>279</v>
      </c>
    </row>
    <row r="277" spans="2:15">
      <c r="B277" s="212" t="s">
        <v>339</v>
      </c>
    </row>
    <row r="279" spans="2:15">
      <c r="K279" s="243"/>
      <c r="L279" s="244"/>
      <c r="M279" s="243"/>
      <c r="N279" s="243"/>
      <c r="O279" s="243"/>
    </row>
    <row r="280" spans="2:15">
      <c r="B280" s="243"/>
      <c r="C280" s="243"/>
      <c r="D280" s="243"/>
      <c r="E280" s="243"/>
      <c r="F280" s="243"/>
      <c r="G280" s="243"/>
      <c r="H280" s="243"/>
      <c r="I280" s="243"/>
      <c r="J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3.xml><?xml version="1.0" encoding="utf-8"?>
<worksheet xmlns="http://schemas.openxmlformats.org/spreadsheetml/2006/main" xmlns:r="http://schemas.openxmlformats.org/officeDocument/2006/relationships">
  <dimension ref="A1:R310"/>
  <sheetViews>
    <sheetView showGridLines="0" topLeftCell="A61" zoomScale="80" zoomScaleNormal="80" workbookViewId="0">
      <selection activeCell="F12" sqref="F12"/>
    </sheetView>
  </sheetViews>
  <sheetFormatPr defaultRowHeight="15"/>
  <cols>
    <col min="1" max="1" width="6.7109375" style="205" customWidth="1"/>
    <col min="2" max="2" width="8" style="206" customWidth="1"/>
    <col min="3" max="3" width="8.28515625" style="206" customWidth="1"/>
    <col min="4" max="4" width="12" style="206" customWidth="1"/>
    <col min="5" max="5" width="15.7109375" style="206" customWidth="1"/>
    <col min="6" max="6" width="3.140625" style="206" customWidth="1"/>
    <col min="7" max="7" width="15.7109375" style="206" customWidth="1"/>
    <col min="8" max="8" width="4.140625" style="206" customWidth="1"/>
    <col min="9" max="9" width="2.28515625" style="206" customWidth="1"/>
    <col min="10" max="10" width="4.710937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8" s="210" customFormat="1" ht="21" customHeight="1">
      <c r="A1" s="208"/>
      <c r="B1" s="209" t="s">
        <v>358</v>
      </c>
      <c r="L1" s="211"/>
      <c r="P1" s="210">
        <f>SUM(P14:P89)+E11+H11+L7+L11</f>
        <v>445</v>
      </c>
    </row>
    <row r="2" spans="1:18" s="212" customFormat="1" ht="15" customHeight="1">
      <c r="B2" s="213" t="s">
        <v>97</v>
      </c>
      <c r="G2" s="213" t="s">
        <v>98</v>
      </c>
      <c r="J2" s="213" t="s">
        <v>99</v>
      </c>
      <c r="L2" s="214"/>
    </row>
    <row r="3" spans="1:18" s="212" customFormat="1" ht="15" customHeight="1">
      <c r="B3" s="212" t="str">
        <f t="shared" ref="B3:B10" si="0">E70</f>
        <v>Frankrijk</v>
      </c>
      <c r="C3" s="247">
        <f>IF(AND(ISNA(MATCH(B3,Invulblad!$F$76:$F$83,0)),ISNA(MATCH(B3,Invulblad!$J$76:$J$83,0))),0,10)</f>
        <v>0</v>
      </c>
      <c r="D3" s="212" t="str">
        <f t="shared" ref="D3:D10" si="1">G70</f>
        <v>Griekenland</v>
      </c>
      <c r="E3" s="247">
        <f>IF(AND(ISNA(MATCH(D3,Invulblad!$F$76:$F$83,0)),ISNA(MATCH(D3,Invulblad!$J$76:$J$83,0))),0,10)</f>
        <v>0</v>
      </c>
      <c r="G3" s="212" t="str">
        <f>E79</f>
        <v>Nederland</v>
      </c>
      <c r="H3" s="247">
        <f>IF(AND(ISNA(MATCH(G3,Invulblad!$F$87:$F$90,0)),ISNA(MATCH(G3,Invulblad!$J$87:$J$90,0))),0,15)</f>
        <v>15</v>
      </c>
      <c r="J3" s="212" t="str">
        <f>E84</f>
        <v>Frankrijk</v>
      </c>
      <c r="L3" s="247">
        <f>IF(AND(ISNA(MATCH(J3,Invulblad!$F$94:$F$95,0)),ISNA(MATCH(J3,Invulblad!$J$94:$J$95,0))),0,20+25)</f>
        <v>0</v>
      </c>
      <c r="Q3" s="248"/>
    </row>
    <row r="4" spans="1:18"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8"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8" s="212" customFormat="1" ht="15" customHeight="1">
      <c r="B6" s="212" t="str">
        <f t="shared" si="0"/>
        <v>Argentinië</v>
      </c>
      <c r="C6" s="247">
        <f>IF(AND(ISNA(MATCH(B6,Invulblad!$F$76:$F$83,0)),ISNA(MATCH(B6,Invulblad!$J$76:$J$83,0))),0,10)</f>
        <v>10</v>
      </c>
      <c r="D6" s="212" t="str">
        <f t="shared" si="1"/>
        <v>Uruguay</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8"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90</v>
      </c>
    </row>
    <row r="8" spans="1:18" s="212" customFormat="1" ht="15" customHeight="1">
      <c r="B8" s="212" t="str">
        <f t="shared" si="0"/>
        <v>Brazilië</v>
      </c>
      <c r="C8" s="247">
        <f>IF(AND(ISNA(MATCH(B8,Invulblad!$F$76:$F$83,0)),ISNA(MATCH(B8,Invulblad!$J$76:$J$83,0))),0,10)</f>
        <v>10</v>
      </c>
      <c r="D8" s="212" t="str">
        <f t="shared" si="1"/>
        <v>Zwitserland</v>
      </c>
      <c r="E8" s="247">
        <f>IF(AND(ISNA(MATCH(D8,Invulblad!$F$76:$F$83,0)),ISNA(MATCH(D8,Invulblad!$J$76:$J$83,0))),0,10)</f>
        <v>0</v>
      </c>
      <c r="G8" s="212" t="str">
        <f>G80</f>
        <v>Engeland</v>
      </c>
      <c r="H8" s="247">
        <f>IF(AND(ISNA(MATCH(G8,Invulblad!$F$87:$F$90,0)),ISNA(MATCH(G8,Invulblad!$J$87:$J$90,0))),0,15)</f>
        <v>0</v>
      </c>
      <c r="J8" s="213" t="s">
        <v>49</v>
      </c>
      <c r="L8" s="214"/>
    </row>
    <row r="9" spans="1:18"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8"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Spanje</v>
      </c>
      <c r="L10" s="247">
        <f>IF(AND(ISNA(MATCH(J10,Invulblad!$F$103,0)),ISNA(MATCH(J10,Invulblad!$J$103,0))),0,5)</f>
        <v>0</v>
      </c>
    </row>
    <row r="11" spans="1:18" s="212" customFormat="1" ht="15" customHeight="1">
      <c r="D11" s="215" t="s">
        <v>100</v>
      </c>
      <c r="E11" s="250">
        <f>SUM(C3:E10)</f>
        <v>100</v>
      </c>
      <c r="G11" s="215" t="s">
        <v>92</v>
      </c>
      <c r="H11" s="250">
        <f>SUM(H3:H10)</f>
        <v>75</v>
      </c>
      <c r="J11" s="215" t="s">
        <v>101</v>
      </c>
      <c r="K11" s="216"/>
      <c r="L11" s="250">
        <f>SUM(L9:L10)</f>
        <v>0</v>
      </c>
    </row>
    <row r="12" spans="1:18" ht="15" customHeight="1">
      <c r="B12" s="218" t="s">
        <v>19</v>
      </c>
      <c r="C12" s="218"/>
      <c r="D12" s="218"/>
      <c r="E12" s="219" t="str">
        <f>IF(H89&gt;J89,E89,G89)</f>
        <v>Brazilië</v>
      </c>
      <c r="F12" s="251">
        <f>IF(ISNA(MATCH(E12,Invulblad!F104,0)),0,50)</f>
        <v>0</v>
      </c>
      <c r="G12" s="218"/>
      <c r="H12" s="218"/>
      <c r="I12" s="218"/>
      <c r="J12" s="218"/>
      <c r="K12" s="218"/>
      <c r="L12" s="221"/>
      <c r="M12" s="218"/>
      <c r="N12" s="218"/>
      <c r="O12" s="218"/>
    </row>
    <row r="13" spans="1:18" ht="15" customHeight="1">
      <c r="A13" s="205" t="s">
        <v>102</v>
      </c>
      <c r="B13" s="222" t="s">
        <v>359</v>
      </c>
      <c r="C13" s="222"/>
      <c r="D13" s="222"/>
      <c r="E13" s="223"/>
      <c r="F13" s="224"/>
      <c r="G13" s="222"/>
      <c r="H13" s="224" t="s">
        <v>104</v>
      </c>
      <c r="I13" s="224"/>
      <c r="J13" s="224"/>
      <c r="K13" s="224" t="s">
        <v>20</v>
      </c>
      <c r="L13" s="225"/>
      <c r="M13" s="224" t="s">
        <v>105</v>
      </c>
      <c r="N13" s="224"/>
      <c r="O13" s="224"/>
      <c r="P13" s="218" t="s">
        <v>106</v>
      </c>
      <c r="Q13" s="224"/>
      <c r="R13" s="224"/>
    </row>
    <row r="14" spans="1:18" ht="15" customHeight="1">
      <c r="A14" s="205">
        <v>1</v>
      </c>
      <c r="B14" s="212">
        <v>1</v>
      </c>
      <c r="C14" s="226">
        <v>40340</v>
      </c>
      <c r="D14" s="227">
        <v>0.66666666666666663</v>
      </c>
      <c r="E14" s="228" t="s">
        <v>111</v>
      </c>
      <c r="F14" s="229" t="s">
        <v>29</v>
      </c>
      <c r="G14" s="212" t="s">
        <v>360</v>
      </c>
      <c r="H14" s="229">
        <v>1</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8" ht="15" customHeight="1">
      <c r="A15" s="205">
        <v>2</v>
      </c>
      <c r="B15" s="212">
        <v>2</v>
      </c>
      <c r="C15" s="226">
        <v>40340</v>
      </c>
      <c r="D15" s="227">
        <v>0.85416666666666663</v>
      </c>
      <c r="E15" s="228" t="s">
        <v>301</v>
      </c>
      <c r="F15" s="229" t="s">
        <v>29</v>
      </c>
      <c r="G15" s="212" t="s">
        <v>361</v>
      </c>
      <c r="H15" s="229">
        <v>0</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8" ht="15" customHeight="1">
      <c r="A16" s="205">
        <v>3</v>
      </c>
      <c r="B16" s="212">
        <v>17</v>
      </c>
      <c r="C16" s="226">
        <v>40345</v>
      </c>
      <c r="D16" s="227">
        <v>0.85416666666666663</v>
      </c>
      <c r="E16" s="228" t="s">
        <v>111</v>
      </c>
      <c r="F16" s="229" t="s">
        <v>29</v>
      </c>
      <c r="G16" s="212" t="s">
        <v>362</v>
      </c>
      <c r="H16" s="229">
        <v>0</v>
      </c>
      <c r="I16" s="229" t="s">
        <v>29</v>
      </c>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ht="15" customHeight="1">
      <c r="A17" s="205">
        <v>4</v>
      </c>
      <c r="B17" s="212">
        <v>18</v>
      </c>
      <c r="C17" s="226">
        <v>40346</v>
      </c>
      <c r="D17" s="227">
        <v>0.85416666666666663</v>
      </c>
      <c r="E17" s="223" t="s">
        <v>363</v>
      </c>
      <c r="F17" s="229" t="s">
        <v>29</v>
      </c>
      <c r="G17" s="212" t="s">
        <v>108</v>
      </c>
      <c r="H17" s="229">
        <v>2</v>
      </c>
      <c r="I17" s="229" t="s">
        <v>29</v>
      </c>
      <c r="J17" s="229">
        <v>0</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ht="15" customHeight="1">
      <c r="A18" s="205">
        <v>5</v>
      </c>
      <c r="B18" s="212">
        <v>33</v>
      </c>
      <c r="C18" s="226">
        <v>40351</v>
      </c>
      <c r="D18" s="227">
        <v>0.66666666666666663</v>
      </c>
      <c r="E18" s="228" t="s">
        <v>114</v>
      </c>
      <c r="F18" s="229" t="s">
        <v>29</v>
      </c>
      <c r="G18" s="212" t="s">
        <v>112</v>
      </c>
      <c r="H18" s="229">
        <v>1</v>
      </c>
      <c r="I18" s="229" t="s">
        <v>29</v>
      </c>
      <c r="J18" s="229">
        <v>1</v>
      </c>
      <c r="K18" s="235">
        <f t="shared" si="2"/>
        <v>3</v>
      </c>
      <c r="L18" s="233">
        <f>VLOOKUP($B18,Invulblad!$A$11:$S$103,13,0)</f>
        <v>2</v>
      </c>
      <c r="M18" s="234">
        <f>IF(L18&lt;&gt;"",VLOOKUP($B18,Invulblad!$A$11:$S$103,7,0),"")</f>
        <v>0</v>
      </c>
      <c r="N18" s="229" t="s">
        <v>29</v>
      </c>
      <c r="O18" s="234">
        <f>IF(L18&lt;&gt;"",VLOOKUP($B18,Invulblad!$A$11:$S$103,9,0),"")</f>
        <v>1</v>
      </c>
      <c r="P18" s="235">
        <f t="shared" si="3"/>
        <v>0</v>
      </c>
    </row>
    <row r="19" spans="1:16" ht="15" customHeight="1">
      <c r="A19" s="205">
        <v>6</v>
      </c>
      <c r="B19" s="212">
        <v>34</v>
      </c>
      <c r="C19" s="226">
        <v>40351</v>
      </c>
      <c r="D19" s="227">
        <v>0.66666666666666663</v>
      </c>
      <c r="E19" s="223" t="s">
        <v>363</v>
      </c>
      <c r="F19" s="229" t="s">
        <v>29</v>
      </c>
      <c r="G19" s="212" t="s">
        <v>115</v>
      </c>
      <c r="H19" s="229">
        <v>3</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ht="15" customHeight="1">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ht="15" customHeight="1">
      <c r="A21" s="205">
        <v>9</v>
      </c>
      <c r="B21" s="212">
        <v>3</v>
      </c>
      <c r="C21" s="226">
        <v>40341</v>
      </c>
      <c r="D21" s="227">
        <v>0.66666666666666663</v>
      </c>
      <c r="E21" s="223" t="s">
        <v>364</v>
      </c>
      <c r="F21" s="229" t="s">
        <v>29</v>
      </c>
      <c r="G21" s="212" t="s">
        <v>117</v>
      </c>
      <c r="H21" s="229">
        <v>3</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ht="15" customHeight="1">
      <c r="A22" s="205">
        <v>10</v>
      </c>
      <c r="B22" s="212">
        <v>4</v>
      </c>
      <c r="C22" s="226">
        <v>40341</v>
      </c>
      <c r="D22" s="227">
        <v>0.5625</v>
      </c>
      <c r="E22" s="228" t="s">
        <v>303</v>
      </c>
      <c r="F22" s="229" t="s">
        <v>29</v>
      </c>
      <c r="G22" s="212" t="s">
        <v>365</v>
      </c>
      <c r="H22" s="229">
        <v>1</v>
      </c>
      <c r="I22" s="229" t="s">
        <v>29</v>
      </c>
      <c r="J22" s="229">
        <v>2</v>
      </c>
      <c r="K22" s="235">
        <f t="shared" si="2"/>
        <v>2</v>
      </c>
      <c r="L22" s="233" t="str">
        <f>VLOOKUP($B22,Invulblad!$A$11:$S$103,13,0)</f>
        <v>1</v>
      </c>
      <c r="M22" s="234">
        <f>IF(L22&lt;&gt;"",VLOOKUP($B22,Invulblad!$A$11:$S$103,7,0),"")</f>
        <v>2</v>
      </c>
      <c r="N22" s="229" t="s">
        <v>29</v>
      </c>
      <c r="O22" s="234">
        <f>IF(L22&lt;&gt;"",VLOOKUP($B22,Invulblad!$A$11:$S$103,9,0),"")</f>
        <v>0</v>
      </c>
      <c r="P22" s="235">
        <f t="shared" si="4"/>
        <v>0</v>
      </c>
    </row>
    <row r="23" spans="1:16" ht="15" customHeight="1">
      <c r="A23" s="205">
        <v>11</v>
      </c>
      <c r="B23" s="212">
        <v>19</v>
      </c>
      <c r="C23" s="226">
        <v>40346</v>
      </c>
      <c r="D23" s="227">
        <v>0.66666666666666663</v>
      </c>
      <c r="E23" s="223" t="s">
        <v>366</v>
      </c>
      <c r="F23" s="229" t="s">
        <v>29</v>
      </c>
      <c r="G23" s="212" t="s">
        <v>117</v>
      </c>
      <c r="H23" s="229">
        <v>1</v>
      </c>
      <c r="I23" s="229" t="s">
        <v>29</v>
      </c>
      <c r="J23" s="229">
        <v>0</v>
      </c>
      <c r="K23" s="235" t="str">
        <f t="shared" si="2"/>
        <v>1</v>
      </c>
      <c r="L23" s="233" t="str">
        <f>VLOOKUP($B23,Invulblad!$A$11:$S$103,13,0)</f>
        <v>1</v>
      </c>
      <c r="M23" s="234">
        <f>IF(L23&lt;&gt;"",VLOOKUP($B23,Invulblad!$A$11:$S$103,7,0),"")</f>
        <v>2</v>
      </c>
      <c r="N23" s="229" t="s">
        <v>29</v>
      </c>
      <c r="O23" s="234">
        <f>IF(L23&lt;&gt;"",VLOOKUP($B23,Invulblad!$A$11:$S$103,9,0),"")</f>
        <v>1</v>
      </c>
      <c r="P23" s="235">
        <f t="shared" si="4"/>
        <v>5</v>
      </c>
    </row>
    <row r="24" spans="1:16" ht="15" customHeight="1">
      <c r="A24" s="205">
        <v>12</v>
      </c>
      <c r="B24" s="212">
        <v>20</v>
      </c>
      <c r="C24" s="226">
        <v>40346</v>
      </c>
      <c r="D24" s="227">
        <v>0.5625</v>
      </c>
      <c r="E24" s="223" t="s">
        <v>364</v>
      </c>
      <c r="F24" s="229" t="s">
        <v>29</v>
      </c>
      <c r="G24" s="212" t="s">
        <v>121</v>
      </c>
      <c r="H24" s="229">
        <v>2</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ht="15" customHeight="1">
      <c r="A25" s="205">
        <v>13</v>
      </c>
      <c r="B25" s="212">
        <v>35</v>
      </c>
      <c r="C25" s="226">
        <v>40351</v>
      </c>
      <c r="D25" s="227">
        <v>0.85416666666666663</v>
      </c>
      <c r="E25" s="228" t="s">
        <v>305</v>
      </c>
      <c r="F25" s="229" t="s">
        <v>29</v>
      </c>
      <c r="G25" s="212" t="s">
        <v>121</v>
      </c>
      <c r="H25" s="229">
        <v>1</v>
      </c>
      <c r="I25" s="229" t="s">
        <v>29</v>
      </c>
      <c r="J25" s="229">
        <v>1</v>
      </c>
      <c r="K25" s="235">
        <f t="shared" si="2"/>
        <v>3</v>
      </c>
      <c r="L25" s="233">
        <f>VLOOKUP($B25,Invulblad!$A$11:$S$103,13,0)</f>
        <v>3</v>
      </c>
      <c r="M25" s="234">
        <f>IF(L25&lt;&gt;"",VLOOKUP($B25,Invulblad!$A$11:$S$103,7,0),"")</f>
        <v>2</v>
      </c>
      <c r="N25" s="229" t="s">
        <v>29</v>
      </c>
      <c r="O25" s="234">
        <f>IF(L25&lt;&gt;"",VLOOKUP($B25,Invulblad!$A$11:$S$103,9,0),"")</f>
        <v>2</v>
      </c>
      <c r="P25" s="235">
        <f t="shared" si="4"/>
        <v>5</v>
      </c>
    </row>
    <row r="26" spans="1:16" ht="15" customHeight="1">
      <c r="A26" s="205">
        <v>14</v>
      </c>
      <c r="B26" s="212">
        <v>36</v>
      </c>
      <c r="C26" s="226">
        <v>40351</v>
      </c>
      <c r="D26" s="227">
        <v>0.85416666666666663</v>
      </c>
      <c r="E26" s="228" t="s">
        <v>304</v>
      </c>
      <c r="F26" s="229" t="s">
        <v>29</v>
      </c>
      <c r="G26" s="212" t="s">
        <v>367</v>
      </c>
      <c r="H26" s="229">
        <v>1</v>
      </c>
      <c r="I26" s="229" t="s">
        <v>29</v>
      </c>
      <c r="J26" s="229">
        <v>2</v>
      </c>
      <c r="K26" s="235">
        <f t="shared" si="2"/>
        <v>2</v>
      </c>
      <c r="L26" s="233">
        <f>VLOOKUP($B26,Invulblad!$A$11:$S$103,13,0)</f>
        <v>2</v>
      </c>
      <c r="M26" s="234">
        <f>IF(L26&lt;&gt;"",VLOOKUP($B26,Invulblad!$A$11:$S$103,7,0),"")</f>
        <v>0</v>
      </c>
      <c r="N26" s="229" t="s">
        <v>29</v>
      </c>
      <c r="O26" s="234">
        <f>IF(L26&lt;&gt;"",VLOOKUP($B26,Invulblad!$A$11:$S$103,9,0),"")</f>
        <v>2</v>
      </c>
      <c r="P26" s="235">
        <f t="shared" si="4"/>
        <v>5</v>
      </c>
    </row>
    <row r="27" spans="1:16" ht="15" customHeight="1">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ht="15" customHeight="1">
      <c r="A28" s="205">
        <v>17</v>
      </c>
      <c r="B28" s="212">
        <v>5</v>
      </c>
      <c r="C28" s="226">
        <v>40341</v>
      </c>
      <c r="D28" s="227">
        <v>0.85416666666666663</v>
      </c>
      <c r="E28" s="223" t="s">
        <v>368</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ht="15" customHeight="1">
      <c r="A29" s="205">
        <v>18</v>
      </c>
      <c r="B29" s="212">
        <v>6</v>
      </c>
      <c r="C29" s="226">
        <v>40342</v>
      </c>
      <c r="D29" s="227">
        <v>0.5625</v>
      </c>
      <c r="E29" s="228" t="s">
        <v>307</v>
      </c>
      <c r="F29" s="229" t="s">
        <v>29</v>
      </c>
      <c r="G29" s="212" t="s">
        <v>369</v>
      </c>
      <c r="H29" s="229">
        <v>1</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ht="15" customHeight="1">
      <c r="A30" s="205">
        <v>19</v>
      </c>
      <c r="B30" s="212">
        <v>22</v>
      </c>
      <c r="C30" s="226">
        <v>40347</v>
      </c>
      <c r="D30" s="227">
        <v>0.66666666666666663</v>
      </c>
      <c r="E30" s="228" t="s">
        <v>308</v>
      </c>
      <c r="F30" s="229" t="s">
        <v>29</v>
      </c>
      <c r="G30" s="212" t="s">
        <v>370</v>
      </c>
      <c r="H30" s="229">
        <v>1</v>
      </c>
      <c r="I30" s="229" t="s">
        <v>29</v>
      </c>
      <c r="J30" s="229">
        <v>2</v>
      </c>
      <c r="K30" s="235">
        <f t="shared" si="2"/>
        <v>2</v>
      </c>
      <c r="L30" s="233">
        <f>VLOOKUP($B30,Invulblad!$A$11:$S$103,13,0)</f>
        <v>3</v>
      </c>
      <c r="M30" s="234">
        <f>IF(L30&lt;&gt;"",VLOOKUP($B30,Invulblad!$A$11:$S$103,7,0),"")</f>
        <v>2</v>
      </c>
      <c r="N30" s="229" t="s">
        <v>29</v>
      </c>
      <c r="O30" s="234">
        <f>IF(L30&lt;&gt;"",VLOOKUP($B30,Invulblad!$A$11:$S$103,9,0),"")</f>
        <v>2</v>
      </c>
      <c r="P30" s="235">
        <f t="shared" si="5"/>
        <v>0</v>
      </c>
    </row>
    <row r="31" spans="1:16" ht="15" customHeight="1">
      <c r="A31" s="205">
        <v>20</v>
      </c>
      <c r="B31" s="212">
        <v>23</v>
      </c>
      <c r="C31" s="226">
        <v>40347</v>
      </c>
      <c r="D31" s="227">
        <v>0.85416666666666663</v>
      </c>
      <c r="E31" s="223" t="s">
        <v>368</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ht="15" customHeight="1">
      <c r="A32" s="205">
        <v>21</v>
      </c>
      <c r="B32" s="212">
        <v>37</v>
      </c>
      <c r="C32" s="226">
        <v>40352</v>
      </c>
      <c r="D32" s="227">
        <v>0.66666666666666663</v>
      </c>
      <c r="E32" s="228" t="s">
        <v>308</v>
      </c>
      <c r="F32" s="229" t="s">
        <v>29</v>
      </c>
      <c r="G32" s="212" t="s">
        <v>371</v>
      </c>
      <c r="H32" s="229">
        <v>0</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ht="15" customHeight="1">
      <c r="A33" s="205">
        <v>22</v>
      </c>
      <c r="B33" s="212">
        <v>38</v>
      </c>
      <c r="C33" s="226">
        <v>40352</v>
      </c>
      <c r="D33" s="227">
        <v>0.66666666666666663</v>
      </c>
      <c r="E33" s="223" t="s">
        <v>372</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ht="15" customHeight="1">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ht="15" customHeight="1">
      <c r="A35" s="205">
        <v>25</v>
      </c>
      <c r="B35" s="212">
        <v>7</v>
      </c>
      <c r="C35" s="226">
        <v>40342</v>
      </c>
      <c r="D35" s="227">
        <v>0.85416666666666663</v>
      </c>
      <c r="E35" s="223" t="s">
        <v>373</v>
      </c>
      <c r="F35" s="229" t="s">
        <v>29</v>
      </c>
      <c r="G35" s="212" t="s">
        <v>132</v>
      </c>
      <c r="H35" s="229">
        <v>3</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ht="15" customHeight="1">
      <c r="A36" s="205">
        <v>26</v>
      </c>
      <c r="B36" s="212">
        <v>8</v>
      </c>
      <c r="C36" s="226">
        <v>40342</v>
      </c>
      <c r="D36" s="227">
        <v>0.66666666666666663</v>
      </c>
      <c r="E36" s="223" t="s">
        <v>374</v>
      </c>
      <c r="F36" s="229" t="s">
        <v>29</v>
      </c>
      <c r="G36" s="212" t="s">
        <v>134</v>
      </c>
      <c r="H36" s="229">
        <v>2</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ht="15" customHeight="1">
      <c r="A37" s="205">
        <v>27</v>
      </c>
      <c r="B37" s="212">
        <v>21</v>
      </c>
      <c r="C37" s="226">
        <v>40347</v>
      </c>
      <c r="D37" s="227">
        <v>0.5625</v>
      </c>
      <c r="E37" s="223" t="s">
        <v>373</v>
      </c>
      <c r="F37" s="229" t="s">
        <v>29</v>
      </c>
      <c r="G37" s="212" t="s">
        <v>135</v>
      </c>
      <c r="H37" s="229">
        <v>2</v>
      </c>
      <c r="I37" s="229" t="s">
        <v>29</v>
      </c>
      <c r="J37" s="229">
        <v>1</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ht="15" customHeight="1">
      <c r="A38" s="205">
        <v>28</v>
      </c>
      <c r="B38" s="212">
        <v>24</v>
      </c>
      <c r="C38" s="226">
        <v>40348</v>
      </c>
      <c r="D38" s="227">
        <v>0.66666666666666663</v>
      </c>
      <c r="E38" s="228" t="s">
        <v>136</v>
      </c>
      <c r="F38" s="229" t="s">
        <v>29</v>
      </c>
      <c r="G38" s="212" t="s">
        <v>375</v>
      </c>
      <c r="H38" s="229">
        <v>1</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ht="15" customHeight="1">
      <c r="A39" s="205">
        <v>29</v>
      </c>
      <c r="B39" s="212">
        <v>39</v>
      </c>
      <c r="C39" s="226">
        <v>40352</v>
      </c>
      <c r="D39" s="227">
        <v>0.85416666666666663</v>
      </c>
      <c r="E39" s="228" t="s">
        <v>136</v>
      </c>
      <c r="F39" s="229" t="s">
        <v>29</v>
      </c>
      <c r="G39" s="212" t="s">
        <v>376</v>
      </c>
      <c r="H39" s="229">
        <v>1</v>
      </c>
      <c r="I39" s="229" t="s">
        <v>29</v>
      </c>
      <c r="J39" s="229">
        <v>4</v>
      </c>
      <c r="K39" s="235">
        <f t="shared" si="2"/>
        <v>2</v>
      </c>
      <c r="L39" s="233">
        <f>VLOOKUP($B39,Invulblad!$A$11:$S$103,13,0)</f>
        <v>2</v>
      </c>
      <c r="M39" s="234">
        <f>IF(L39&lt;&gt;"",VLOOKUP($B39,Invulblad!$A$11:$S$103,7,0),"")</f>
        <v>0</v>
      </c>
      <c r="N39" s="229" t="s">
        <v>29</v>
      </c>
      <c r="O39" s="234">
        <f>IF(L39&lt;&gt;"",VLOOKUP($B39,Invulblad!$A$11:$S$103,9,0),"")</f>
        <v>1</v>
      </c>
      <c r="P39" s="235">
        <f t="shared" si="6"/>
        <v>5</v>
      </c>
    </row>
    <row r="40" spans="1:16" ht="15" customHeight="1">
      <c r="A40" s="205">
        <v>30</v>
      </c>
      <c r="B40" s="212">
        <v>40</v>
      </c>
      <c r="C40" s="226">
        <v>40352</v>
      </c>
      <c r="D40" s="227">
        <v>0.85416666666666663</v>
      </c>
      <c r="E40" s="228" t="s">
        <v>138</v>
      </c>
      <c r="F40" s="229" t="s">
        <v>29</v>
      </c>
      <c r="G40" s="212" t="s">
        <v>135</v>
      </c>
      <c r="H40" s="229">
        <v>1</v>
      </c>
      <c r="I40" s="229" t="s">
        <v>29</v>
      </c>
      <c r="J40" s="229">
        <v>1</v>
      </c>
      <c r="K40" s="235">
        <f t="shared" si="2"/>
        <v>3</v>
      </c>
      <c r="L40" s="233" t="str">
        <f>VLOOKUP($B40,Invulblad!$A$11:$S$103,13,0)</f>
        <v>1</v>
      </c>
      <c r="M40" s="234">
        <f>IF(L40&lt;&gt;"",VLOOKUP($B40,Invulblad!$A$11:$S$103,7,0),"")</f>
        <v>2</v>
      </c>
      <c r="N40" s="229" t="s">
        <v>29</v>
      </c>
      <c r="O40" s="234">
        <f>IF(L40&lt;&gt;"",VLOOKUP($B40,Invulblad!$A$11:$S$103,9,0),"")</f>
        <v>1</v>
      </c>
      <c r="P40" s="235">
        <f t="shared" si="6"/>
        <v>0</v>
      </c>
    </row>
    <row r="41" spans="1:16" ht="15" customHeight="1">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ht="15" customHeight="1">
      <c r="A42" s="205">
        <v>33</v>
      </c>
      <c r="B42" s="212">
        <v>9</v>
      </c>
      <c r="C42" s="226">
        <v>40343</v>
      </c>
      <c r="D42" s="227">
        <v>0.5625</v>
      </c>
      <c r="E42" s="223" t="s">
        <v>377</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ht="15" customHeight="1">
      <c r="A43" s="205">
        <v>34</v>
      </c>
      <c r="B43" s="212">
        <v>10</v>
      </c>
      <c r="C43" s="226">
        <v>40343</v>
      </c>
      <c r="D43" s="227">
        <v>0.66666666666666663</v>
      </c>
      <c r="E43" s="228" t="s">
        <v>141</v>
      </c>
      <c r="F43" s="229" t="s">
        <v>29</v>
      </c>
      <c r="G43" s="212" t="s">
        <v>378</v>
      </c>
      <c r="H43" s="229">
        <v>1</v>
      </c>
      <c r="I43" s="229" t="s">
        <v>29</v>
      </c>
      <c r="J43" s="229">
        <v>3</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ht="15" customHeight="1">
      <c r="A44" s="205">
        <v>35</v>
      </c>
      <c r="B44" s="212">
        <v>25</v>
      </c>
      <c r="C44" s="226">
        <v>40348</v>
      </c>
      <c r="D44" s="227">
        <v>0.5625</v>
      </c>
      <c r="E44" s="223" t="s">
        <v>377</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ht="15" customHeight="1">
      <c r="A45" s="205">
        <v>36</v>
      </c>
      <c r="B45" s="212">
        <v>26</v>
      </c>
      <c r="C45" s="226">
        <v>40348</v>
      </c>
      <c r="D45" s="227">
        <v>0.85416666666666663</v>
      </c>
      <c r="E45" s="228" t="s">
        <v>144</v>
      </c>
      <c r="F45" s="229" t="s">
        <v>29</v>
      </c>
      <c r="G45" s="212" t="s">
        <v>140</v>
      </c>
      <c r="H45" s="229">
        <v>2</v>
      </c>
      <c r="I45" s="229" t="s">
        <v>29</v>
      </c>
      <c r="J45" s="229">
        <v>2</v>
      </c>
      <c r="K45" s="235">
        <f t="shared" si="2"/>
        <v>3</v>
      </c>
      <c r="L45" s="233">
        <f>VLOOKUP($B45,Invulblad!$A$11:$S$103,13,0)</f>
        <v>2</v>
      </c>
      <c r="M45" s="234">
        <f>IF(L45&lt;&gt;"",VLOOKUP($B45,Invulblad!$A$11:$S$103,7,0),"")</f>
        <v>1</v>
      </c>
      <c r="N45" s="229" t="s">
        <v>29</v>
      </c>
      <c r="O45" s="234">
        <f>IF(L45&lt;&gt;"",VLOOKUP($B45,Invulblad!$A$11:$S$103,9,0),"")</f>
        <v>2</v>
      </c>
      <c r="P45" s="235">
        <f t="shared" si="7"/>
        <v>0</v>
      </c>
    </row>
    <row r="46" spans="1:16" ht="15" customHeight="1">
      <c r="A46" s="205">
        <v>37</v>
      </c>
      <c r="B46" s="212">
        <v>43</v>
      </c>
      <c r="C46" s="226">
        <v>40353</v>
      </c>
      <c r="D46" s="227">
        <v>0.85416666666666663</v>
      </c>
      <c r="E46" s="223" t="s">
        <v>379</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ht="15" customHeight="1">
      <c r="A47" s="205">
        <v>38</v>
      </c>
      <c r="B47" s="212">
        <v>44</v>
      </c>
      <c r="C47" s="226">
        <v>40353</v>
      </c>
      <c r="D47" s="227">
        <v>0.85416666666666663</v>
      </c>
      <c r="E47" s="228" t="s">
        <v>144</v>
      </c>
      <c r="F47" s="229" t="s">
        <v>29</v>
      </c>
      <c r="G47" s="212" t="s">
        <v>380</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ht="15" customHeight="1">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ht="15" customHeight="1">
      <c r="A49" s="205">
        <v>41</v>
      </c>
      <c r="B49" s="212">
        <v>11</v>
      </c>
      <c r="C49" s="226">
        <v>40343</v>
      </c>
      <c r="D49" s="227">
        <v>0.85416666666666663</v>
      </c>
      <c r="E49" s="223" t="s">
        <v>381</v>
      </c>
      <c r="F49" s="229" t="s">
        <v>29</v>
      </c>
      <c r="G49" s="212" t="s">
        <v>148</v>
      </c>
      <c r="H49" s="229">
        <v>2</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ht="15" customHeight="1">
      <c r="A50" s="205">
        <v>42</v>
      </c>
      <c r="B50" s="212">
        <v>12</v>
      </c>
      <c r="C50" s="226">
        <v>40344</v>
      </c>
      <c r="D50" s="227">
        <v>0.5625</v>
      </c>
      <c r="E50" s="228" t="s">
        <v>149</v>
      </c>
      <c r="F50" s="229" t="s">
        <v>29</v>
      </c>
      <c r="G50" s="212" t="s">
        <v>150</v>
      </c>
      <c r="H50" s="229">
        <v>0</v>
      </c>
      <c r="I50" s="229" t="s">
        <v>29</v>
      </c>
      <c r="J50" s="229">
        <v>0</v>
      </c>
      <c r="K50" s="235">
        <f t="shared" si="8"/>
        <v>3</v>
      </c>
      <c r="L50" s="233">
        <f>VLOOKUP($B50,Invulblad!$A$11:$S$103,13,0)</f>
        <v>3</v>
      </c>
      <c r="M50" s="234">
        <f>IF(L50&lt;&gt;"",VLOOKUP($B50,Invulblad!$A$11:$S$103,7,0),"")</f>
        <v>1</v>
      </c>
      <c r="N50" s="229" t="s">
        <v>29</v>
      </c>
      <c r="O50" s="234">
        <f>IF(L50&lt;&gt;"",VLOOKUP($B50,Invulblad!$A$11:$S$103,9,0),"")</f>
        <v>1</v>
      </c>
      <c r="P50" s="235">
        <f t="shared" si="9"/>
        <v>5</v>
      </c>
    </row>
    <row r="51" spans="1:16" ht="15" customHeight="1">
      <c r="A51" s="205">
        <v>43</v>
      </c>
      <c r="B51" s="212">
        <v>27</v>
      </c>
      <c r="C51" s="226">
        <v>40349</v>
      </c>
      <c r="D51" s="227">
        <v>0.5625</v>
      </c>
      <c r="E51" s="228" t="s">
        <v>151</v>
      </c>
      <c r="F51" s="229" t="s">
        <v>29</v>
      </c>
      <c r="G51" s="212" t="s">
        <v>382</v>
      </c>
      <c r="H51" s="229">
        <v>0</v>
      </c>
      <c r="I51" s="229" t="s">
        <v>29</v>
      </c>
      <c r="J51" s="229">
        <v>1</v>
      </c>
      <c r="K51" s="235">
        <f t="shared" si="8"/>
        <v>2</v>
      </c>
      <c r="L51" s="233">
        <f>VLOOKUP($B51,Invulblad!$A$11:$S$103,13,0)</f>
        <v>2</v>
      </c>
      <c r="M51" s="234">
        <f>IF(L51&lt;&gt;"",VLOOKUP($B51,Invulblad!$A$11:$S$103,7,0),"")</f>
        <v>0</v>
      </c>
      <c r="N51" s="229" t="s">
        <v>29</v>
      </c>
      <c r="O51" s="234">
        <f>IF(L51&lt;&gt;"",VLOOKUP($B51,Invulblad!$A$11:$S$103,9,0),"")</f>
        <v>2</v>
      </c>
      <c r="P51" s="235">
        <f t="shared" si="9"/>
        <v>5</v>
      </c>
    </row>
    <row r="52" spans="1:16" ht="15" customHeight="1">
      <c r="A52" s="205">
        <v>44</v>
      </c>
      <c r="B52" s="212">
        <v>28</v>
      </c>
      <c r="C52" s="226">
        <v>40349</v>
      </c>
      <c r="D52" s="227">
        <v>0.66666666666666663</v>
      </c>
      <c r="E52" s="223" t="s">
        <v>381</v>
      </c>
      <c r="F52" s="229" t="s">
        <v>29</v>
      </c>
      <c r="G52" s="212" t="s">
        <v>152</v>
      </c>
      <c r="H52" s="229">
        <v>3</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ht="15" customHeight="1">
      <c r="A53" s="205">
        <v>45</v>
      </c>
      <c r="B53" s="212">
        <v>41</v>
      </c>
      <c r="C53" s="226">
        <v>40353</v>
      </c>
      <c r="D53" s="227">
        <v>0.66666666666666663</v>
      </c>
      <c r="E53" s="228" t="s">
        <v>151</v>
      </c>
      <c r="F53" s="229" t="s">
        <v>29</v>
      </c>
      <c r="G53" s="212" t="s">
        <v>383</v>
      </c>
      <c r="H53" s="229">
        <v>1</v>
      </c>
      <c r="I53" s="229" t="s">
        <v>29</v>
      </c>
      <c r="J53" s="229">
        <v>3</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ht="15" customHeight="1">
      <c r="A54" s="205">
        <v>46</v>
      </c>
      <c r="B54" s="212">
        <v>42</v>
      </c>
      <c r="C54" s="226">
        <v>40353</v>
      </c>
      <c r="D54" s="227">
        <v>0.66666666666666663</v>
      </c>
      <c r="E54" s="228" t="s">
        <v>154</v>
      </c>
      <c r="F54" s="229" t="s">
        <v>29</v>
      </c>
      <c r="G54" s="212" t="s">
        <v>152</v>
      </c>
      <c r="H54" s="229">
        <v>2</v>
      </c>
      <c r="I54" s="229" t="s">
        <v>29</v>
      </c>
      <c r="J54" s="229">
        <v>2</v>
      </c>
      <c r="K54" s="235">
        <f t="shared" si="8"/>
        <v>3</v>
      </c>
      <c r="L54" s="233">
        <f>VLOOKUP($B54,Invulblad!$A$11:$S$103,13,0)</f>
        <v>3</v>
      </c>
      <c r="M54" s="234">
        <f>IF(L54&lt;&gt;"",VLOOKUP($B54,Invulblad!$A$11:$S$103,7,0),"")</f>
        <v>0</v>
      </c>
      <c r="N54" s="229" t="s">
        <v>29</v>
      </c>
      <c r="O54" s="234">
        <f>IF(L54&lt;&gt;"",VLOOKUP($B54,Invulblad!$A$11:$S$103,9,0),"")</f>
        <v>0</v>
      </c>
      <c r="P54" s="235">
        <f t="shared" si="9"/>
        <v>5</v>
      </c>
    </row>
    <row r="55" spans="1:16" ht="15" customHeight="1">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ht="15" customHeight="1">
      <c r="A56" s="205">
        <v>49</v>
      </c>
      <c r="B56" s="212">
        <v>13</v>
      </c>
      <c r="C56" s="226">
        <v>40344</v>
      </c>
      <c r="D56" s="227">
        <v>0.66666666666666663</v>
      </c>
      <c r="E56" s="228" t="s">
        <v>155</v>
      </c>
      <c r="F56" s="229" t="s">
        <v>29</v>
      </c>
      <c r="G56" s="212" t="s">
        <v>384</v>
      </c>
      <c r="H56" s="229">
        <v>1</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ht="15" customHeight="1">
      <c r="A57" s="205">
        <v>50</v>
      </c>
      <c r="B57" s="212">
        <v>14</v>
      </c>
      <c r="C57" s="226">
        <v>40344</v>
      </c>
      <c r="D57" s="227">
        <v>0.85416666666666663</v>
      </c>
      <c r="E57" s="223" t="s">
        <v>385</v>
      </c>
      <c r="F57" s="229" t="s">
        <v>29</v>
      </c>
      <c r="G57" s="212" t="s">
        <v>158</v>
      </c>
      <c r="H57" s="229">
        <v>3</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ht="15" customHeight="1">
      <c r="A58" s="205">
        <v>51</v>
      </c>
      <c r="B58" s="212">
        <v>29</v>
      </c>
      <c r="C58" s="226">
        <v>40349</v>
      </c>
      <c r="D58" s="227">
        <v>0.85416666666666663</v>
      </c>
      <c r="E58" s="223" t="s">
        <v>385</v>
      </c>
      <c r="F58" s="229" t="s">
        <v>29</v>
      </c>
      <c r="G58" s="212" t="s">
        <v>159</v>
      </c>
      <c r="H58" s="229">
        <v>2</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ht="15" customHeight="1">
      <c r="A59" s="205">
        <v>52</v>
      </c>
      <c r="B59" s="212">
        <v>30</v>
      </c>
      <c r="C59" s="226">
        <v>40350</v>
      </c>
      <c r="D59" s="227">
        <v>0.5625</v>
      </c>
      <c r="E59" s="223" t="s">
        <v>386</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ht="15" customHeight="1">
      <c r="A60" s="205">
        <v>53</v>
      </c>
      <c r="B60" s="212">
        <v>45</v>
      </c>
      <c r="C60" s="226">
        <v>40354</v>
      </c>
      <c r="D60" s="227">
        <v>0.66666666666666663</v>
      </c>
      <c r="E60" s="228" t="s">
        <v>160</v>
      </c>
      <c r="F60" s="229" t="s">
        <v>29</v>
      </c>
      <c r="G60" s="212" t="s">
        <v>387</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ht="15" customHeight="1">
      <c r="A61" s="205">
        <v>54</v>
      </c>
      <c r="B61" s="212">
        <v>46</v>
      </c>
      <c r="C61" s="226">
        <v>40354</v>
      </c>
      <c r="D61" s="227">
        <v>0.66666666666666663</v>
      </c>
      <c r="E61" s="228" t="s">
        <v>162</v>
      </c>
      <c r="F61" s="229" t="s">
        <v>29</v>
      </c>
      <c r="G61" s="212" t="s">
        <v>388</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ht="15" customHeight="1">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ht="15" customHeight="1">
      <c r="A63" s="205">
        <v>57</v>
      </c>
      <c r="B63" s="212">
        <v>15</v>
      </c>
      <c r="C63" s="226">
        <v>40345</v>
      </c>
      <c r="D63" s="227">
        <v>0.5625</v>
      </c>
      <c r="E63" s="228" t="s">
        <v>163</v>
      </c>
      <c r="F63" s="229" t="s">
        <v>29</v>
      </c>
      <c r="G63" s="212" t="s">
        <v>389</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ht="15" customHeight="1">
      <c r="A64" s="205">
        <v>58</v>
      </c>
      <c r="B64" s="212">
        <v>16</v>
      </c>
      <c r="C64" s="226">
        <v>40345</v>
      </c>
      <c r="D64" s="227">
        <v>0.66666666666666663</v>
      </c>
      <c r="E64" s="223" t="s">
        <v>390</v>
      </c>
      <c r="F64" s="229" t="s">
        <v>29</v>
      </c>
      <c r="G64" s="212" t="s">
        <v>166</v>
      </c>
      <c r="H64" s="229">
        <v>2</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ht="15" customHeight="1">
      <c r="A65" s="205">
        <v>59</v>
      </c>
      <c r="B65" s="212">
        <v>31</v>
      </c>
      <c r="C65" s="226">
        <v>40350</v>
      </c>
      <c r="D65" s="227">
        <v>0.66666666666666663</v>
      </c>
      <c r="E65" s="228" t="s">
        <v>167</v>
      </c>
      <c r="F65" s="229" t="s">
        <v>29</v>
      </c>
      <c r="G65" s="212" t="s">
        <v>166</v>
      </c>
      <c r="H65" s="229">
        <v>1</v>
      </c>
      <c r="I65" s="229" t="s">
        <v>29</v>
      </c>
      <c r="J65" s="229">
        <v>1</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ht="15" customHeight="1">
      <c r="A66" s="205">
        <v>60</v>
      </c>
      <c r="B66" s="212">
        <v>32</v>
      </c>
      <c r="C66" s="226">
        <v>40350</v>
      </c>
      <c r="D66" s="227">
        <v>0.85416666666666663</v>
      </c>
      <c r="E66" s="223" t="s">
        <v>390</v>
      </c>
      <c r="F66" s="229" t="s">
        <v>29</v>
      </c>
      <c r="G66" s="212" t="s">
        <v>168</v>
      </c>
      <c r="H66" s="229">
        <v>2</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10</v>
      </c>
    </row>
    <row r="67" spans="1:16" ht="15" customHeight="1">
      <c r="A67" s="205">
        <v>61</v>
      </c>
      <c r="B67" s="212">
        <v>47</v>
      </c>
      <c r="C67" s="226">
        <v>40354</v>
      </c>
      <c r="D67" s="227">
        <v>0.85416666666666663</v>
      </c>
      <c r="E67" s="228" t="s">
        <v>167</v>
      </c>
      <c r="F67" s="229" t="s">
        <v>29</v>
      </c>
      <c r="G67" s="212" t="s">
        <v>391</v>
      </c>
      <c r="H67" s="229">
        <v>0</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5</v>
      </c>
    </row>
    <row r="68" spans="1:16" ht="15" customHeight="1">
      <c r="A68" s="205">
        <v>62</v>
      </c>
      <c r="B68" s="212">
        <v>48</v>
      </c>
      <c r="C68" s="226">
        <v>40354</v>
      </c>
      <c r="D68" s="227">
        <v>0.85416666666666663</v>
      </c>
      <c r="E68" s="223" t="s">
        <v>392</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ht="15" customHeight="1">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ht="15" customHeight="1">
      <c r="A70" s="205">
        <v>65</v>
      </c>
      <c r="B70" s="212">
        <v>49</v>
      </c>
      <c r="C70" s="226">
        <v>40355</v>
      </c>
      <c r="D70" s="227">
        <v>0.66666666666666663</v>
      </c>
      <c r="E70" s="223" t="s">
        <v>205</v>
      </c>
      <c r="F70" s="229" t="s">
        <v>29</v>
      </c>
      <c r="G70" s="212" t="s">
        <v>120</v>
      </c>
      <c r="H70" s="229">
        <v>2</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ht="15" customHeight="1">
      <c r="A71" s="205">
        <v>66</v>
      </c>
      <c r="B71" s="212">
        <v>50</v>
      </c>
      <c r="C71" s="226">
        <v>40355</v>
      </c>
      <c r="D71" s="227">
        <v>0.85416666666666663</v>
      </c>
      <c r="E71" s="223" t="s">
        <v>124</v>
      </c>
      <c r="F71" s="229" t="s">
        <v>29</v>
      </c>
      <c r="G71" s="212" t="s">
        <v>240</v>
      </c>
      <c r="H71" s="229">
        <v>2</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ht="15" customHeight="1">
      <c r="A72" s="205">
        <v>67</v>
      </c>
      <c r="B72" s="212">
        <v>51</v>
      </c>
      <c r="C72" s="226">
        <v>40356</v>
      </c>
      <c r="D72" s="227">
        <v>0.66666666666666663</v>
      </c>
      <c r="E72" s="223" t="s">
        <v>239</v>
      </c>
      <c r="F72" s="229" t="s">
        <v>29</v>
      </c>
      <c r="G72" s="212" t="s">
        <v>32</v>
      </c>
      <c r="H72" s="229">
        <v>3</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ht="15" customHeight="1">
      <c r="A73" s="205">
        <v>68</v>
      </c>
      <c r="B73" s="212">
        <v>52</v>
      </c>
      <c r="C73" s="226">
        <v>40356</v>
      </c>
      <c r="D73" s="227">
        <v>0.85416666666666663</v>
      </c>
      <c r="E73" s="223" t="s">
        <v>116</v>
      </c>
      <c r="F73" s="229" t="s">
        <v>29</v>
      </c>
      <c r="G73" s="212" t="s">
        <v>109</v>
      </c>
      <c r="H73" s="229">
        <v>3</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10</v>
      </c>
    </row>
    <row r="74" spans="1:16" ht="15" customHeight="1">
      <c r="A74" s="205">
        <v>69</v>
      </c>
      <c r="B74" s="212">
        <v>53</v>
      </c>
      <c r="C74" s="226">
        <v>40357</v>
      </c>
      <c r="D74" s="227">
        <v>0.66666666666666663</v>
      </c>
      <c r="E74" s="223" t="s">
        <v>178</v>
      </c>
      <c r="F74" s="229" t="s">
        <v>29</v>
      </c>
      <c r="G74" s="212" t="s">
        <v>182</v>
      </c>
      <c r="H74" s="229">
        <v>2</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ht="15" customHeight="1">
      <c r="A75" s="205">
        <v>70</v>
      </c>
      <c r="B75" s="212">
        <v>54</v>
      </c>
      <c r="C75" s="226">
        <v>40357</v>
      </c>
      <c r="D75" s="227">
        <v>0.85416666666666663</v>
      </c>
      <c r="E75" s="223" t="s">
        <v>265</v>
      </c>
      <c r="F75" s="229" t="s">
        <v>29</v>
      </c>
      <c r="G75" s="212" t="s">
        <v>276</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ht="15" customHeight="1">
      <c r="A76" s="205">
        <v>71</v>
      </c>
      <c r="B76" s="212">
        <v>55</v>
      </c>
      <c r="C76" s="226">
        <v>40358</v>
      </c>
      <c r="D76" s="227">
        <v>0.66666666666666663</v>
      </c>
      <c r="E76" s="223" t="s">
        <v>257</v>
      </c>
      <c r="F76" s="229" t="s">
        <v>29</v>
      </c>
      <c r="G76" s="212" t="s">
        <v>248</v>
      </c>
      <c r="H76" s="229">
        <v>2</v>
      </c>
      <c r="I76" s="229" t="s">
        <v>29</v>
      </c>
      <c r="J76" s="229">
        <v>1</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ht="15" customHeight="1">
      <c r="A77" s="205">
        <v>72</v>
      </c>
      <c r="B77" s="212">
        <v>56</v>
      </c>
      <c r="C77" s="226">
        <v>40358</v>
      </c>
      <c r="D77" s="227">
        <v>0.85416666666666663</v>
      </c>
      <c r="E77" s="223" t="s">
        <v>200</v>
      </c>
      <c r="F77" s="229" t="s">
        <v>29</v>
      </c>
      <c r="G77" s="212" t="s">
        <v>268</v>
      </c>
      <c r="H77" s="229">
        <v>2</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ht="15" customHeight="1">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ht="15" customHeight="1">
      <c r="A79" s="205">
        <v>75</v>
      </c>
      <c r="B79" s="212">
        <v>57</v>
      </c>
      <c r="C79" s="226">
        <v>40361</v>
      </c>
      <c r="D79" s="227">
        <v>0.66666666666666663</v>
      </c>
      <c r="E79" s="228" t="s">
        <v>178</v>
      </c>
      <c r="F79" s="229" t="s">
        <v>29</v>
      </c>
      <c r="G79" s="222" t="s">
        <v>265</v>
      </c>
      <c r="H79" s="229">
        <v>0</v>
      </c>
      <c r="I79" s="229" t="s">
        <v>29</v>
      </c>
      <c r="J79" s="229">
        <v>2</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ht="15" customHeight="1">
      <c r="A80" s="205">
        <v>76</v>
      </c>
      <c r="B80" s="212">
        <v>58</v>
      </c>
      <c r="C80" s="226">
        <v>40361</v>
      </c>
      <c r="D80" s="227">
        <v>0.85416666666666663</v>
      </c>
      <c r="E80" s="223" t="s">
        <v>205</v>
      </c>
      <c r="F80" s="229" t="s">
        <v>29</v>
      </c>
      <c r="G80" s="212" t="s">
        <v>124</v>
      </c>
      <c r="H80" s="229">
        <v>3</v>
      </c>
      <c r="I80" s="229" t="s">
        <v>29</v>
      </c>
      <c r="J80" s="229">
        <v>1</v>
      </c>
      <c r="K80" s="235" t="str">
        <f t="shared" si="13"/>
        <v>1</v>
      </c>
      <c r="L80" s="233">
        <f>VLOOKUP($B80,Invulblad!$A$11:$S$103,13,0)</f>
        <v>3</v>
      </c>
      <c r="M80" s="234">
        <f>IF(L80&lt;&gt;"",VLOOKUP($B80,Invulblad!$A$11:$S$103,7,0),"")</f>
        <v>1</v>
      </c>
      <c r="N80" s="229" t="s">
        <v>29</v>
      </c>
      <c r="O80" s="234">
        <f>IF(L80&lt;&gt;"",VLOOKUP($B80,Invulblad!$A$11:$S$103,9,0),"")</f>
        <v>1</v>
      </c>
      <c r="P80" s="235">
        <f>IF(L80&lt;&gt;"",IF(AND(M80=H80,O80=J80),10,IF(K80=L80,5,0)),"")</f>
        <v>0</v>
      </c>
    </row>
    <row r="81" spans="1:16" ht="15" customHeight="1">
      <c r="A81" s="205">
        <v>77</v>
      </c>
      <c r="B81" s="212">
        <v>59</v>
      </c>
      <c r="C81" s="226">
        <v>40362</v>
      </c>
      <c r="D81" s="227">
        <v>0.66666666666666663</v>
      </c>
      <c r="E81" s="228" t="s">
        <v>116</v>
      </c>
      <c r="F81" s="229" t="s">
        <v>29</v>
      </c>
      <c r="G81" s="222" t="s">
        <v>239</v>
      </c>
      <c r="H81" s="229">
        <v>0</v>
      </c>
      <c r="I81" s="229" t="s">
        <v>29</v>
      </c>
      <c r="J81" s="229">
        <v>0</v>
      </c>
      <c r="K81" s="235">
        <f t="shared" si="13"/>
        <v>3</v>
      </c>
      <c r="L81" s="233">
        <f>VLOOKUP($B81,Invulblad!$A$11:$S$103,13,0)</f>
        <v>2</v>
      </c>
      <c r="M81" s="234">
        <f>IF(L81&lt;&gt;"",VLOOKUP($B81,Invulblad!$A$11:$S$103,7,0),"")</f>
        <v>0</v>
      </c>
      <c r="N81" s="229" t="s">
        <v>29</v>
      </c>
      <c r="O81" s="234">
        <f>IF(L81&lt;&gt;"",VLOOKUP($B81,Invulblad!$A$11:$S$103,9,0),"")</f>
        <v>4</v>
      </c>
      <c r="P81" s="235">
        <f>IF(L81&lt;&gt;"",IF(AND(M81=H81,O81=J81),10,IF(K81=L81,5,0)),"")</f>
        <v>0</v>
      </c>
    </row>
    <row r="82" spans="1:16" ht="15" customHeight="1">
      <c r="A82" s="205">
        <v>78</v>
      </c>
      <c r="B82" s="212">
        <v>60</v>
      </c>
      <c r="C82" s="226">
        <v>40362</v>
      </c>
      <c r="D82" s="227">
        <v>0.85416666666666663</v>
      </c>
      <c r="E82" s="228" t="s">
        <v>257</v>
      </c>
      <c r="F82" s="229" t="s">
        <v>29</v>
      </c>
      <c r="G82" s="222" t="s">
        <v>200</v>
      </c>
      <c r="H82" s="229">
        <v>1</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ht="15" customHeight="1">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ht="15" customHeight="1">
      <c r="A84" s="205">
        <v>81</v>
      </c>
      <c r="B84" s="212">
        <v>61</v>
      </c>
      <c r="C84" s="226">
        <v>40365</v>
      </c>
      <c r="D84" s="227">
        <v>0.85416666666666663</v>
      </c>
      <c r="E84" s="228" t="s">
        <v>205</v>
      </c>
      <c r="F84" s="229" t="s">
        <v>29</v>
      </c>
      <c r="G84" s="222" t="s">
        <v>265</v>
      </c>
      <c r="H84" s="229">
        <v>0</v>
      </c>
      <c r="I84" s="229" t="s">
        <v>29</v>
      </c>
      <c r="J84" s="229">
        <v>1</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ht="15" customHeight="1">
      <c r="A85" s="205">
        <v>82</v>
      </c>
      <c r="B85" s="212">
        <v>62</v>
      </c>
      <c r="C85" s="226">
        <v>40366</v>
      </c>
      <c r="D85" s="227">
        <v>0.85416666666666663</v>
      </c>
      <c r="E85" s="228" t="s">
        <v>239</v>
      </c>
      <c r="F85" s="229" t="s">
        <v>29</v>
      </c>
      <c r="G85" s="222" t="s">
        <v>200</v>
      </c>
      <c r="H85" s="229">
        <v>1</v>
      </c>
      <c r="I85" s="229" t="s">
        <v>29</v>
      </c>
      <c r="J85" s="229">
        <v>2</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ht="15" customHeight="1">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ht="15" customHeight="1">
      <c r="A87" s="205">
        <v>85</v>
      </c>
      <c r="B87" s="212">
        <v>63</v>
      </c>
      <c r="C87" s="226">
        <v>40369</v>
      </c>
      <c r="D87" s="227">
        <v>0.85416666666666663</v>
      </c>
      <c r="E87" s="228" t="s">
        <v>205</v>
      </c>
      <c r="F87" s="229" t="s">
        <v>29</v>
      </c>
      <c r="G87" s="222" t="s">
        <v>239</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ht="15" customHeight="1">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ht="15" customHeight="1">
      <c r="A89" s="205">
        <v>88</v>
      </c>
      <c r="B89" s="212">
        <v>64</v>
      </c>
      <c r="C89" s="226">
        <v>40370</v>
      </c>
      <c r="D89" s="227">
        <v>0.85416666666666663</v>
      </c>
      <c r="E89" s="223" t="s">
        <v>265</v>
      </c>
      <c r="F89" s="229" t="s">
        <v>29</v>
      </c>
      <c r="G89" s="212" t="s">
        <v>200</v>
      </c>
      <c r="H89" s="229">
        <v>2</v>
      </c>
      <c r="I89" s="229" t="s">
        <v>29</v>
      </c>
      <c r="J89" s="229">
        <v>1</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K90" s="228"/>
      <c r="L90" s="239"/>
      <c r="M90" s="234"/>
      <c r="N90" s="229"/>
      <c r="O90" s="234"/>
    </row>
    <row r="91" spans="1:16">
      <c r="M91" s="234"/>
      <c r="N91" s="229"/>
      <c r="O91" s="234"/>
    </row>
    <row r="92" spans="1:16">
      <c r="B92" s="218" t="s">
        <v>201</v>
      </c>
      <c r="M92" s="234"/>
      <c r="N92" s="229"/>
      <c r="O92" s="234"/>
    </row>
    <row r="94" spans="1:16">
      <c r="A94" s="205" t="s">
        <v>73</v>
      </c>
      <c r="B94" s="206" t="s">
        <v>202</v>
      </c>
      <c r="C94" s="206" t="s">
        <v>203</v>
      </c>
      <c r="D94" s="218" t="s">
        <v>205</v>
      </c>
      <c r="M94" s="234"/>
      <c r="N94" s="229"/>
      <c r="O94" s="234"/>
    </row>
    <row r="95" spans="1:16">
      <c r="A95" s="205" t="s">
        <v>74</v>
      </c>
      <c r="B95" s="206" t="s">
        <v>204</v>
      </c>
      <c r="C95" s="206" t="s">
        <v>203</v>
      </c>
      <c r="D95" s="218" t="s">
        <v>109</v>
      </c>
    </row>
    <row r="98" spans="2:5">
      <c r="B98" s="218" t="s">
        <v>206</v>
      </c>
    </row>
    <row r="100" spans="2:5">
      <c r="B100" s="240" t="s">
        <v>207</v>
      </c>
      <c r="C100" s="240" t="s">
        <v>208</v>
      </c>
      <c r="D100" s="240" t="s">
        <v>209</v>
      </c>
      <c r="E100" s="240" t="s">
        <v>210</v>
      </c>
    </row>
    <row r="101" spans="2:5">
      <c r="B101" s="241" t="s">
        <v>205</v>
      </c>
      <c r="C101" s="241" t="s">
        <v>225</v>
      </c>
      <c r="D101" s="241" t="s">
        <v>234</v>
      </c>
      <c r="E101" s="241" t="s">
        <v>234</v>
      </c>
    </row>
    <row r="102" spans="2:5">
      <c r="B102" s="242" t="s">
        <v>214</v>
      </c>
      <c r="C102" s="242" t="s">
        <v>211</v>
      </c>
      <c r="D102" s="242" t="s">
        <v>216</v>
      </c>
      <c r="E102" s="242" t="s">
        <v>213</v>
      </c>
    </row>
    <row r="103" spans="2:5">
      <c r="B103" s="241" t="s">
        <v>109</v>
      </c>
      <c r="C103" s="241" t="s">
        <v>211</v>
      </c>
      <c r="D103" s="241" t="s">
        <v>212</v>
      </c>
      <c r="E103" s="241" t="s">
        <v>213</v>
      </c>
    </row>
    <row r="104" spans="2:5">
      <c r="B104" s="242" t="s">
        <v>107</v>
      </c>
      <c r="C104" s="242" t="s">
        <v>212</v>
      </c>
      <c r="D104" s="242" t="s">
        <v>314</v>
      </c>
      <c r="E104" s="242" t="s">
        <v>218</v>
      </c>
    </row>
    <row r="107" spans="2:5">
      <c r="B107" s="218" t="s">
        <v>219</v>
      </c>
    </row>
    <row r="108" spans="2:5">
      <c r="B108" s="212"/>
    </row>
    <row r="109" spans="2:5">
      <c r="B109" s="212" t="s">
        <v>220</v>
      </c>
    </row>
    <row r="110" spans="2:5">
      <c r="B110" s="212" t="s">
        <v>323</v>
      </c>
    </row>
    <row r="113" spans="1:18">
      <c r="B113" s="243"/>
      <c r="C113" s="243"/>
      <c r="D113" s="243"/>
      <c r="E113" s="243"/>
      <c r="F113" s="243"/>
      <c r="G113" s="243"/>
      <c r="H113" s="243"/>
      <c r="I113" s="243"/>
      <c r="J113" s="243"/>
      <c r="K113" s="243"/>
      <c r="L113" s="244"/>
      <c r="M113" s="243"/>
      <c r="N113" s="243"/>
      <c r="O113" s="243"/>
      <c r="Q113" s="243"/>
      <c r="R113" s="243"/>
    </row>
    <row r="116" spans="1:18">
      <c r="B116" s="218" t="s">
        <v>222</v>
      </c>
    </row>
    <row r="118" spans="1:18">
      <c r="A118" s="252" t="s">
        <v>75</v>
      </c>
      <c r="B118" s="206" t="s">
        <v>202</v>
      </c>
      <c r="C118" s="206" t="s">
        <v>203</v>
      </c>
      <c r="D118" s="218" t="s">
        <v>116</v>
      </c>
    </row>
    <row r="119" spans="1:18">
      <c r="A119" s="205" t="s">
        <v>76</v>
      </c>
      <c r="B119" s="206" t="s">
        <v>204</v>
      </c>
      <c r="C119" s="206" t="s">
        <v>203</v>
      </c>
      <c r="D119" s="218" t="s">
        <v>120</v>
      </c>
    </row>
    <row r="122" spans="1:18">
      <c r="B122" s="218" t="s">
        <v>223</v>
      </c>
    </row>
    <row r="124" spans="1:18">
      <c r="B124" s="240" t="s">
        <v>207</v>
      </c>
      <c r="C124" s="240" t="s">
        <v>208</v>
      </c>
      <c r="D124" s="240" t="s">
        <v>209</v>
      </c>
      <c r="E124" s="240" t="s">
        <v>210</v>
      </c>
    </row>
    <row r="125" spans="1:18">
      <c r="B125" s="241" t="s">
        <v>120</v>
      </c>
      <c r="C125" s="241" t="s">
        <v>226</v>
      </c>
      <c r="D125" s="241" t="s">
        <v>218</v>
      </c>
      <c r="E125" s="241" t="s">
        <v>211</v>
      </c>
    </row>
    <row r="126" spans="1:18">
      <c r="B126" s="242" t="s">
        <v>116</v>
      </c>
      <c r="C126" s="242" t="s">
        <v>225</v>
      </c>
      <c r="D126" s="242" t="s">
        <v>226</v>
      </c>
      <c r="E126" s="242" t="s">
        <v>234</v>
      </c>
    </row>
    <row r="127" spans="1:18">
      <c r="B127" s="241" t="s">
        <v>122</v>
      </c>
      <c r="C127" s="241" t="s">
        <v>218</v>
      </c>
      <c r="D127" s="241" t="s">
        <v>243</v>
      </c>
      <c r="E127" s="241" t="s">
        <v>218</v>
      </c>
    </row>
    <row r="128" spans="1:18">
      <c r="B128" s="242" t="s">
        <v>118</v>
      </c>
      <c r="C128" s="242" t="s">
        <v>218</v>
      </c>
      <c r="D128" s="242" t="s">
        <v>233</v>
      </c>
      <c r="E128" s="242" t="s">
        <v>215</v>
      </c>
    </row>
    <row r="131" spans="1:18">
      <c r="B131" s="218" t="s">
        <v>228</v>
      </c>
    </row>
    <row r="132" spans="1:18">
      <c r="B132" s="212"/>
    </row>
    <row r="133" spans="1:18">
      <c r="B133" s="212" t="s">
        <v>229</v>
      </c>
    </row>
    <row r="134" spans="1:18">
      <c r="B134" s="212" t="s">
        <v>230</v>
      </c>
    </row>
    <row r="137" spans="1:18">
      <c r="B137" s="243"/>
      <c r="C137" s="243"/>
      <c r="D137" s="243"/>
      <c r="E137" s="243"/>
      <c r="F137" s="243"/>
      <c r="G137" s="243"/>
      <c r="H137" s="243"/>
      <c r="I137" s="243"/>
      <c r="J137" s="243"/>
      <c r="K137" s="243"/>
      <c r="L137" s="244"/>
      <c r="M137" s="243"/>
      <c r="N137" s="243"/>
      <c r="O137" s="243"/>
      <c r="Q137" s="243"/>
      <c r="R137" s="243"/>
    </row>
    <row r="140" spans="1:18">
      <c r="B140" s="218" t="s">
        <v>231</v>
      </c>
    </row>
    <row r="142" spans="1:18">
      <c r="A142" s="205" t="s">
        <v>77</v>
      </c>
      <c r="B142" s="206" t="s">
        <v>202</v>
      </c>
      <c r="C142" s="206" t="s">
        <v>203</v>
      </c>
      <c r="D142" s="218" t="s">
        <v>124</v>
      </c>
    </row>
    <row r="143" spans="1:18">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212</v>
      </c>
      <c r="D149" s="241" t="s">
        <v>243</v>
      </c>
      <c r="E149" s="241" t="s">
        <v>215</v>
      </c>
    </row>
    <row r="150" spans="2:5">
      <c r="B150" s="242" t="s">
        <v>124</v>
      </c>
      <c r="C150" s="242" t="s">
        <v>225</v>
      </c>
      <c r="D150" s="242" t="s">
        <v>226</v>
      </c>
      <c r="E150" s="242" t="s">
        <v>234</v>
      </c>
    </row>
    <row r="151" spans="2:5">
      <c r="B151" s="241" t="s">
        <v>128</v>
      </c>
      <c r="C151" s="241" t="s">
        <v>213</v>
      </c>
      <c r="D151" s="241" t="s">
        <v>227</v>
      </c>
      <c r="E151" s="241" t="s">
        <v>213</v>
      </c>
    </row>
    <row r="152" spans="2:5">
      <c r="B152" s="242" t="s">
        <v>32</v>
      </c>
      <c r="C152" s="242" t="s">
        <v>226</v>
      </c>
      <c r="D152" s="242" t="s">
        <v>212</v>
      </c>
      <c r="E152" s="242" t="s">
        <v>213</v>
      </c>
    </row>
    <row r="155" spans="2:5">
      <c r="B155" s="218" t="s">
        <v>235</v>
      </c>
    </row>
    <row r="156" spans="2:5">
      <c r="B156" s="212"/>
    </row>
    <row r="157" spans="2:5">
      <c r="B157" s="212" t="s">
        <v>236</v>
      </c>
    </row>
    <row r="158" spans="2:5">
      <c r="B158" s="212" t="s">
        <v>237</v>
      </c>
    </row>
    <row r="161" spans="1:18">
      <c r="B161" s="243"/>
      <c r="C161" s="243"/>
      <c r="D161" s="243"/>
      <c r="E161" s="243"/>
      <c r="F161" s="243"/>
      <c r="G161" s="243"/>
      <c r="H161" s="243"/>
      <c r="I161" s="243"/>
      <c r="J161" s="243"/>
      <c r="K161" s="243"/>
      <c r="L161" s="244"/>
      <c r="M161" s="243"/>
      <c r="N161" s="243"/>
      <c r="O161" s="243"/>
      <c r="Q161" s="243"/>
      <c r="R161" s="243"/>
    </row>
    <row r="164" spans="1:18">
      <c r="B164" s="218" t="s">
        <v>238</v>
      </c>
    </row>
    <row r="166" spans="1:18">
      <c r="A166" s="205" t="s">
        <v>79</v>
      </c>
      <c r="B166" s="206" t="s">
        <v>202</v>
      </c>
      <c r="C166" s="206" t="s">
        <v>203</v>
      </c>
      <c r="D166" s="218" t="s">
        <v>239</v>
      </c>
    </row>
    <row r="167" spans="1:18">
      <c r="A167" s="205" t="s">
        <v>80</v>
      </c>
      <c r="B167" s="206" t="s">
        <v>204</v>
      </c>
      <c r="C167" s="206" t="s">
        <v>203</v>
      </c>
      <c r="D167" s="218" t="s">
        <v>240</v>
      </c>
    </row>
    <row r="170" spans="1:18">
      <c r="B170" s="218" t="s">
        <v>241</v>
      </c>
    </row>
    <row r="172" spans="1:18">
      <c r="B172" s="240" t="s">
        <v>207</v>
      </c>
      <c r="C172" s="240" t="s">
        <v>208</v>
      </c>
      <c r="D172" s="240" t="s">
        <v>209</v>
      </c>
      <c r="E172" s="240" t="s">
        <v>210</v>
      </c>
    </row>
    <row r="173" spans="1:18">
      <c r="B173" s="241" t="s">
        <v>239</v>
      </c>
      <c r="C173" s="241" t="s">
        <v>225</v>
      </c>
      <c r="D173" s="241" t="s">
        <v>234</v>
      </c>
      <c r="E173" s="241" t="s">
        <v>225</v>
      </c>
    </row>
    <row r="174" spans="1:18">
      <c r="B174" s="242" t="s">
        <v>242</v>
      </c>
      <c r="C174" s="242" t="s">
        <v>211</v>
      </c>
      <c r="D174" s="242" t="s">
        <v>227</v>
      </c>
      <c r="E174" s="242" t="s">
        <v>213</v>
      </c>
    </row>
    <row r="175" spans="1:18">
      <c r="B175" s="241" t="s">
        <v>244</v>
      </c>
      <c r="C175" s="241" t="s">
        <v>212</v>
      </c>
      <c r="D175" s="241" t="s">
        <v>314</v>
      </c>
      <c r="E175" s="241" t="s">
        <v>215</v>
      </c>
    </row>
    <row r="176" spans="1:18">
      <c r="B176" s="242" t="s">
        <v>240</v>
      </c>
      <c r="C176" s="242" t="s">
        <v>211</v>
      </c>
      <c r="D176" s="242" t="s">
        <v>218</v>
      </c>
      <c r="E176" s="242" t="s">
        <v>211</v>
      </c>
    </row>
    <row r="179" spans="1:18">
      <c r="B179" s="218" t="s">
        <v>245</v>
      </c>
    </row>
    <row r="180" spans="1:18">
      <c r="B180" s="212"/>
    </row>
    <row r="181" spans="1:18">
      <c r="B181" s="212" t="s">
        <v>312</v>
      </c>
    </row>
    <row r="182" spans="1:18">
      <c r="B182" s="212" t="s">
        <v>349</v>
      </c>
    </row>
    <row r="184" spans="1:18">
      <c r="K184" s="243"/>
      <c r="L184" s="244"/>
      <c r="M184" s="243"/>
      <c r="N184" s="243"/>
      <c r="O184" s="243"/>
    </row>
    <row r="185" spans="1:18">
      <c r="B185" s="243"/>
      <c r="C185" s="243"/>
      <c r="D185" s="243"/>
      <c r="E185" s="243"/>
      <c r="F185" s="243"/>
      <c r="G185" s="243"/>
      <c r="H185" s="243"/>
      <c r="I185" s="243"/>
      <c r="J185" s="243"/>
      <c r="Q185" s="243"/>
      <c r="R185" s="243"/>
    </row>
    <row r="188" spans="1:18">
      <c r="B188" s="218" t="s">
        <v>247</v>
      </c>
    </row>
    <row r="190" spans="1:18">
      <c r="A190" s="205" t="s">
        <v>81</v>
      </c>
      <c r="B190" s="206" t="s">
        <v>202</v>
      </c>
      <c r="C190" s="206" t="s">
        <v>203</v>
      </c>
      <c r="D190" s="218" t="s">
        <v>178</v>
      </c>
    </row>
    <row r="191" spans="1:18">
      <c r="A191" s="205" t="s">
        <v>82</v>
      </c>
      <c r="B191" s="206" t="s">
        <v>204</v>
      </c>
      <c r="C191" s="206" t="s">
        <v>203</v>
      </c>
      <c r="D191" s="218" t="s">
        <v>248</v>
      </c>
    </row>
    <row r="194" spans="2:15">
      <c r="B194" s="218" t="s">
        <v>249</v>
      </c>
    </row>
    <row r="196" spans="2:15">
      <c r="B196" s="240" t="s">
        <v>207</v>
      </c>
      <c r="C196" s="240" t="s">
        <v>208</v>
      </c>
      <c r="D196" s="240" t="s">
        <v>209</v>
      </c>
      <c r="E196" s="240" t="s">
        <v>210</v>
      </c>
    </row>
    <row r="197" spans="2:15">
      <c r="B197" s="241" t="s">
        <v>178</v>
      </c>
      <c r="C197" s="241" t="s">
        <v>225</v>
      </c>
      <c r="D197" s="241" t="s">
        <v>217</v>
      </c>
      <c r="E197" s="241" t="s">
        <v>234</v>
      </c>
    </row>
    <row r="198" spans="2:15">
      <c r="B198" s="242" t="s">
        <v>250</v>
      </c>
      <c r="C198" s="242" t="s">
        <v>211</v>
      </c>
      <c r="D198" s="242" t="s">
        <v>212</v>
      </c>
      <c r="E198" s="242" t="s">
        <v>217</v>
      </c>
    </row>
    <row r="199" spans="2:15">
      <c r="B199" s="241" t="s">
        <v>251</v>
      </c>
      <c r="C199" s="241" t="s">
        <v>212</v>
      </c>
      <c r="D199" s="241" t="s">
        <v>314</v>
      </c>
      <c r="E199" s="241" t="s">
        <v>215</v>
      </c>
    </row>
    <row r="200" spans="2:15">
      <c r="B200" s="242" t="s">
        <v>248</v>
      </c>
      <c r="C200" s="242" t="s">
        <v>211</v>
      </c>
      <c r="D200" s="242" t="s">
        <v>218</v>
      </c>
      <c r="E200" s="242" t="s">
        <v>226</v>
      </c>
    </row>
    <row r="203" spans="2:15">
      <c r="B203" s="218" t="s">
        <v>253</v>
      </c>
    </row>
    <row r="204" spans="2:15">
      <c r="B204" s="212"/>
    </row>
    <row r="205" spans="2:15">
      <c r="B205" s="212" t="s">
        <v>254</v>
      </c>
    </row>
    <row r="206" spans="2:15">
      <c r="B206" s="212" t="s">
        <v>355</v>
      </c>
    </row>
    <row r="208" spans="2:15">
      <c r="K208" s="243"/>
      <c r="L208" s="244"/>
      <c r="M208" s="243"/>
      <c r="N208" s="243"/>
      <c r="O208" s="243"/>
    </row>
    <row r="209" spans="1:18">
      <c r="B209" s="243"/>
      <c r="C209" s="243"/>
      <c r="D209" s="243"/>
      <c r="E209" s="243"/>
      <c r="F209" s="243"/>
      <c r="G209" s="243"/>
      <c r="H209" s="243"/>
      <c r="I209" s="243"/>
      <c r="J209" s="243"/>
      <c r="Q209" s="243"/>
      <c r="R209" s="243"/>
    </row>
    <row r="212" spans="1:18">
      <c r="B212" s="218" t="s">
        <v>256</v>
      </c>
    </row>
    <row r="214" spans="1:18">
      <c r="A214" s="205" t="s">
        <v>83</v>
      </c>
      <c r="B214" s="206" t="s">
        <v>202</v>
      </c>
      <c r="C214" s="206" t="s">
        <v>203</v>
      </c>
      <c r="D214" s="218" t="s">
        <v>257</v>
      </c>
    </row>
    <row r="215" spans="1:18">
      <c r="A215" s="205" t="s">
        <v>84</v>
      </c>
      <c r="B215" s="206" t="s">
        <v>204</v>
      </c>
      <c r="C215" s="206" t="s">
        <v>203</v>
      </c>
      <c r="D215" s="218" t="s">
        <v>182</v>
      </c>
    </row>
    <row r="218" spans="1:18">
      <c r="B218" s="218" t="s">
        <v>258</v>
      </c>
    </row>
    <row r="220" spans="1:18">
      <c r="B220" s="240" t="s">
        <v>207</v>
      </c>
      <c r="C220" s="240" t="s">
        <v>208</v>
      </c>
      <c r="D220" s="240" t="s">
        <v>209</v>
      </c>
      <c r="E220" s="240" t="s">
        <v>210</v>
      </c>
    </row>
    <row r="221" spans="1:18">
      <c r="B221" s="241" t="s">
        <v>257</v>
      </c>
      <c r="C221" s="241" t="s">
        <v>225</v>
      </c>
      <c r="D221" s="241" t="s">
        <v>234</v>
      </c>
      <c r="E221" s="241" t="s">
        <v>316</v>
      </c>
    </row>
    <row r="222" spans="1:18">
      <c r="B222" s="242" t="s">
        <v>259</v>
      </c>
      <c r="C222" s="242" t="s">
        <v>215</v>
      </c>
      <c r="D222" s="242" t="s">
        <v>233</v>
      </c>
      <c r="E222" s="242" t="s">
        <v>215</v>
      </c>
    </row>
    <row r="223" spans="1:18">
      <c r="B223" s="241" t="s">
        <v>182</v>
      </c>
      <c r="C223" s="241" t="s">
        <v>211</v>
      </c>
      <c r="D223" s="241" t="s">
        <v>216</v>
      </c>
      <c r="E223" s="241" t="s">
        <v>213</v>
      </c>
    </row>
    <row r="224" spans="1:18">
      <c r="B224" s="242" t="s">
        <v>260</v>
      </c>
      <c r="C224" s="242" t="s">
        <v>218</v>
      </c>
      <c r="D224" s="242" t="s">
        <v>233</v>
      </c>
      <c r="E224" s="242" t="s">
        <v>218</v>
      </c>
    </row>
    <row r="227" spans="1:18">
      <c r="B227" s="218" t="s">
        <v>261</v>
      </c>
    </row>
    <row r="228" spans="1:18">
      <c r="B228" s="212"/>
    </row>
    <row r="229" spans="1:18">
      <c r="B229" s="212" t="s">
        <v>262</v>
      </c>
    </row>
    <row r="230" spans="1:18">
      <c r="B230" s="212" t="s">
        <v>263</v>
      </c>
    </row>
    <row r="232" spans="1:18">
      <c r="K232" s="243"/>
      <c r="L232" s="244"/>
      <c r="M232" s="243"/>
      <c r="N232" s="243"/>
      <c r="O232" s="243"/>
    </row>
    <row r="233" spans="1:18">
      <c r="B233" s="243"/>
      <c r="C233" s="243"/>
      <c r="D233" s="243"/>
      <c r="E233" s="243"/>
      <c r="F233" s="243"/>
      <c r="G233" s="243"/>
      <c r="H233" s="243"/>
      <c r="I233" s="243"/>
      <c r="J233" s="243"/>
      <c r="Q233" s="243"/>
      <c r="R233" s="243"/>
    </row>
    <row r="236" spans="1:18">
      <c r="B236" s="218" t="s">
        <v>264</v>
      </c>
    </row>
    <row r="238" spans="1:18">
      <c r="A238" s="205" t="s">
        <v>85</v>
      </c>
      <c r="B238" s="206" t="s">
        <v>202</v>
      </c>
      <c r="C238" s="206" t="s">
        <v>203</v>
      </c>
      <c r="D238" s="218" t="s">
        <v>265</v>
      </c>
    </row>
    <row r="239" spans="1:18">
      <c r="A239" s="205" t="s">
        <v>86</v>
      </c>
      <c r="B239" s="206" t="s">
        <v>204</v>
      </c>
      <c r="C239" s="206" t="s">
        <v>203</v>
      </c>
      <c r="D239" s="218" t="s">
        <v>268</v>
      </c>
    </row>
    <row r="242" spans="2:18">
      <c r="B242" s="218" t="s">
        <v>267</v>
      </c>
    </row>
    <row r="244" spans="2:18">
      <c r="B244" s="240" t="s">
        <v>207</v>
      </c>
      <c r="C244" s="240" t="s">
        <v>208</v>
      </c>
      <c r="D244" s="240" t="s">
        <v>209</v>
      </c>
      <c r="E244" s="240" t="s">
        <v>210</v>
      </c>
    </row>
    <row r="245" spans="2:18">
      <c r="B245" s="241" t="s">
        <v>268</v>
      </c>
      <c r="C245" s="241" t="s">
        <v>226</v>
      </c>
      <c r="D245" s="241" t="s">
        <v>215</v>
      </c>
      <c r="E245" s="241" t="s">
        <v>217</v>
      </c>
    </row>
    <row r="246" spans="2:18">
      <c r="B246" s="242" t="s">
        <v>265</v>
      </c>
      <c r="C246" s="242" t="s">
        <v>225</v>
      </c>
      <c r="D246" s="242" t="s">
        <v>226</v>
      </c>
      <c r="E246" s="242" t="s">
        <v>234</v>
      </c>
    </row>
    <row r="247" spans="2:18">
      <c r="B247" s="241" t="s">
        <v>266</v>
      </c>
      <c r="C247" s="241" t="s">
        <v>213</v>
      </c>
      <c r="D247" s="241" t="s">
        <v>227</v>
      </c>
      <c r="E247" s="241" t="s">
        <v>215</v>
      </c>
    </row>
    <row r="248" spans="2:18">
      <c r="B248" s="242" t="s">
        <v>269</v>
      </c>
      <c r="C248" s="242" t="s">
        <v>212</v>
      </c>
      <c r="D248" s="242" t="s">
        <v>314</v>
      </c>
      <c r="E248" s="242" t="s">
        <v>212</v>
      </c>
    </row>
    <row r="251" spans="2:18">
      <c r="B251" s="218" t="s">
        <v>270</v>
      </c>
    </row>
    <row r="252" spans="2:18">
      <c r="B252" s="212"/>
    </row>
    <row r="253" spans="2:18">
      <c r="B253" s="212" t="s">
        <v>271</v>
      </c>
    </row>
    <row r="254" spans="2:18">
      <c r="B254" s="212" t="s">
        <v>272</v>
      </c>
    </row>
    <row r="256" spans="2:18">
      <c r="B256" s="243"/>
      <c r="C256" s="243"/>
      <c r="D256" s="243"/>
      <c r="E256" s="243"/>
      <c r="F256" s="243"/>
      <c r="G256" s="243"/>
      <c r="H256" s="243"/>
      <c r="I256" s="243"/>
      <c r="J256" s="243"/>
      <c r="Q256" s="243"/>
      <c r="R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276</v>
      </c>
    </row>
    <row r="265" spans="1:5">
      <c r="B265" s="218" t="s">
        <v>275</v>
      </c>
    </row>
    <row r="267" spans="1:5">
      <c r="B267" s="240" t="s">
        <v>207</v>
      </c>
      <c r="C267" s="240" t="s">
        <v>208</v>
      </c>
      <c r="D267" s="240" t="s">
        <v>209</v>
      </c>
      <c r="E267" s="240" t="s">
        <v>210</v>
      </c>
    </row>
    <row r="268" spans="1:5">
      <c r="B268" s="241" t="s">
        <v>274</v>
      </c>
      <c r="C268" s="241" t="s">
        <v>211</v>
      </c>
      <c r="D268" s="241" t="s">
        <v>216</v>
      </c>
      <c r="E268" s="241" t="s">
        <v>213</v>
      </c>
    </row>
    <row r="269" spans="1:5">
      <c r="B269" s="242" t="s">
        <v>200</v>
      </c>
      <c r="C269" s="242" t="s">
        <v>225</v>
      </c>
      <c r="D269" s="242" t="s">
        <v>217</v>
      </c>
      <c r="E269" s="242" t="s">
        <v>226</v>
      </c>
    </row>
    <row r="270" spans="1:5">
      <c r="B270" s="241" t="s">
        <v>276</v>
      </c>
      <c r="C270" s="241" t="s">
        <v>211</v>
      </c>
      <c r="D270" s="241" t="s">
        <v>212</v>
      </c>
      <c r="E270" s="241" t="s">
        <v>213</v>
      </c>
    </row>
    <row r="271" spans="1:5">
      <c r="B271" s="242" t="s">
        <v>277</v>
      </c>
      <c r="C271" s="242" t="s">
        <v>212</v>
      </c>
      <c r="D271" s="242" t="s">
        <v>243</v>
      </c>
      <c r="E271" s="242" t="s">
        <v>218</v>
      </c>
    </row>
    <row r="274" spans="2:18">
      <c r="B274" s="218" t="s">
        <v>278</v>
      </c>
    </row>
    <row r="275" spans="2:18">
      <c r="B275" s="212"/>
    </row>
    <row r="276" spans="2:18">
      <c r="B276" s="212" t="s">
        <v>279</v>
      </c>
    </row>
    <row r="277" spans="2:18">
      <c r="B277" s="212" t="s">
        <v>339</v>
      </c>
    </row>
    <row r="279" spans="2:18">
      <c r="K279" s="243"/>
      <c r="L279" s="244"/>
      <c r="M279" s="243"/>
      <c r="N279" s="243"/>
      <c r="O279" s="243"/>
    </row>
    <row r="280" spans="2:18">
      <c r="B280" s="243"/>
      <c r="C280" s="243"/>
      <c r="D280" s="243"/>
      <c r="E280" s="243"/>
      <c r="F280" s="243"/>
      <c r="G280" s="243"/>
      <c r="H280" s="243"/>
      <c r="I280" s="243"/>
      <c r="J280" s="243"/>
      <c r="Q280" s="243"/>
      <c r="R280" s="243"/>
    </row>
    <row r="285" spans="2:18" ht="45" customHeight="1">
      <c r="B285" s="206" t="s">
        <v>281</v>
      </c>
    </row>
    <row r="287" spans="2:18">
      <c r="B287" s="245" t="s">
        <v>282</v>
      </c>
    </row>
    <row r="288" spans="2:18">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hyperlinks>
    <hyperlink ref="B295" r:id="rId1"/>
    <hyperlink ref="B296" r:id="rId2"/>
    <hyperlink ref="B297" r:id="rId3"/>
    <hyperlink ref="B298" r:id="rId4"/>
    <hyperlink ref="B300" r:id="rId5"/>
    <hyperlink ref="B301" r:id="rId6"/>
    <hyperlink ref="B302" r:id="rId7"/>
    <hyperlink ref="B304" r:id="rId8"/>
    <hyperlink ref="B305" r:id="rId9"/>
    <hyperlink ref="B306" r:id="rId10"/>
    <hyperlink ref="B308" r:id="rId11"/>
  </hyperlinks>
  <pageMargins left="0.75" right="0.75" top="1" bottom="1" header="0.51180555555555551" footer="0.51180555555555551"/>
  <pageSetup firstPageNumber="0" orientation="portrait" horizontalDpi="300" verticalDpi="300"/>
  <headerFooter alignWithMargins="0"/>
  <drawing r:id="rId12"/>
</worksheet>
</file>

<file path=xl/worksheets/sheet14.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336</v>
      </c>
      <c r="L1" s="211"/>
      <c r="P1" s="210">
        <f>SUM(P14:P89)+E11+H11+L7+L11</f>
        <v>395</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Paraguay</v>
      </c>
      <c r="H6" s="247">
        <f>IF(AND(ISNA(MATCH(G6,Invulblad!$F$87:$F$90,0)),ISNA(MATCH(G6,Invulblad!$J$87:$J$90,0))),0,15)</f>
        <v>15</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Italië</v>
      </c>
      <c r="E7" s="247">
        <f>IF(AND(ISNA(MATCH(D7,Invulblad!$F$76:$F$83,0)),ISNA(MATCH(D7,Invulblad!$J$76:$J$83,0))),0,10)</f>
        <v>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Zwitserland</v>
      </c>
      <c r="E8" s="247">
        <f>IF(AND(ISNA(MATCH(D8,Invulblad!$F$76:$F$83,0)),ISNA(MATCH(D8,Invulblad!$J$76:$J$83,0))),0,10)</f>
        <v>0</v>
      </c>
      <c r="G8" s="212" t="str">
        <f>G80</f>
        <v>Engeland</v>
      </c>
      <c r="H8" s="247">
        <f>IF(AND(ISNA(MATCH(G8,Invulblad!$F$87:$F$90,0)),ISNA(MATCH(G8,Invulblad!$J$87:$J$90,0))),0,15)</f>
        <v>0</v>
      </c>
      <c r="J8" s="213" t="s">
        <v>49</v>
      </c>
      <c r="L8" s="214"/>
    </row>
    <row r="9" spans="1:17" s="212" customFormat="1" ht="15" customHeight="1">
      <c r="B9" s="212" t="str">
        <f t="shared" si="0"/>
        <v>Paraguay</v>
      </c>
      <c r="C9" s="247">
        <f>IF(AND(ISNA(MATCH(B9,Invulblad!$F$76:$F$83,0)),ISNA(MATCH(B9,Invulblad!$J$76:$J$83,0))),0,10)</f>
        <v>10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100</v>
      </c>
      <c r="G11" s="215" t="s">
        <v>92</v>
      </c>
      <c r="H11" s="250">
        <f>SUM(H3:H10)</f>
        <v>90</v>
      </c>
      <c r="J11" s="215" t="s">
        <v>101</v>
      </c>
      <c r="K11" s="216"/>
      <c r="L11" s="250">
        <f>SUM(L9:L10)</f>
        <v>0</v>
      </c>
    </row>
    <row r="12" spans="1:17">
      <c r="B12" s="218" t="s">
        <v>19</v>
      </c>
      <c r="C12" s="218"/>
      <c r="D12" s="218"/>
      <c r="E12" s="219" t="str">
        <f>IF(H89&gt;J89,E89,G89)</f>
        <v>Brazilië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0</v>
      </c>
      <c r="I15" s="229" t="s">
        <v>29</v>
      </c>
      <c r="J15" s="229">
        <v>1</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2</v>
      </c>
      <c r="I16" s="229" t="s">
        <v>29</v>
      </c>
      <c r="J16" s="229">
        <v>1</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0</v>
      </c>
      <c r="I17" s="229" t="s">
        <v>29</v>
      </c>
      <c r="J17" s="229">
        <v>0</v>
      </c>
      <c r="K17" s="235">
        <f t="shared" si="2"/>
        <v>3</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0</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3</v>
      </c>
      <c r="I19" s="229" t="s">
        <v>29</v>
      </c>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1</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10</v>
      </c>
    </row>
    <row r="22" spans="1:16">
      <c r="A22" s="205">
        <v>10</v>
      </c>
      <c r="B22" s="212">
        <v>4</v>
      </c>
      <c r="C22" s="226">
        <v>40341</v>
      </c>
      <c r="D22" s="227">
        <v>0.5625</v>
      </c>
      <c r="E22" s="228" t="s">
        <v>303</v>
      </c>
      <c r="F22" s="229" t="s">
        <v>29</v>
      </c>
      <c r="G22" s="212" t="s">
        <v>119</v>
      </c>
      <c r="H22" s="229">
        <v>2</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10</v>
      </c>
    </row>
    <row r="23" spans="1:16">
      <c r="A23" s="205">
        <v>11</v>
      </c>
      <c r="B23" s="212">
        <v>19</v>
      </c>
      <c r="C23" s="226">
        <v>40346</v>
      </c>
      <c r="D23" s="227">
        <v>0.66666666666666663</v>
      </c>
      <c r="E23" s="228" t="s">
        <v>304</v>
      </c>
      <c r="F23" s="229" t="s">
        <v>29</v>
      </c>
      <c r="G23" s="212" t="s">
        <v>117</v>
      </c>
      <c r="H23" s="229">
        <v>1</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1</v>
      </c>
      <c r="I26" s="229" t="s">
        <v>29</v>
      </c>
      <c r="J26" s="229">
        <v>3</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0</v>
      </c>
      <c r="I28" s="229" t="s">
        <v>29</v>
      </c>
      <c r="J28" s="229">
        <v>0</v>
      </c>
      <c r="K28" s="235">
        <f t="shared" si="2"/>
        <v>3</v>
      </c>
      <c r="L28" s="233">
        <f>VLOOKUP($B28,Invulblad!$A$11:$S$103,13,0)</f>
        <v>3</v>
      </c>
      <c r="M28" s="234">
        <f>IF(L28&lt;&gt;"",VLOOKUP($B28,Invulblad!$A$11:$S$103,7,0),"")</f>
        <v>1</v>
      </c>
      <c r="N28" s="229" t="s">
        <v>29</v>
      </c>
      <c r="O28" s="234">
        <f>IF(L28&lt;&gt;"",VLOOKUP($B28,Invulblad!$A$11:$S$103,9,0),"")</f>
        <v>1</v>
      </c>
      <c r="P28" s="235">
        <f t="shared" ref="P28:P33" si="5">IF(L28&lt;&gt;"",IF(AND(M28=H28,O28=J28),10,IF(K28=L28,5,0)),"")</f>
        <v>5</v>
      </c>
    </row>
    <row r="29" spans="1:16">
      <c r="A29" s="205">
        <v>18</v>
      </c>
      <c r="B29" s="212">
        <v>6</v>
      </c>
      <c r="C29" s="226">
        <v>40342</v>
      </c>
      <c r="D29" s="227">
        <v>0.5625</v>
      </c>
      <c r="E29" s="228" t="s">
        <v>307</v>
      </c>
      <c r="F29" s="229" t="s">
        <v>29</v>
      </c>
      <c r="G29" s="212" t="s">
        <v>127</v>
      </c>
      <c r="H29" s="229">
        <v>1</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0</v>
      </c>
      <c r="I30" s="229" t="s">
        <v>29</v>
      </c>
      <c r="J30" s="229">
        <v>1</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3</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0</v>
      </c>
      <c r="I33" s="229" t="s">
        <v>29</v>
      </c>
      <c r="J33" s="229">
        <v>1</v>
      </c>
      <c r="K33" s="235">
        <f t="shared" si="2"/>
        <v>2</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1</v>
      </c>
      <c r="I35" s="229" t="s">
        <v>29</v>
      </c>
      <c r="J35" s="229">
        <v>1</v>
      </c>
      <c r="K35" s="235">
        <f t="shared" si="2"/>
        <v>3</v>
      </c>
      <c r="L35" s="233" t="str">
        <f>VLOOKUP($B35,Invulblad!$A$11:$S$103,13,0)</f>
        <v>1</v>
      </c>
      <c r="M35" s="234">
        <f>IF(L35&lt;&gt;"",VLOOKUP($B35,Invulblad!$A$11:$S$103,7,0),"")</f>
        <v>4</v>
      </c>
      <c r="N35" s="229" t="s">
        <v>29</v>
      </c>
      <c r="O35" s="234">
        <f>IF(L35&lt;&gt;"",VLOOKUP($B35,Invulblad!$A$11:$S$103,9,0),"")</f>
        <v>0</v>
      </c>
      <c r="P35" s="235">
        <f t="shared" ref="P35:P40" si="6">IF(L35&lt;&gt;"",IF(AND(M35=H35,O35=J35),10,IF(K35=L35,5,0)),"")</f>
        <v>0</v>
      </c>
    </row>
    <row r="36" spans="1:16">
      <c r="A36" s="205">
        <v>26</v>
      </c>
      <c r="B36" s="212">
        <v>8</v>
      </c>
      <c r="C36" s="226">
        <v>40342</v>
      </c>
      <c r="D36" s="227">
        <v>0.66666666666666663</v>
      </c>
      <c r="E36" s="228" t="s">
        <v>133</v>
      </c>
      <c r="F36" s="229" t="s">
        <v>29</v>
      </c>
      <c r="G36" s="212" t="s">
        <v>134</v>
      </c>
      <c r="H36" s="229">
        <v>1</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2</v>
      </c>
      <c r="I37" s="229" t="s">
        <v>29</v>
      </c>
      <c r="J37" s="229">
        <v>2</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0</v>
      </c>
      <c r="I38" s="229" t="s">
        <v>29</v>
      </c>
      <c r="J38" s="229">
        <v>1</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1</v>
      </c>
      <c r="K40" s="235">
        <f t="shared" si="2"/>
        <v>3</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3</v>
      </c>
      <c r="I45" s="229" t="s">
        <v>29</v>
      </c>
      <c r="J45" s="229">
        <v>1</v>
      </c>
      <c r="K45" s="235" t="str">
        <f t="shared" si="2"/>
        <v>1</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1</v>
      </c>
      <c r="I46" s="229" t="s">
        <v>29</v>
      </c>
      <c r="J46" s="229">
        <v>1</v>
      </c>
      <c r="K46" s="235">
        <f t="shared" ref="K46:K77" si="8">IF(AND(H46="",J46=""),"",IF(OR(H46="",J46=""),"FOUT",IF(H46&gt;J46,"1",IF(H46=J46,3,2))))</f>
        <v>3</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1</v>
      </c>
      <c r="K49" s="235">
        <f t="shared" si="8"/>
        <v>3</v>
      </c>
      <c r="L49" s="233">
        <f>VLOOKUP($B49,Invulblad!$A$11:$S$103,13,0)</f>
        <v>3</v>
      </c>
      <c r="M49" s="234">
        <f>IF(L49&lt;&gt;"",VLOOKUP($B49,Invulblad!$A$11:$S$103,7,0),"")</f>
        <v>1</v>
      </c>
      <c r="N49" s="229" t="s">
        <v>29</v>
      </c>
      <c r="O49" s="234">
        <f>IF(L49&lt;&gt;"",VLOOKUP($B49,Invulblad!$A$11:$S$103,9,0),"")</f>
        <v>1</v>
      </c>
      <c r="P49" s="235">
        <f t="shared" ref="P49:P54" si="9">IF(L49&lt;&gt;"",IF(AND(M49=H49,O49=J49),10,IF(K49=L49,5,0)),"")</f>
        <v>10</v>
      </c>
    </row>
    <row r="50" spans="1:16">
      <c r="A50" s="205">
        <v>42</v>
      </c>
      <c r="B50" s="212">
        <v>12</v>
      </c>
      <c r="C50" s="226">
        <v>40344</v>
      </c>
      <c r="D50" s="227">
        <v>0.5625</v>
      </c>
      <c r="E50" s="228" t="s">
        <v>149</v>
      </c>
      <c r="F50" s="229" t="s">
        <v>29</v>
      </c>
      <c r="G50" s="212" t="s">
        <v>150</v>
      </c>
      <c r="H50" s="229">
        <v>1</v>
      </c>
      <c r="I50" s="229" t="s">
        <v>29</v>
      </c>
      <c r="J50" s="229">
        <v>1</v>
      </c>
      <c r="K50" s="235">
        <f t="shared" si="8"/>
        <v>3</v>
      </c>
      <c r="L50" s="233">
        <f>VLOOKUP($B50,Invulblad!$A$11:$S$103,13,0)</f>
        <v>3</v>
      </c>
      <c r="M50" s="234">
        <f>IF(L50&lt;&gt;"",VLOOKUP($B50,Invulblad!$A$11:$S$103,7,0),"")</f>
        <v>1</v>
      </c>
      <c r="N50" s="229" t="s">
        <v>29</v>
      </c>
      <c r="O50" s="234">
        <f>IF(L50&lt;&gt;"",VLOOKUP($B50,Invulblad!$A$11:$S$103,9,0),"")</f>
        <v>1</v>
      </c>
      <c r="P50" s="235">
        <f t="shared" si="9"/>
        <v>10</v>
      </c>
    </row>
    <row r="51" spans="1:16">
      <c r="A51" s="205">
        <v>43</v>
      </c>
      <c r="B51" s="212">
        <v>27</v>
      </c>
      <c r="C51" s="226">
        <v>40349</v>
      </c>
      <c r="D51" s="227">
        <v>0.5625</v>
      </c>
      <c r="E51" s="228" t="s">
        <v>151</v>
      </c>
      <c r="F51" s="229" t="s">
        <v>29</v>
      </c>
      <c r="G51" s="212" t="s">
        <v>148</v>
      </c>
      <c r="H51" s="229">
        <v>0</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10</v>
      </c>
    </row>
    <row r="52" spans="1:16">
      <c r="A52" s="205">
        <v>44</v>
      </c>
      <c r="B52" s="212">
        <v>28</v>
      </c>
      <c r="C52" s="226">
        <v>40349</v>
      </c>
      <c r="D52" s="227">
        <v>0.66666666666666663</v>
      </c>
      <c r="E52" s="228" t="s">
        <v>147</v>
      </c>
      <c r="F52" s="229" t="s">
        <v>29</v>
      </c>
      <c r="G52" s="212" t="s">
        <v>152</v>
      </c>
      <c r="H52" s="229">
        <v>1</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1</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0</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1</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0</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1</v>
      </c>
      <c r="I61" s="229" t="s">
        <v>29</v>
      </c>
      <c r="J61" s="229">
        <v>3</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1</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2</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5</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3</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122</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240</v>
      </c>
      <c r="H71" s="229">
        <v>1</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32</v>
      </c>
      <c r="H72" s="229">
        <v>2</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257</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276</v>
      </c>
      <c r="H75" s="229">
        <v>0</v>
      </c>
      <c r="I75" s="229" t="s">
        <v>29</v>
      </c>
      <c r="J75" s="229">
        <v>0</v>
      </c>
      <c r="K75" s="235">
        <f t="shared" si="8"/>
        <v>3</v>
      </c>
      <c r="L75" s="233" t="str">
        <f>VLOOKUP($B75,Invulblad!$A$11:$S$103,13,0)</f>
        <v>1</v>
      </c>
      <c r="M75" s="234">
        <f>IF(L75&lt;&gt;"",VLOOKUP($B75,Invulblad!$A$11:$S$103,7,0),"")</f>
        <v>3</v>
      </c>
      <c r="N75" s="229" t="s">
        <v>29</v>
      </c>
      <c r="O75" s="234">
        <f>IF(L75&lt;&gt;"",VLOOKUP($B75,Invulblad!$A$11:$S$103,9,0),"")</f>
        <v>0</v>
      </c>
      <c r="P75" s="235">
        <f t="shared" si="12"/>
        <v>0</v>
      </c>
    </row>
    <row r="76" spans="1:16">
      <c r="A76" s="205">
        <v>71</v>
      </c>
      <c r="B76" s="212">
        <v>55</v>
      </c>
      <c r="C76" s="226">
        <v>40358</v>
      </c>
      <c r="D76" s="227">
        <v>0.66666666666666663</v>
      </c>
      <c r="E76" s="223" t="s">
        <v>182</v>
      </c>
      <c r="F76" s="229" t="s">
        <v>29</v>
      </c>
      <c r="G76" s="212" t="s">
        <v>248</v>
      </c>
      <c r="H76" s="229">
        <v>2</v>
      </c>
      <c r="I76" s="229" t="s">
        <v>29</v>
      </c>
      <c r="J76" s="229">
        <v>1</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1</v>
      </c>
      <c r="I77" s="229" t="s">
        <v>29</v>
      </c>
      <c r="J77" s="229">
        <v>1</v>
      </c>
      <c r="K77" s="235">
        <f t="shared" si="8"/>
        <v>3</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1</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124</v>
      </c>
      <c r="H80" s="229">
        <v>1</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3</v>
      </c>
      <c r="I81" s="229" t="s">
        <v>29</v>
      </c>
      <c r="J81" s="229">
        <v>1</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182</v>
      </c>
      <c r="F82" s="229" t="s">
        <v>29</v>
      </c>
      <c r="G82" s="222" t="s">
        <v>200</v>
      </c>
      <c r="H82" s="229">
        <v>1</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2</v>
      </c>
      <c r="I84" s="229" t="s">
        <v>29</v>
      </c>
      <c r="J84" s="229">
        <v>2</v>
      </c>
      <c r="K84" s="235">
        <f t="shared" si="13"/>
        <v>3</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8" t="s">
        <v>116</v>
      </c>
      <c r="F85" s="229" t="s">
        <v>29</v>
      </c>
      <c r="G85" s="222" t="s">
        <v>200</v>
      </c>
      <c r="H85" s="229">
        <v>0</v>
      </c>
      <c r="I85" s="229" t="s">
        <v>29</v>
      </c>
      <c r="J85" s="229">
        <v>0</v>
      </c>
      <c r="K85" s="235">
        <f t="shared" si="13"/>
        <v>3</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3" t="s">
        <v>124</v>
      </c>
      <c r="F87" s="229" t="s">
        <v>29</v>
      </c>
      <c r="G87" s="212" t="s">
        <v>116</v>
      </c>
      <c r="H87" s="229">
        <v>1</v>
      </c>
      <c r="I87" s="229" t="s">
        <v>29</v>
      </c>
      <c r="J87" s="229">
        <v>1</v>
      </c>
      <c r="K87" s="235">
        <f t="shared" si="13"/>
        <v>3</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200</v>
      </c>
      <c r="H89" s="229">
        <v>3</v>
      </c>
      <c r="I89" s="229" t="s">
        <v>29</v>
      </c>
      <c r="J89" s="229">
        <v>2</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234</v>
      </c>
      <c r="D101" s="241" t="s">
        <v>213</v>
      </c>
      <c r="E101" s="241" t="s">
        <v>211</v>
      </c>
    </row>
    <row r="102" spans="2:5">
      <c r="B102" s="242" t="s">
        <v>214</v>
      </c>
      <c r="C102" s="242" t="s">
        <v>234</v>
      </c>
      <c r="D102" s="242" t="s">
        <v>215</v>
      </c>
      <c r="E102" s="242" t="s">
        <v>213</v>
      </c>
    </row>
    <row r="103" spans="2:5">
      <c r="B103" s="241" t="s">
        <v>109</v>
      </c>
      <c r="C103" s="241" t="s">
        <v>212</v>
      </c>
      <c r="D103" s="241" t="s">
        <v>233</v>
      </c>
      <c r="E103" s="241" t="s">
        <v>218</v>
      </c>
    </row>
    <row r="104" spans="2:5">
      <c r="B104" s="242" t="s">
        <v>107</v>
      </c>
      <c r="C104" s="242" t="s">
        <v>213</v>
      </c>
      <c r="D104" s="242" t="s">
        <v>227</v>
      </c>
      <c r="E104" s="242" t="s">
        <v>211</v>
      </c>
    </row>
    <row r="107" spans="2:5">
      <c r="B107" s="218" t="s">
        <v>219</v>
      </c>
    </row>
    <row r="108" spans="2:5">
      <c r="B108" s="212"/>
    </row>
    <row r="109" spans="2:5">
      <c r="B109" s="212" t="s">
        <v>319</v>
      </c>
    </row>
    <row r="110" spans="2:5">
      <c r="B110" s="212"/>
    </row>
    <row r="113" spans="1:15">
      <c r="B113" s="243"/>
      <c r="C113" s="243"/>
      <c r="D113" s="243"/>
      <c r="E113" s="243"/>
      <c r="F113" s="243"/>
      <c r="G113" s="243"/>
      <c r="H113" s="243"/>
      <c r="I113" s="243"/>
      <c r="J113" s="243"/>
    </row>
    <row r="114" spans="1:15">
      <c r="K114" s="243"/>
      <c r="L114" s="244"/>
      <c r="M114" s="243"/>
      <c r="N114" s="243"/>
      <c r="O114" s="243"/>
    </row>
    <row r="116" spans="1:15">
      <c r="A116" s="206"/>
      <c r="B116" s="218" t="s">
        <v>222</v>
      </c>
    </row>
    <row r="118" spans="1:15">
      <c r="A118" s="205" t="s">
        <v>75</v>
      </c>
      <c r="B118" s="206" t="s">
        <v>202</v>
      </c>
      <c r="C118" s="206" t="s">
        <v>203</v>
      </c>
      <c r="D118" s="218" t="s">
        <v>116</v>
      </c>
    </row>
    <row r="119" spans="1:15">
      <c r="A119" s="252"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212</v>
      </c>
      <c r="D125" s="241" t="s">
        <v>224</v>
      </c>
      <c r="E125" s="241" t="s">
        <v>215</v>
      </c>
    </row>
    <row r="126" spans="1:15">
      <c r="B126" s="242" t="s">
        <v>116</v>
      </c>
      <c r="C126" s="242" t="s">
        <v>225</v>
      </c>
      <c r="D126" s="242" t="s">
        <v>211</v>
      </c>
      <c r="E126" s="242" t="s">
        <v>226</v>
      </c>
    </row>
    <row r="127" spans="1:15">
      <c r="B127" s="241" t="s">
        <v>122</v>
      </c>
      <c r="C127" s="241" t="s">
        <v>226</v>
      </c>
      <c r="D127" s="241" t="s">
        <v>218</v>
      </c>
      <c r="E127" s="241" t="s">
        <v>213</v>
      </c>
    </row>
    <row r="128" spans="1:15">
      <c r="B128" s="242" t="s">
        <v>118</v>
      </c>
      <c r="C128" s="242" t="s">
        <v>213</v>
      </c>
      <c r="D128" s="242" t="s">
        <v>212</v>
      </c>
      <c r="E128" s="242" t="s">
        <v>213</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233</v>
      </c>
      <c r="E149" s="241" t="s">
        <v>215</v>
      </c>
    </row>
    <row r="150" spans="2:5">
      <c r="B150" s="242" t="s">
        <v>124</v>
      </c>
      <c r="C150" s="242" t="s">
        <v>234</v>
      </c>
      <c r="D150" s="242" t="s">
        <v>211</v>
      </c>
      <c r="E150" s="242" t="s">
        <v>217</v>
      </c>
    </row>
    <row r="151" spans="2:5">
      <c r="B151" s="241" t="s">
        <v>128</v>
      </c>
      <c r="C151" s="241" t="s">
        <v>213</v>
      </c>
      <c r="D151" s="241" t="s">
        <v>216</v>
      </c>
      <c r="E151" s="241" t="s">
        <v>213</v>
      </c>
    </row>
    <row r="152" spans="2:5">
      <c r="B152" s="242" t="s">
        <v>32</v>
      </c>
      <c r="C152" s="242" t="s">
        <v>211</v>
      </c>
      <c r="D152" s="242" t="s">
        <v>212</v>
      </c>
      <c r="E152" s="242" t="s">
        <v>218</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217</v>
      </c>
      <c r="D173" s="241" t="s">
        <v>218</v>
      </c>
      <c r="E173" s="241" t="s">
        <v>217</v>
      </c>
    </row>
    <row r="174" spans="1:15">
      <c r="B174" s="242" t="s">
        <v>242</v>
      </c>
      <c r="C174" s="242" t="s">
        <v>217</v>
      </c>
      <c r="D174" s="242" t="s">
        <v>218</v>
      </c>
      <c r="E174" s="242" t="s">
        <v>213</v>
      </c>
    </row>
    <row r="175" spans="1:15">
      <c r="B175" s="241" t="s">
        <v>244</v>
      </c>
      <c r="C175" s="241" t="s">
        <v>212</v>
      </c>
      <c r="D175" s="241" t="s">
        <v>233</v>
      </c>
      <c r="E175" s="241" t="s">
        <v>218</v>
      </c>
    </row>
    <row r="176" spans="1:15">
      <c r="B176" s="242" t="s">
        <v>240</v>
      </c>
      <c r="C176" s="242" t="s">
        <v>217</v>
      </c>
      <c r="D176" s="242" t="s">
        <v>218</v>
      </c>
      <c r="E176" s="242" t="s">
        <v>211</v>
      </c>
    </row>
    <row r="179" spans="1:15">
      <c r="B179" s="218" t="s">
        <v>245</v>
      </c>
    </row>
    <row r="180" spans="1:15">
      <c r="B180" s="212"/>
    </row>
    <row r="181" spans="1:15">
      <c r="B181" s="212" t="s">
        <v>337</v>
      </c>
    </row>
    <row r="182" spans="1:15">
      <c r="B182" s="212" t="s">
        <v>338</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225</v>
      </c>
      <c r="D197" s="241" t="s">
        <v>211</v>
      </c>
      <c r="E197" s="241" t="s">
        <v>217</v>
      </c>
    </row>
    <row r="198" spans="2:5">
      <c r="B198" s="242" t="s">
        <v>250</v>
      </c>
      <c r="C198" s="242" t="s">
        <v>218</v>
      </c>
      <c r="D198" s="242" t="s">
        <v>233</v>
      </c>
      <c r="E198" s="242" t="s">
        <v>215</v>
      </c>
    </row>
    <row r="199" spans="2:5">
      <c r="B199" s="241" t="s">
        <v>251</v>
      </c>
      <c r="C199" s="241" t="s">
        <v>218</v>
      </c>
      <c r="D199" s="241" t="s">
        <v>233</v>
      </c>
      <c r="E199" s="241" t="s">
        <v>218</v>
      </c>
    </row>
    <row r="200" spans="2:5">
      <c r="B200" s="242" t="s">
        <v>248</v>
      </c>
      <c r="C200" s="242" t="s">
        <v>226</v>
      </c>
      <c r="D200" s="242" t="s">
        <v>215</v>
      </c>
      <c r="E200" s="242" t="s">
        <v>217</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182</v>
      </c>
    </row>
    <row r="215" spans="1:15">
      <c r="A215" s="205" t="s">
        <v>84</v>
      </c>
      <c r="B215" s="206" t="s">
        <v>204</v>
      </c>
      <c r="C215" s="206" t="s">
        <v>203</v>
      </c>
      <c r="D215" s="218" t="s">
        <v>257</v>
      </c>
    </row>
    <row r="218" spans="1:15">
      <c r="B218" s="218" t="s">
        <v>258</v>
      </c>
    </row>
    <row r="220" spans="1:15">
      <c r="B220" s="240" t="s">
        <v>207</v>
      </c>
      <c r="C220" s="240" t="s">
        <v>208</v>
      </c>
      <c r="D220" s="240" t="s">
        <v>209</v>
      </c>
      <c r="E220" s="240" t="s">
        <v>210</v>
      </c>
    </row>
    <row r="221" spans="1:15">
      <c r="B221" s="241" t="s">
        <v>257</v>
      </c>
      <c r="C221" s="241" t="s">
        <v>234</v>
      </c>
      <c r="D221" s="241" t="s">
        <v>215</v>
      </c>
      <c r="E221" s="241" t="s">
        <v>213</v>
      </c>
    </row>
    <row r="222" spans="1:15">
      <c r="B222" s="242" t="s">
        <v>259</v>
      </c>
      <c r="C222" s="242" t="s">
        <v>218</v>
      </c>
      <c r="D222" s="242" t="s">
        <v>233</v>
      </c>
      <c r="E222" s="242" t="s">
        <v>218</v>
      </c>
    </row>
    <row r="223" spans="1:15">
      <c r="B223" s="241" t="s">
        <v>182</v>
      </c>
      <c r="C223" s="241" t="s">
        <v>234</v>
      </c>
      <c r="D223" s="241" t="s">
        <v>211</v>
      </c>
      <c r="E223" s="241" t="s">
        <v>217</v>
      </c>
    </row>
    <row r="224" spans="1:15">
      <c r="B224" s="242" t="s">
        <v>260</v>
      </c>
      <c r="C224" s="242" t="s">
        <v>218</v>
      </c>
      <c r="D224" s="242" t="s">
        <v>233</v>
      </c>
      <c r="E224" s="242" t="s">
        <v>218</v>
      </c>
    </row>
    <row r="227" spans="1:15">
      <c r="B227" s="218" t="s">
        <v>261</v>
      </c>
    </row>
    <row r="228" spans="1:15">
      <c r="B228" s="212"/>
    </row>
    <row r="229" spans="1:15">
      <c r="B229" s="212" t="s">
        <v>315</v>
      </c>
    </row>
    <row r="230" spans="1:15">
      <c r="B230" s="212"/>
    </row>
    <row r="233" spans="1:15">
      <c r="B233" s="243"/>
      <c r="C233" s="243"/>
      <c r="D233" s="243"/>
      <c r="E233" s="243"/>
      <c r="F233" s="243"/>
      <c r="G233" s="243"/>
      <c r="H233" s="243"/>
      <c r="I233" s="243"/>
      <c r="J233" s="243"/>
    </row>
    <row r="234" spans="1:15">
      <c r="K234" s="243"/>
      <c r="L234" s="244"/>
      <c r="M234" s="243"/>
      <c r="N234" s="243"/>
      <c r="O234"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226</v>
      </c>
      <c r="D245" s="241" t="s">
        <v>218</v>
      </c>
      <c r="E245" s="241" t="s">
        <v>213</v>
      </c>
    </row>
    <row r="246" spans="2:10">
      <c r="B246" s="242" t="s">
        <v>265</v>
      </c>
      <c r="C246" s="242" t="s">
        <v>225</v>
      </c>
      <c r="D246" s="242" t="s">
        <v>316</v>
      </c>
      <c r="E246" s="242" t="s">
        <v>316</v>
      </c>
    </row>
    <row r="247" spans="2:10">
      <c r="B247" s="241" t="s">
        <v>266</v>
      </c>
      <c r="C247" s="241" t="s">
        <v>213</v>
      </c>
      <c r="D247" s="241" t="s">
        <v>227</v>
      </c>
      <c r="E247" s="241" t="s">
        <v>213</v>
      </c>
    </row>
    <row r="248" spans="2:10">
      <c r="B248" s="242" t="s">
        <v>269</v>
      </c>
      <c r="C248" s="242" t="s">
        <v>212</v>
      </c>
      <c r="D248" s="242" t="s">
        <v>252</v>
      </c>
      <c r="E248" s="242" t="s">
        <v>218</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7" spans="1:15">
      <c r="K257" s="243"/>
      <c r="L257" s="244"/>
      <c r="M257" s="243"/>
      <c r="N257" s="243"/>
      <c r="O257"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276</v>
      </c>
    </row>
    <row r="263" spans="1:15">
      <c r="A263" s="205" t="s">
        <v>88</v>
      </c>
    </row>
    <row r="265" spans="1:15">
      <c r="B265" s="218" t="s">
        <v>275</v>
      </c>
    </row>
    <row r="267" spans="1:15">
      <c r="B267" s="240" t="s">
        <v>207</v>
      </c>
      <c r="C267" s="240" t="s">
        <v>208</v>
      </c>
      <c r="D267" s="240" t="s">
        <v>209</v>
      </c>
      <c r="E267" s="240" t="s">
        <v>210</v>
      </c>
    </row>
    <row r="268" spans="1:15">
      <c r="B268" s="241" t="s">
        <v>274</v>
      </c>
      <c r="C268" s="241" t="s">
        <v>211</v>
      </c>
      <c r="D268" s="241" t="s">
        <v>218</v>
      </c>
      <c r="E268" s="241" t="s">
        <v>211</v>
      </c>
    </row>
    <row r="269" spans="1:15">
      <c r="B269" s="242" t="s">
        <v>200</v>
      </c>
      <c r="C269" s="242" t="s">
        <v>225</v>
      </c>
      <c r="D269" s="242" t="s">
        <v>234</v>
      </c>
      <c r="E269" s="242" t="s">
        <v>234</v>
      </c>
    </row>
    <row r="270" spans="1:15">
      <c r="B270" s="241" t="s">
        <v>276</v>
      </c>
      <c r="C270" s="241" t="s">
        <v>211</v>
      </c>
      <c r="D270" s="241" t="s">
        <v>215</v>
      </c>
      <c r="E270" s="241" t="s">
        <v>217</v>
      </c>
    </row>
    <row r="271" spans="1:15">
      <c r="B271" s="242" t="s">
        <v>277</v>
      </c>
      <c r="C271" s="242" t="s">
        <v>212</v>
      </c>
      <c r="D271" s="242" t="s">
        <v>333</v>
      </c>
      <c r="E271" s="242" t="s">
        <v>212</v>
      </c>
    </row>
    <row r="274" spans="2:15">
      <c r="B274" s="218" t="s">
        <v>278</v>
      </c>
    </row>
    <row r="275" spans="2:15">
      <c r="B275" s="212"/>
    </row>
    <row r="276" spans="2:15">
      <c r="B276" s="212" t="s">
        <v>279</v>
      </c>
    </row>
    <row r="277" spans="2:15">
      <c r="B277" s="212" t="s">
        <v>339</v>
      </c>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5.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325</v>
      </c>
      <c r="L1" s="211"/>
      <c r="P1" s="210">
        <f>SUM(P14:P89)+E11+H11+L7+L11</f>
        <v>440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G70</f>
        <v>Griekenland</v>
      </c>
      <c r="E3" s="247">
        <f>IF(AND(ISNA(MATCH(D3,Invulblad!$F$76:$F$83,0)),ISNA(MATCH(D3,Invulblad!$J$76:$J$83,0))),0,10)</f>
        <v>0</v>
      </c>
      <c r="G3" s="212" t="str">
        <f>E79</f>
        <v>Nederland</v>
      </c>
      <c r="H3" s="247">
        <f>IF(AND(ISNA(MATCH(G3,Invulblad!$F$87:$F$90,0)),ISNA(MATCH(G3,Invulblad!$J$87:$J$90,0))),0,15)</f>
        <v>15</v>
      </c>
      <c r="J3" s="212" t="str">
        <f>E84</f>
        <v>Frankrijk</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G71</f>
        <v>Australië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
        <v>32</v>
      </c>
      <c r="E5" s="247">
        <f>IF(AND(ISNA(MATCH(D5,Invulblad!$F$76:$F$83,0)),ISNA(MATCH(D5,Invulblad!$J$76:$J$83,0))),0,10)</f>
        <v>10</v>
      </c>
      <c r="G5" s="212" t="str">
        <f>E81</f>
        <v>Uruguay</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G73</f>
        <v>Uruguay</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G74</f>
        <v>Paraguay</v>
      </c>
      <c r="E7" s="247">
        <f>IF(AND(ISNA(MATCH(D7,Invulblad!$F$76:$F$83,0)),ISNA(MATCH(D7,Invulblad!$J$76:$J$83,0))),0,10)</f>
        <v>10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G75</f>
        <v>Zwitserland</v>
      </c>
      <c r="E8" s="247">
        <f>IF(AND(ISNA(MATCH(D8,Invulblad!$F$76:$F$83,0)),ISNA(MATCH(D8,Invulblad!$J$76:$J$83,0))),0,10)</f>
        <v>0</v>
      </c>
      <c r="G8" s="212" t="str">
        <f>G80</f>
        <v>Australië</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G76</f>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G77</f>
        <v>Ivoorkust</v>
      </c>
      <c r="E10" s="247">
        <f>IF(AND(ISNA(MATCH(D10,Invulblad!$F$76:$F$83,0)),ISNA(MATCH(D10,Invulblad!$J$76:$J$83,0))),0,10)</f>
        <v>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90</v>
      </c>
      <c r="G11" s="215" t="s">
        <v>92</v>
      </c>
      <c r="H11" s="250">
        <f>SUM(H3:H10)</f>
        <v>75</v>
      </c>
      <c r="J11" s="215" t="s">
        <v>101</v>
      </c>
      <c r="K11" s="216"/>
      <c r="L11" s="250">
        <f>SUM(L9:L10)</f>
        <v>0</v>
      </c>
    </row>
    <row r="12" spans="1:17">
      <c r="B12" s="218" t="s">
        <v>19</v>
      </c>
      <c r="C12" s="218"/>
      <c r="D12" s="218"/>
      <c r="E12" s="219" t="s">
        <v>265</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2</v>
      </c>
      <c r="I14" s="229" t="s">
        <v>29</v>
      </c>
      <c r="J14" s="229">
        <v>1</v>
      </c>
      <c r="K14" s="235" t="str">
        <f t="shared" ref="K14:K45" si="1">IF(AND(H14="",J14=""),"",IF(OR(H14="",J14=""),"FOUT",IF(H14&gt;J14,"1",IF(H14=J14,3,2))))</f>
        <v>1</v>
      </c>
      <c r="L14" s="233">
        <f>VLOOKUP($B14,Invulblad!$A$11:$S$103,13,0)</f>
        <v>3</v>
      </c>
      <c r="M14" s="234">
        <f>IF(L14&lt;&gt;"",VLOOKUP($B14,Invulblad!$A$11:$S$103,7,0),"")</f>
        <v>1</v>
      </c>
      <c r="N14" s="229" t="s">
        <v>29</v>
      </c>
      <c r="O14" s="234">
        <f>IF(L14&lt;&gt;"",VLOOKUP($B14,Invulblad!$A$11:$S$103,9,0),"")</f>
        <v>1</v>
      </c>
      <c r="P14" s="235">
        <f t="shared" ref="P14:P19" si="2">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3</v>
      </c>
      <c r="K15" s="235">
        <f t="shared" si="1"/>
        <v>2</v>
      </c>
      <c r="L15" s="233">
        <f>VLOOKUP($B15,Invulblad!$A$11:$S$103,13,0)</f>
        <v>3</v>
      </c>
      <c r="M15" s="234">
        <f>IF(L15&lt;&gt;"",VLOOKUP($B15,Invulblad!$A$11:$S$103,7,0),"")</f>
        <v>0</v>
      </c>
      <c r="N15" s="229" t="s">
        <v>29</v>
      </c>
      <c r="O15" s="234">
        <f>IF(L15&lt;&gt;"",VLOOKUP($B15,Invulblad!$A$11:$S$103,9,0),"")</f>
        <v>0</v>
      </c>
      <c r="P15" s="235">
        <f t="shared" si="2"/>
        <v>0</v>
      </c>
    </row>
    <row r="16" spans="1:17">
      <c r="A16" s="205">
        <v>3</v>
      </c>
      <c r="B16" s="212">
        <v>17</v>
      </c>
      <c r="C16" s="226">
        <v>40345</v>
      </c>
      <c r="D16" s="227">
        <v>0.85416666666666663</v>
      </c>
      <c r="E16" s="228" t="s">
        <v>111</v>
      </c>
      <c r="F16" s="229" t="s">
        <v>29</v>
      </c>
      <c r="G16" s="212" t="s">
        <v>112</v>
      </c>
      <c r="H16" s="229">
        <v>0</v>
      </c>
      <c r="I16" s="229" t="s">
        <v>29</v>
      </c>
      <c r="J16" s="229">
        <v>2</v>
      </c>
      <c r="K16" s="235">
        <f t="shared" si="1"/>
        <v>2</v>
      </c>
      <c r="L16" s="233">
        <f>VLOOKUP($B16,Invulblad!$A$11:$S$103,13,0)</f>
        <v>2</v>
      </c>
      <c r="M16" s="234">
        <f>IF(L16&lt;&gt;"",VLOOKUP($B16,Invulblad!$A$11:$S$103,7,0),"")</f>
        <v>0</v>
      </c>
      <c r="N16" s="229" t="s">
        <v>29</v>
      </c>
      <c r="O16" s="234">
        <f>IF(L16&lt;&gt;"",VLOOKUP($B16,Invulblad!$A$11:$S$103,9,0),"")</f>
        <v>3</v>
      </c>
      <c r="P16" s="235">
        <f t="shared" si="2"/>
        <v>5</v>
      </c>
    </row>
    <row r="17" spans="1:16">
      <c r="A17" s="205">
        <v>4</v>
      </c>
      <c r="B17" s="212">
        <v>18</v>
      </c>
      <c r="C17" s="226">
        <v>40346</v>
      </c>
      <c r="D17" s="227">
        <v>0.85416666666666663</v>
      </c>
      <c r="E17" s="228" t="s">
        <v>113</v>
      </c>
      <c r="F17" s="229" t="s">
        <v>29</v>
      </c>
      <c r="G17" s="212" t="s">
        <v>108</v>
      </c>
      <c r="H17" s="229">
        <v>2</v>
      </c>
      <c r="I17" s="229" t="s">
        <v>29</v>
      </c>
      <c r="J17" s="229">
        <v>1</v>
      </c>
      <c r="K17" s="235" t="str">
        <f t="shared" si="1"/>
        <v>1</v>
      </c>
      <c r="L17" s="233">
        <f>VLOOKUP($B17,Invulblad!$A$11:$S$103,13,0)</f>
        <v>2</v>
      </c>
      <c r="M17" s="234">
        <f>IF(L17&lt;&gt;"",VLOOKUP($B17,Invulblad!$A$11:$S$103,7,0),"")</f>
        <v>0</v>
      </c>
      <c r="N17" s="229" t="s">
        <v>29</v>
      </c>
      <c r="O17" s="234">
        <f>IF(L17&lt;&gt;"",VLOOKUP($B17,Invulblad!$A$11:$S$103,9,0),"")</f>
        <v>2</v>
      </c>
      <c r="P17" s="235">
        <f t="shared" si="2"/>
        <v>0</v>
      </c>
    </row>
    <row r="18" spans="1:16">
      <c r="A18" s="205">
        <v>5</v>
      </c>
      <c r="B18" s="212">
        <v>33</v>
      </c>
      <c r="C18" s="226">
        <v>40351</v>
      </c>
      <c r="D18" s="227">
        <v>0.66666666666666663</v>
      </c>
      <c r="E18" s="228" t="s">
        <v>114</v>
      </c>
      <c r="F18" s="229" t="s">
        <v>29</v>
      </c>
      <c r="G18" s="212" t="s">
        <v>112</v>
      </c>
      <c r="H18" s="229">
        <v>1</v>
      </c>
      <c r="I18" s="229" t="s">
        <v>29</v>
      </c>
      <c r="J18" s="229">
        <v>1</v>
      </c>
      <c r="K18" s="235">
        <f t="shared" si="1"/>
        <v>3</v>
      </c>
      <c r="L18" s="233">
        <f>VLOOKUP($B18,Invulblad!$A$11:$S$103,13,0)</f>
        <v>2</v>
      </c>
      <c r="M18" s="234">
        <f>IF(L18&lt;&gt;"",VLOOKUP($B18,Invulblad!$A$11:$S$103,7,0),"")</f>
        <v>0</v>
      </c>
      <c r="N18" s="229" t="s">
        <v>29</v>
      </c>
      <c r="O18" s="234">
        <f>IF(L18&lt;&gt;"",VLOOKUP($B18,Invulblad!$A$11:$S$103,9,0),"")</f>
        <v>1</v>
      </c>
      <c r="P18" s="235">
        <f t="shared" si="2"/>
        <v>0</v>
      </c>
    </row>
    <row r="19" spans="1:16">
      <c r="A19" s="205">
        <v>6</v>
      </c>
      <c r="B19" s="212">
        <v>34</v>
      </c>
      <c r="C19" s="226">
        <v>40351</v>
      </c>
      <c r="D19" s="227">
        <v>0.66666666666666663</v>
      </c>
      <c r="E19" s="228" t="s">
        <v>113</v>
      </c>
      <c r="F19" s="229" t="s">
        <v>29</v>
      </c>
      <c r="G19" s="212" t="s">
        <v>115</v>
      </c>
      <c r="H19" s="229">
        <v>1</v>
      </c>
      <c r="I19" s="229" t="s">
        <v>29</v>
      </c>
      <c r="J19" s="229">
        <v>0</v>
      </c>
      <c r="K19" s="235" t="str">
        <f t="shared" si="1"/>
        <v>1</v>
      </c>
      <c r="L19" s="233">
        <f>VLOOKUP($B19,Invulblad!$A$11:$S$103,13,0)</f>
        <v>2</v>
      </c>
      <c r="M19" s="234">
        <f>IF(L19&lt;&gt;"",VLOOKUP($B19,Invulblad!$A$11:$S$103,7,0),"")</f>
        <v>1</v>
      </c>
      <c r="N19" s="229" t="s">
        <v>29</v>
      </c>
      <c r="O19" s="234">
        <f>IF(L19&lt;&gt;"",VLOOKUP($B19,Invulblad!$A$11:$S$103,9,0),"")</f>
        <v>2</v>
      </c>
      <c r="P19" s="235">
        <f t="shared" si="2"/>
        <v>0</v>
      </c>
    </row>
    <row r="20" spans="1:16">
      <c r="A20" s="205">
        <v>7</v>
      </c>
      <c r="B20" s="218" t="s">
        <v>30</v>
      </c>
      <c r="C20" s="218"/>
      <c r="D20" s="218"/>
      <c r="E20" s="218"/>
      <c r="F20" s="218"/>
      <c r="G20" s="218"/>
      <c r="H20" s="218"/>
      <c r="I20" s="218"/>
      <c r="J20" s="218"/>
      <c r="K20" s="236" t="str">
        <f t="shared" si="1"/>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1</v>
      </c>
      <c r="K21" s="235" t="str">
        <f t="shared" si="1"/>
        <v>1</v>
      </c>
      <c r="L21" s="233" t="str">
        <f>VLOOKUP($B21,Invulblad!$A$11:$S$103,13,0)</f>
        <v>1</v>
      </c>
      <c r="M21" s="234">
        <f>IF(L21&lt;&gt;"",VLOOKUP($B21,Invulblad!$A$11:$S$103,7,0),"")</f>
        <v>1</v>
      </c>
      <c r="N21" s="229" t="s">
        <v>29</v>
      </c>
      <c r="O21" s="234">
        <f>IF(L21&lt;&gt;"",VLOOKUP($B21,Invulblad!$A$11:$S$103,9,0),"")</f>
        <v>0</v>
      </c>
      <c r="P21" s="235">
        <f t="shared" ref="P21:P26" si="3">IF(L21&lt;&gt;"",IF(AND(M21=H21,O21=J21),10,IF(K21=L21,5,0)),"")</f>
        <v>5</v>
      </c>
    </row>
    <row r="22" spans="1:16">
      <c r="A22" s="205">
        <v>10</v>
      </c>
      <c r="B22" s="212">
        <v>4</v>
      </c>
      <c r="C22" s="226">
        <v>40341</v>
      </c>
      <c r="D22" s="227">
        <v>0.5625</v>
      </c>
      <c r="E22" s="228" t="s">
        <v>303</v>
      </c>
      <c r="F22" s="229" t="s">
        <v>29</v>
      </c>
      <c r="G22" s="212" t="s">
        <v>119</v>
      </c>
      <c r="H22" s="229">
        <v>1</v>
      </c>
      <c r="I22" s="229" t="s">
        <v>29</v>
      </c>
      <c r="J22" s="229">
        <v>1</v>
      </c>
      <c r="K22" s="235">
        <f t="shared" si="1"/>
        <v>3</v>
      </c>
      <c r="L22" s="233" t="str">
        <f>VLOOKUP($B22,Invulblad!$A$11:$S$103,13,0)</f>
        <v>1</v>
      </c>
      <c r="M22" s="234">
        <f>IF(L22&lt;&gt;"",VLOOKUP($B22,Invulblad!$A$11:$S$103,7,0),"")</f>
        <v>2</v>
      </c>
      <c r="N22" s="229" t="s">
        <v>29</v>
      </c>
      <c r="O22" s="234">
        <f>IF(L22&lt;&gt;"",VLOOKUP($B22,Invulblad!$A$11:$S$103,9,0),"")</f>
        <v>0</v>
      </c>
      <c r="P22" s="235">
        <f t="shared" si="3"/>
        <v>0</v>
      </c>
    </row>
    <row r="23" spans="1:16">
      <c r="A23" s="205">
        <v>11</v>
      </c>
      <c r="B23" s="212">
        <v>19</v>
      </c>
      <c r="C23" s="226">
        <v>40346</v>
      </c>
      <c r="D23" s="227">
        <v>0.66666666666666663</v>
      </c>
      <c r="E23" s="228" t="s">
        <v>304</v>
      </c>
      <c r="F23" s="229" t="s">
        <v>29</v>
      </c>
      <c r="G23" s="212" t="s">
        <v>117</v>
      </c>
      <c r="H23" s="229">
        <v>2</v>
      </c>
      <c r="I23" s="229" t="s">
        <v>29</v>
      </c>
      <c r="J23" s="229">
        <v>1</v>
      </c>
      <c r="K23" s="235" t="str">
        <f t="shared" si="1"/>
        <v>1</v>
      </c>
      <c r="L23" s="233" t="str">
        <f>VLOOKUP($B23,Invulblad!$A$11:$S$103,13,0)</f>
        <v>1</v>
      </c>
      <c r="M23" s="234">
        <f>IF(L23&lt;&gt;"",VLOOKUP($B23,Invulblad!$A$11:$S$103,7,0),"")</f>
        <v>2</v>
      </c>
      <c r="N23" s="229" t="s">
        <v>29</v>
      </c>
      <c r="O23" s="234">
        <f>IF(L23&lt;&gt;"",VLOOKUP($B23,Invulblad!$A$11:$S$103,9,0),"")</f>
        <v>1</v>
      </c>
      <c r="P23" s="235">
        <f t="shared" si="3"/>
        <v>10</v>
      </c>
    </row>
    <row r="24" spans="1:16">
      <c r="A24" s="205">
        <v>12</v>
      </c>
      <c r="B24" s="212">
        <v>20</v>
      </c>
      <c r="C24" s="226">
        <v>40346</v>
      </c>
      <c r="D24" s="227">
        <v>0.5625</v>
      </c>
      <c r="E24" s="228" t="s">
        <v>302</v>
      </c>
      <c r="F24" s="229" t="s">
        <v>29</v>
      </c>
      <c r="G24" s="212" t="s">
        <v>121</v>
      </c>
      <c r="H24" s="229">
        <v>1</v>
      </c>
      <c r="I24" s="229" t="s">
        <v>29</v>
      </c>
      <c r="J24" s="229">
        <v>0</v>
      </c>
      <c r="K24" s="235" t="str">
        <f t="shared" si="1"/>
        <v>1</v>
      </c>
      <c r="L24" s="233" t="str">
        <f>VLOOKUP($B24,Invulblad!$A$11:$S$103,13,0)</f>
        <v>1</v>
      </c>
      <c r="M24" s="234">
        <f>IF(L24&lt;&gt;"",VLOOKUP($B24,Invulblad!$A$11:$S$103,7,0),"")</f>
        <v>4</v>
      </c>
      <c r="N24" s="229" t="s">
        <v>29</v>
      </c>
      <c r="O24" s="234">
        <f>IF(L24&lt;&gt;"",VLOOKUP($B24,Invulblad!$A$11:$S$103,9,0),"")</f>
        <v>1</v>
      </c>
      <c r="P24" s="235">
        <f t="shared" si="3"/>
        <v>5</v>
      </c>
    </row>
    <row r="25" spans="1:16">
      <c r="A25" s="205">
        <v>13</v>
      </c>
      <c r="B25" s="212">
        <v>35</v>
      </c>
      <c r="C25" s="226">
        <v>40351</v>
      </c>
      <c r="D25" s="227">
        <v>0.85416666666666663</v>
      </c>
      <c r="E25" s="228" t="s">
        <v>305</v>
      </c>
      <c r="F25" s="229" t="s">
        <v>29</v>
      </c>
      <c r="G25" s="212" t="s">
        <v>121</v>
      </c>
      <c r="H25" s="229">
        <v>2</v>
      </c>
      <c r="I25" s="229" t="s">
        <v>29</v>
      </c>
      <c r="J25" s="229">
        <v>2</v>
      </c>
      <c r="K25" s="235">
        <f t="shared" si="1"/>
        <v>3</v>
      </c>
      <c r="L25" s="233">
        <f>VLOOKUP($B25,Invulblad!$A$11:$S$103,13,0)</f>
        <v>3</v>
      </c>
      <c r="M25" s="234">
        <f>IF(L25&lt;&gt;"",VLOOKUP($B25,Invulblad!$A$11:$S$103,7,0),"")</f>
        <v>2</v>
      </c>
      <c r="N25" s="229" t="s">
        <v>29</v>
      </c>
      <c r="O25" s="234">
        <f>IF(L25&lt;&gt;"",VLOOKUP($B25,Invulblad!$A$11:$S$103,9,0),"")</f>
        <v>2</v>
      </c>
      <c r="P25" s="235">
        <f t="shared" si="3"/>
        <v>10</v>
      </c>
    </row>
    <row r="26" spans="1:16">
      <c r="A26" s="205">
        <v>14</v>
      </c>
      <c r="B26" s="212">
        <v>36</v>
      </c>
      <c r="C26" s="226">
        <v>40351</v>
      </c>
      <c r="D26" s="227">
        <v>0.85416666666666663</v>
      </c>
      <c r="E26" s="228" t="s">
        <v>304</v>
      </c>
      <c r="F26" s="229" t="s">
        <v>29</v>
      </c>
      <c r="G26" s="212" t="s">
        <v>123</v>
      </c>
      <c r="H26" s="229">
        <v>0</v>
      </c>
      <c r="I26" s="229" t="s">
        <v>29</v>
      </c>
      <c r="J26" s="229">
        <v>2</v>
      </c>
      <c r="K26" s="235">
        <f t="shared" si="1"/>
        <v>2</v>
      </c>
      <c r="L26" s="233">
        <f>VLOOKUP($B26,Invulblad!$A$11:$S$103,13,0)</f>
        <v>2</v>
      </c>
      <c r="M26" s="234">
        <f>IF(L26&lt;&gt;"",VLOOKUP($B26,Invulblad!$A$11:$S$103,7,0),"")</f>
        <v>0</v>
      </c>
      <c r="N26" s="229" t="s">
        <v>29</v>
      </c>
      <c r="O26" s="234">
        <f>IF(L26&lt;&gt;"",VLOOKUP($B26,Invulblad!$A$11:$S$103,9,0),"")</f>
        <v>2</v>
      </c>
      <c r="P26" s="235">
        <f t="shared" si="3"/>
        <v>10</v>
      </c>
    </row>
    <row r="27" spans="1:16">
      <c r="A27" s="205">
        <v>15</v>
      </c>
      <c r="B27" s="218" t="s">
        <v>31</v>
      </c>
      <c r="C27" s="218"/>
      <c r="D27" s="218"/>
      <c r="E27" s="218"/>
      <c r="F27" s="218"/>
      <c r="G27" s="218"/>
      <c r="H27" s="218"/>
      <c r="I27" s="218"/>
      <c r="J27" s="218"/>
      <c r="K27" s="236" t="str">
        <f t="shared" si="1"/>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1</v>
      </c>
      <c r="I28" s="229" t="s">
        <v>29</v>
      </c>
      <c r="J28" s="229">
        <v>1</v>
      </c>
      <c r="K28" s="235">
        <f t="shared" si="1"/>
        <v>3</v>
      </c>
      <c r="L28" s="233">
        <f>VLOOKUP($B28,Invulblad!$A$11:$S$103,13,0)</f>
        <v>3</v>
      </c>
      <c r="M28" s="234">
        <f>IF(L28&lt;&gt;"",VLOOKUP($B28,Invulblad!$A$11:$S$103,7,0),"")</f>
        <v>1</v>
      </c>
      <c r="N28" s="229" t="s">
        <v>29</v>
      </c>
      <c r="O28" s="234">
        <f>IF(L28&lt;&gt;"",VLOOKUP($B28,Invulblad!$A$11:$S$103,9,0),"")</f>
        <v>1</v>
      </c>
      <c r="P28" s="235">
        <f t="shared" ref="P28:P33" si="4">IF(L28&lt;&gt;"",IF(AND(M28=H28,O28=J28),10,IF(K28=L28,5,0)),"")</f>
        <v>10</v>
      </c>
    </row>
    <row r="29" spans="1:16">
      <c r="A29" s="205">
        <v>18</v>
      </c>
      <c r="B29" s="212">
        <v>6</v>
      </c>
      <c r="C29" s="226">
        <v>40342</v>
      </c>
      <c r="D29" s="227">
        <v>0.5625</v>
      </c>
      <c r="E29" s="228" t="s">
        <v>307</v>
      </c>
      <c r="F29" s="229" t="s">
        <v>29</v>
      </c>
      <c r="G29" s="212" t="s">
        <v>127</v>
      </c>
      <c r="H29" s="229">
        <v>6</v>
      </c>
      <c r="I29" s="229" t="s">
        <v>29</v>
      </c>
      <c r="J29" s="229">
        <v>2</v>
      </c>
      <c r="K29" s="235" t="str">
        <f t="shared" si="1"/>
        <v>1</v>
      </c>
      <c r="L29" s="233">
        <f>VLOOKUP($B29,Invulblad!$A$11:$S$103,13,0)</f>
        <v>2</v>
      </c>
      <c r="M29" s="234">
        <f>IF(L29&lt;&gt;"",VLOOKUP($B29,Invulblad!$A$11:$S$103,7,0),"")</f>
        <v>0</v>
      </c>
      <c r="N29" s="229" t="s">
        <v>29</v>
      </c>
      <c r="O29" s="234">
        <f>IF(L29&lt;&gt;"",VLOOKUP($B29,Invulblad!$A$11:$S$103,9,0),"")</f>
        <v>1</v>
      </c>
      <c r="P29" s="235">
        <f t="shared" si="4"/>
        <v>0</v>
      </c>
    </row>
    <row r="30" spans="1:16">
      <c r="A30" s="205">
        <v>19</v>
      </c>
      <c r="B30" s="212">
        <v>22</v>
      </c>
      <c r="C30" s="226">
        <v>40347</v>
      </c>
      <c r="D30" s="227">
        <v>0.66666666666666663</v>
      </c>
      <c r="E30" s="228" t="s">
        <v>308</v>
      </c>
      <c r="F30" s="229" t="s">
        <v>29</v>
      </c>
      <c r="G30" s="212" t="s">
        <v>125</v>
      </c>
      <c r="H30" s="229">
        <v>0</v>
      </c>
      <c r="I30" s="229" t="s">
        <v>29</v>
      </c>
      <c r="J30" s="229">
        <v>1</v>
      </c>
      <c r="K30" s="235">
        <f t="shared" si="1"/>
        <v>2</v>
      </c>
      <c r="L30" s="233">
        <f>VLOOKUP($B30,Invulblad!$A$11:$S$103,13,0)</f>
        <v>3</v>
      </c>
      <c r="M30" s="234">
        <f>IF(L30&lt;&gt;"",VLOOKUP($B30,Invulblad!$A$11:$S$103,7,0),"")</f>
        <v>2</v>
      </c>
      <c r="N30" s="229" t="s">
        <v>29</v>
      </c>
      <c r="O30" s="234">
        <f>IF(L30&lt;&gt;"",VLOOKUP($B30,Invulblad!$A$11:$S$103,9,0),"")</f>
        <v>2</v>
      </c>
      <c r="P30" s="235">
        <f t="shared" si="4"/>
        <v>0</v>
      </c>
    </row>
    <row r="31" spans="1:16">
      <c r="A31" s="205">
        <v>20</v>
      </c>
      <c r="B31" s="212">
        <v>23</v>
      </c>
      <c r="C31" s="226">
        <v>40347</v>
      </c>
      <c r="D31" s="227">
        <v>0.85416666666666663</v>
      </c>
      <c r="E31" s="228" t="s">
        <v>306</v>
      </c>
      <c r="F31" s="229" t="s">
        <v>29</v>
      </c>
      <c r="G31" s="212" t="s">
        <v>129</v>
      </c>
      <c r="H31" s="229">
        <v>3</v>
      </c>
      <c r="I31" s="229" t="s">
        <v>29</v>
      </c>
      <c r="J31" s="229">
        <v>0</v>
      </c>
      <c r="K31" s="235" t="str">
        <f t="shared" si="1"/>
        <v>1</v>
      </c>
      <c r="L31" s="233">
        <f>VLOOKUP($B31,Invulblad!$A$11:$S$103,13,0)</f>
        <v>3</v>
      </c>
      <c r="M31" s="234">
        <f>IF(L31&lt;&gt;"",VLOOKUP($B31,Invulblad!$A$11:$S$103,7,0),"")</f>
        <v>0</v>
      </c>
      <c r="N31" s="229" t="s">
        <v>29</v>
      </c>
      <c r="O31" s="234">
        <f>IF(L31&lt;&gt;"",VLOOKUP($B31,Invulblad!$A$11:$S$103,9,0),"")</f>
        <v>0</v>
      </c>
      <c r="P31" s="235">
        <f t="shared" si="4"/>
        <v>0</v>
      </c>
    </row>
    <row r="32" spans="1:16">
      <c r="A32" s="205">
        <v>21</v>
      </c>
      <c r="B32" s="212">
        <v>37</v>
      </c>
      <c r="C32" s="226">
        <v>40352</v>
      </c>
      <c r="D32" s="227">
        <v>0.66666666666666663</v>
      </c>
      <c r="E32" s="228" t="s">
        <v>308</v>
      </c>
      <c r="F32" s="229" t="s">
        <v>29</v>
      </c>
      <c r="G32" s="212" t="s">
        <v>130</v>
      </c>
      <c r="H32" s="229">
        <v>1</v>
      </c>
      <c r="I32" s="229" t="s">
        <v>29</v>
      </c>
      <c r="J32" s="229">
        <v>2</v>
      </c>
      <c r="K32" s="235">
        <f t="shared" si="1"/>
        <v>2</v>
      </c>
      <c r="L32" s="233">
        <f>VLOOKUP($B32,Invulblad!$A$11:$S$103,13,0)</f>
        <v>2</v>
      </c>
      <c r="M32" s="234">
        <f>IF(L32&lt;&gt;"",VLOOKUP($B32,Invulblad!$A$11:$S$103,7,0),"")</f>
        <v>0</v>
      </c>
      <c r="N32" s="229" t="s">
        <v>29</v>
      </c>
      <c r="O32" s="234">
        <f>IF(L32&lt;&gt;"",VLOOKUP($B32,Invulblad!$A$11:$S$103,9,0),"")</f>
        <v>1</v>
      </c>
      <c r="P32" s="235">
        <f t="shared" si="4"/>
        <v>5</v>
      </c>
    </row>
    <row r="33" spans="1:16">
      <c r="A33" s="205">
        <v>22</v>
      </c>
      <c r="B33" s="212">
        <v>38</v>
      </c>
      <c r="C33" s="226">
        <v>40352</v>
      </c>
      <c r="D33" s="227">
        <v>0.66666666666666663</v>
      </c>
      <c r="E33" s="228" t="s">
        <v>309</v>
      </c>
      <c r="F33" s="229" t="s">
        <v>29</v>
      </c>
      <c r="G33" s="212" t="s">
        <v>129</v>
      </c>
      <c r="H33" s="229">
        <v>3</v>
      </c>
      <c r="I33" s="229" t="s">
        <v>29</v>
      </c>
      <c r="J33" s="229">
        <v>1</v>
      </c>
      <c r="K33" s="235" t="str">
        <f t="shared" si="1"/>
        <v>1</v>
      </c>
      <c r="L33" s="233" t="str">
        <f>VLOOKUP($B33,Invulblad!$A$11:$S$103,13,0)</f>
        <v>1</v>
      </c>
      <c r="M33" s="234">
        <f>IF(L33&lt;&gt;"",VLOOKUP($B33,Invulblad!$A$11:$S$103,7,0),"")</f>
        <v>1</v>
      </c>
      <c r="N33" s="229" t="s">
        <v>29</v>
      </c>
      <c r="O33" s="234">
        <f>IF(L33&lt;&gt;"",VLOOKUP($B33,Invulblad!$A$11:$S$103,9,0),"")</f>
        <v>0</v>
      </c>
      <c r="P33" s="235">
        <f t="shared" si="4"/>
        <v>5</v>
      </c>
    </row>
    <row r="34" spans="1:16">
      <c r="A34" s="205">
        <v>23</v>
      </c>
      <c r="B34" s="218" t="s">
        <v>33</v>
      </c>
      <c r="C34" s="218"/>
      <c r="D34" s="218"/>
      <c r="E34" s="218"/>
      <c r="F34" s="218"/>
      <c r="G34" s="218"/>
      <c r="H34" s="218"/>
      <c r="I34" s="218"/>
      <c r="J34" s="218"/>
      <c r="K34" s="236" t="str">
        <f t="shared" si="1"/>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2</v>
      </c>
      <c r="K35" s="235">
        <f t="shared" si="1"/>
        <v>3</v>
      </c>
      <c r="L35" s="233" t="str">
        <f>VLOOKUP($B35,Invulblad!$A$11:$S$103,13,0)</f>
        <v>1</v>
      </c>
      <c r="M35" s="234">
        <f>IF(L35&lt;&gt;"",VLOOKUP($B35,Invulblad!$A$11:$S$103,7,0),"")</f>
        <v>4</v>
      </c>
      <c r="N35" s="229" t="s">
        <v>29</v>
      </c>
      <c r="O35" s="234">
        <f>IF(L35&lt;&gt;"",VLOOKUP($B35,Invulblad!$A$11:$S$103,9,0),"")</f>
        <v>0</v>
      </c>
      <c r="P35" s="235">
        <f t="shared" ref="P35:P40" si="5">IF(L35&lt;&gt;"",IF(AND(M35=H35,O35=J35),10,IF(K35=L35,5,0)),"")</f>
        <v>0</v>
      </c>
    </row>
    <row r="36" spans="1:16">
      <c r="A36" s="205">
        <v>26</v>
      </c>
      <c r="B36" s="212">
        <v>8</v>
      </c>
      <c r="C36" s="226">
        <v>40342</v>
      </c>
      <c r="D36" s="227">
        <v>0.66666666666666663</v>
      </c>
      <c r="E36" s="228" t="s">
        <v>133</v>
      </c>
      <c r="F36" s="229" t="s">
        <v>29</v>
      </c>
      <c r="G36" s="212" t="s">
        <v>134</v>
      </c>
      <c r="H36" s="229">
        <v>2</v>
      </c>
      <c r="I36" s="229" t="s">
        <v>29</v>
      </c>
      <c r="J36" s="229">
        <v>2</v>
      </c>
      <c r="K36" s="235">
        <f t="shared" si="1"/>
        <v>3</v>
      </c>
      <c r="L36" s="233">
        <f>VLOOKUP($B36,Invulblad!$A$11:$S$103,13,0)</f>
        <v>2</v>
      </c>
      <c r="M36" s="234">
        <f>IF(L36&lt;&gt;"",VLOOKUP($B36,Invulblad!$A$11:$S$103,7,0),"")</f>
        <v>0</v>
      </c>
      <c r="N36" s="229" t="s">
        <v>29</v>
      </c>
      <c r="O36" s="234">
        <f>IF(L36&lt;&gt;"",VLOOKUP($B36,Invulblad!$A$11:$S$103,9,0),"")</f>
        <v>1</v>
      </c>
      <c r="P36" s="235">
        <f t="shared" si="5"/>
        <v>0</v>
      </c>
    </row>
    <row r="37" spans="1:16">
      <c r="A37" s="205">
        <v>27</v>
      </c>
      <c r="B37" s="212">
        <v>21</v>
      </c>
      <c r="C37" s="226">
        <v>40347</v>
      </c>
      <c r="D37" s="227">
        <v>0.5625</v>
      </c>
      <c r="E37" s="228" t="s">
        <v>131</v>
      </c>
      <c r="F37" s="229" t="s">
        <v>29</v>
      </c>
      <c r="G37" s="212" t="s">
        <v>135</v>
      </c>
      <c r="H37" s="229">
        <v>3</v>
      </c>
      <c r="I37" s="229" t="s">
        <v>29</v>
      </c>
      <c r="J37" s="229">
        <v>0</v>
      </c>
      <c r="K37" s="235" t="str">
        <f t="shared" si="1"/>
        <v>1</v>
      </c>
      <c r="L37" s="233">
        <f>VLOOKUP($B37,Invulblad!$A$11:$S$103,13,0)</f>
        <v>2</v>
      </c>
      <c r="M37" s="234">
        <f>IF(L37&lt;&gt;"",VLOOKUP($B37,Invulblad!$A$11:$S$103,7,0),"")</f>
        <v>0</v>
      </c>
      <c r="N37" s="229" t="s">
        <v>29</v>
      </c>
      <c r="O37" s="234">
        <f>IF(L37&lt;&gt;"",VLOOKUP($B37,Invulblad!$A$11:$S$103,9,0),"")</f>
        <v>1</v>
      </c>
      <c r="P37" s="235">
        <f t="shared" si="5"/>
        <v>0</v>
      </c>
    </row>
    <row r="38" spans="1:16">
      <c r="A38" s="205">
        <v>28</v>
      </c>
      <c r="B38" s="212">
        <v>24</v>
      </c>
      <c r="C38" s="226">
        <v>40348</v>
      </c>
      <c r="D38" s="227">
        <v>0.66666666666666663</v>
      </c>
      <c r="E38" s="228" t="s">
        <v>136</v>
      </c>
      <c r="F38" s="229" t="s">
        <v>29</v>
      </c>
      <c r="G38" s="212" t="s">
        <v>132</v>
      </c>
      <c r="H38" s="229">
        <v>1</v>
      </c>
      <c r="I38" s="229" t="s">
        <v>29</v>
      </c>
      <c r="J38" s="229">
        <v>2</v>
      </c>
      <c r="K38" s="235">
        <f t="shared" si="1"/>
        <v>2</v>
      </c>
      <c r="L38" s="233">
        <f>VLOOKUP($B38,Invulblad!$A$11:$S$103,13,0)</f>
        <v>3</v>
      </c>
      <c r="M38" s="234">
        <f>IF(L38&lt;&gt;"",VLOOKUP($B38,Invulblad!$A$11:$S$103,7,0),"")</f>
        <v>1</v>
      </c>
      <c r="N38" s="229" t="s">
        <v>29</v>
      </c>
      <c r="O38" s="234">
        <f>IF(L38&lt;&gt;"",VLOOKUP($B38,Invulblad!$A$11:$S$103,9,0),"")</f>
        <v>1</v>
      </c>
      <c r="P38" s="235">
        <f t="shared" si="5"/>
        <v>0</v>
      </c>
    </row>
    <row r="39" spans="1:16">
      <c r="A39" s="205">
        <v>29</v>
      </c>
      <c r="B39" s="212">
        <v>39</v>
      </c>
      <c r="C39" s="226">
        <v>40352</v>
      </c>
      <c r="D39" s="227">
        <v>0.85416666666666663</v>
      </c>
      <c r="E39" s="228" t="s">
        <v>136</v>
      </c>
      <c r="F39" s="229" t="s">
        <v>29</v>
      </c>
      <c r="G39" s="212" t="s">
        <v>137</v>
      </c>
      <c r="H39" s="229">
        <v>1</v>
      </c>
      <c r="I39" s="229" t="s">
        <v>29</v>
      </c>
      <c r="J39" s="229">
        <v>2</v>
      </c>
      <c r="K39" s="235">
        <f t="shared" si="1"/>
        <v>2</v>
      </c>
      <c r="L39" s="233">
        <f>VLOOKUP($B39,Invulblad!$A$11:$S$103,13,0)</f>
        <v>2</v>
      </c>
      <c r="M39" s="234">
        <f>IF(L39&lt;&gt;"",VLOOKUP($B39,Invulblad!$A$11:$S$103,7,0),"")</f>
        <v>0</v>
      </c>
      <c r="N39" s="229" t="s">
        <v>29</v>
      </c>
      <c r="O39" s="234">
        <f>IF(L39&lt;&gt;"",VLOOKUP($B39,Invulblad!$A$11:$S$103,9,0),"")</f>
        <v>1</v>
      </c>
      <c r="P39" s="235">
        <f t="shared" si="5"/>
        <v>5</v>
      </c>
    </row>
    <row r="40" spans="1:16">
      <c r="A40" s="205">
        <v>30</v>
      </c>
      <c r="B40" s="212">
        <v>40</v>
      </c>
      <c r="C40" s="226">
        <v>40352</v>
      </c>
      <c r="D40" s="227">
        <v>0.85416666666666663</v>
      </c>
      <c r="E40" s="228" t="s">
        <v>138</v>
      </c>
      <c r="F40" s="229" t="s">
        <v>29</v>
      </c>
      <c r="G40" s="212" t="s">
        <v>135</v>
      </c>
      <c r="H40" s="229">
        <v>2</v>
      </c>
      <c r="I40" s="229" t="s">
        <v>29</v>
      </c>
      <c r="J40" s="229">
        <v>0</v>
      </c>
      <c r="K40" s="235" t="str">
        <f t="shared" si="1"/>
        <v>1</v>
      </c>
      <c r="L40" s="233" t="str">
        <f>VLOOKUP($B40,Invulblad!$A$11:$S$103,13,0)</f>
        <v>1</v>
      </c>
      <c r="M40" s="234">
        <f>IF(L40&lt;&gt;"",VLOOKUP($B40,Invulblad!$A$11:$S$103,7,0),"")</f>
        <v>2</v>
      </c>
      <c r="N40" s="229" t="s">
        <v>29</v>
      </c>
      <c r="O40" s="234">
        <f>IF(L40&lt;&gt;"",VLOOKUP($B40,Invulblad!$A$11:$S$103,9,0),"")</f>
        <v>1</v>
      </c>
      <c r="P40" s="235">
        <f t="shared" si="5"/>
        <v>5</v>
      </c>
    </row>
    <row r="41" spans="1:16">
      <c r="A41" s="205">
        <v>31</v>
      </c>
      <c r="B41" s="218" t="s">
        <v>34</v>
      </c>
      <c r="C41" s="218"/>
      <c r="D41" s="218"/>
      <c r="E41" s="218"/>
      <c r="F41" s="218"/>
      <c r="G41" s="218"/>
      <c r="H41" s="218"/>
      <c r="I41" s="218"/>
      <c r="J41" s="218"/>
      <c r="K41" s="236" t="str">
        <f t="shared" si="1"/>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3</v>
      </c>
      <c r="I42" s="229" t="s">
        <v>29</v>
      </c>
      <c r="J42" s="229">
        <v>2</v>
      </c>
      <c r="K42" s="235" t="str">
        <f t="shared" si="1"/>
        <v>1</v>
      </c>
      <c r="L42" s="233" t="str">
        <f>VLOOKUP($B42,Invulblad!$A$11:$S$103,13,0)</f>
        <v>1</v>
      </c>
      <c r="M42" s="234">
        <f>IF(L42&lt;&gt;"",VLOOKUP($B42,Invulblad!$A$11:$S$103,7,0),"")</f>
        <v>2</v>
      </c>
      <c r="N42" s="229" t="s">
        <v>29</v>
      </c>
      <c r="O42" s="234">
        <f>IF(L42&lt;&gt;"",VLOOKUP($B42,Invulblad!$A$11:$S$103,9,0),"")</f>
        <v>0</v>
      </c>
      <c r="P42" s="235">
        <f t="shared" ref="P42:P47" si="6">IF(L42&lt;&gt;"",IF(AND(M42=H42,O42=J42),10,IF(K42=L42,5,0)),"")</f>
        <v>5</v>
      </c>
    </row>
    <row r="43" spans="1:16">
      <c r="A43" s="205">
        <v>34</v>
      </c>
      <c r="B43" s="212">
        <v>10</v>
      </c>
      <c r="C43" s="226">
        <v>40343</v>
      </c>
      <c r="D43" s="227">
        <v>0.66666666666666663</v>
      </c>
      <c r="E43" s="228" t="s">
        <v>141</v>
      </c>
      <c r="F43" s="229" t="s">
        <v>29</v>
      </c>
      <c r="G43" s="212" t="s">
        <v>142</v>
      </c>
      <c r="H43" s="229">
        <v>1</v>
      </c>
      <c r="I43" s="229" t="s">
        <v>29</v>
      </c>
      <c r="J43" s="229">
        <v>4</v>
      </c>
      <c r="K43" s="235">
        <f t="shared" si="1"/>
        <v>2</v>
      </c>
      <c r="L43" s="233" t="str">
        <f>VLOOKUP($B43,Invulblad!$A$11:$S$103,13,0)</f>
        <v>1</v>
      </c>
      <c r="M43" s="234">
        <f>IF(L43&lt;&gt;"",VLOOKUP($B43,Invulblad!$A$11:$S$103,7,0),"")</f>
        <v>1</v>
      </c>
      <c r="N43" s="229" t="s">
        <v>29</v>
      </c>
      <c r="O43" s="234">
        <f>IF(L43&lt;&gt;"",VLOOKUP($B43,Invulblad!$A$11:$S$103,9,0),"")</f>
        <v>0</v>
      </c>
      <c r="P43" s="235">
        <f t="shared" si="6"/>
        <v>0</v>
      </c>
    </row>
    <row r="44" spans="1:16">
      <c r="A44" s="205">
        <v>35</v>
      </c>
      <c r="B44" s="212">
        <v>25</v>
      </c>
      <c r="C44" s="226">
        <v>40348</v>
      </c>
      <c r="D44" s="227">
        <v>0.5625</v>
      </c>
      <c r="E44" s="228" t="s">
        <v>139</v>
      </c>
      <c r="F44" s="229" t="s">
        <v>29</v>
      </c>
      <c r="G44" s="212" t="s">
        <v>143</v>
      </c>
      <c r="H44" s="229">
        <v>4</v>
      </c>
      <c r="I44" s="229" t="s">
        <v>29</v>
      </c>
      <c r="J44" s="229">
        <v>0</v>
      </c>
      <c r="K44" s="235" t="str">
        <f t="shared" si="1"/>
        <v>1</v>
      </c>
      <c r="L44" s="233" t="str">
        <f>VLOOKUP($B44,Invulblad!$A$11:$S$103,13,0)</f>
        <v>1</v>
      </c>
      <c r="M44" s="234">
        <f>IF(L44&lt;&gt;"",VLOOKUP($B44,Invulblad!$A$11:$S$103,7,0),"")</f>
        <v>1</v>
      </c>
      <c r="N44" s="229" t="s">
        <v>29</v>
      </c>
      <c r="O44" s="234">
        <f>IF(L44&lt;&gt;"",VLOOKUP($B44,Invulblad!$A$11:$S$103,9,0),"")</f>
        <v>0</v>
      </c>
      <c r="P44" s="235">
        <f t="shared" si="6"/>
        <v>5</v>
      </c>
    </row>
    <row r="45" spans="1:16">
      <c r="A45" s="205">
        <v>36</v>
      </c>
      <c r="B45" s="212">
        <v>26</v>
      </c>
      <c r="C45" s="226">
        <v>40348</v>
      </c>
      <c r="D45" s="227">
        <v>0.85416666666666663</v>
      </c>
      <c r="E45" s="228" t="s">
        <v>144</v>
      </c>
      <c r="F45" s="229" t="s">
        <v>29</v>
      </c>
      <c r="G45" s="212" t="s">
        <v>140</v>
      </c>
      <c r="H45" s="229">
        <v>1</v>
      </c>
      <c r="I45" s="229" t="s">
        <v>29</v>
      </c>
      <c r="J45" s="229">
        <v>1</v>
      </c>
      <c r="K45" s="235">
        <f t="shared" si="1"/>
        <v>3</v>
      </c>
      <c r="L45" s="233">
        <f>VLOOKUP($B45,Invulblad!$A$11:$S$103,13,0)</f>
        <v>2</v>
      </c>
      <c r="M45" s="234">
        <f>IF(L45&lt;&gt;"",VLOOKUP($B45,Invulblad!$A$11:$S$103,7,0),"")</f>
        <v>1</v>
      </c>
      <c r="N45" s="229" t="s">
        <v>29</v>
      </c>
      <c r="O45" s="234">
        <f>IF(L45&lt;&gt;"",VLOOKUP($B45,Invulblad!$A$11:$S$103,9,0),"")</f>
        <v>2</v>
      </c>
      <c r="P45" s="235">
        <f t="shared" si="6"/>
        <v>0</v>
      </c>
    </row>
    <row r="46" spans="1:16">
      <c r="A46" s="205">
        <v>37</v>
      </c>
      <c r="B46" s="212">
        <v>43</v>
      </c>
      <c r="C46" s="226">
        <v>40353</v>
      </c>
      <c r="D46" s="227">
        <v>0.85416666666666663</v>
      </c>
      <c r="E46" s="228" t="s">
        <v>145</v>
      </c>
      <c r="F46" s="229" t="s">
        <v>29</v>
      </c>
      <c r="G46" s="212" t="s">
        <v>143</v>
      </c>
      <c r="H46" s="229">
        <v>2</v>
      </c>
      <c r="I46" s="229" t="s">
        <v>29</v>
      </c>
      <c r="J46" s="229">
        <v>2</v>
      </c>
      <c r="K46" s="235">
        <f t="shared" ref="K46:K77" si="7">IF(AND(H46="",J46=""),"",IF(OR(H46="",J46=""),"FOUT",IF(H46&gt;J46,"1",IF(H46=J46,3,2))))</f>
        <v>3</v>
      </c>
      <c r="L46" s="233">
        <f>VLOOKUP($B46,Invulblad!$A$11:$S$103,13,0)</f>
        <v>2</v>
      </c>
      <c r="M46" s="234">
        <f>IF(L46&lt;&gt;"",VLOOKUP($B46,Invulblad!$A$11:$S$103,7,0),"")</f>
        <v>1</v>
      </c>
      <c r="N46" s="229" t="s">
        <v>29</v>
      </c>
      <c r="O46" s="234">
        <f>IF(L46&lt;&gt;"",VLOOKUP($B46,Invulblad!$A$11:$S$103,9,0),"")</f>
        <v>3</v>
      </c>
      <c r="P46" s="235">
        <f t="shared" si="6"/>
        <v>0</v>
      </c>
    </row>
    <row r="47" spans="1:16">
      <c r="A47" s="205">
        <v>38</v>
      </c>
      <c r="B47" s="212">
        <v>44</v>
      </c>
      <c r="C47" s="226">
        <v>40353</v>
      </c>
      <c r="D47" s="227">
        <v>0.85416666666666663</v>
      </c>
      <c r="E47" s="228" t="s">
        <v>144</v>
      </c>
      <c r="F47" s="229" t="s">
        <v>29</v>
      </c>
      <c r="G47" s="212" t="s">
        <v>146</v>
      </c>
      <c r="H47" s="229">
        <v>1</v>
      </c>
      <c r="I47" s="229" t="s">
        <v>29</v>
      </c>
      <c r="J47" s="229">
        <v>1</v>
      </c>
      <c r="K47" s="235">
        <f t="shared" si="7"/>
        <v>3</v>
      </c>
      <c r="L47" s="233">
        <f>VLOOKUP($B47,Invulblad!$A$11:$S$103,13,0)</f>
        <v>2</v>
      </c>
      <c r="M47" s="234">
        <f>IF(L47&lt;&gt;"",VLOOKUP($B47,Invulblad!$A$11:$S$103,7,0),"")</f>
        <v>1</v>
      </c>
      <c r="N47" s="229" t="s">
        <v>29</v>
      </c>
      <c r="O47" s="234">
        <f>IF(L47&lt;&gt;"",VLOOKUP($B47,Invulblad!$A$11:$S$103,9,0),"")</f>
        <v>2</v>
      </c>
      <c r="P47" s="235">
        <f t="shared" si="6"/>
        <v>0</v>
      </c>
    </row>
    <row r="48" spans="1:16">
      <c r="A48" s="205">
        <v>39</v>
      </c>
      <c r="B48" s="218" t="s">
        <v>35</v>
      </c>
      <c r="C48" s="218"/>
      <c r="D48" s="218"/>
      <c r="E48" s="218"/>
      <c r="F48" s="218"/>
      <c r="G48" s="218"/>
      <c r="H48" s="218"/>
      <c r="I48" s="218"/>
      <c r="J48" s="218"/>
      <c r="K48" s="236" t="str">
        <f t="shared" si="7"/>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1</v>
      </c>
      <c r="K49" s="235" t="str">
        <f t="shared" si="7"/>
        <v>1</v>
      </c>
      <c r="L49" s="233">
        <f>VLOOKUP($B49,Invulblad!$A$11:$S$103,13,0)</f>
        <v>3</v>
      </c>
      <c r="M49" s="234">
        <f>IF(L49&lt;&gt;"",VLOOKUP($B49,Invulblad!$A$11:$S$103,7,0),"")</f>
        <v>1</v>
      </c>
      <c r="N49" s="229" t="s">
        <v>29</v>
      </c>
      <c r="O49" s="234">
        <f>IF(L49&lt;&gt;"",VLOOKUP($B49,Invulblad!$A$11:$S$103,9,0),"")</f>
        <v>1</v>
      </c>
      <c r="P49" s="235">
        <f t="shared" ref="P49:P54" si="8">IF(L49&lt;&gt;"",IF(AND(M49=H49,O49=J49),10,IF(K49=L49,5,0)),"")</f>
        <v>0</v>
      </c>
    </row>
    <row r="50" spans="1:16">
      <c r="A50" s="205">
        <v>42</v>
      </c>
      <c r="B50" s="212">
        <v>12</v>
      </c>
      <c r="C50" s="226">
        <v>40344</v>
      </c>
      <c r="D50" s="227">
        <v>0.5625</v>
      </c>
      <c r="E50" s="228" t="s">
        <v>149</v>
      </c>
      <c r="F50" s="229" t="s">
        <v>29</v>
      </c>
      <c r="G50" s="212" t="s">
        <v>150</v>
      </c>
      <c r="H50" s="229">
        <v>1</v>
      </c>
      <c r="I50" s="229" t="s">
        <v>29</v>
      </c>
      <c r="J50" s="229">
        <v>1</v>
      </c>
      <c r="K50" s="235">
        <f t="shared" si="7"/>
        <v>3</v>
      </c>
      <c r="L50" s="233">
        <f>VLOOKUP($B50,Invulblad!$A$11:$S$103,13,0)</f>
        <v>3</v>
      </c>
      <c r="M50" s="234">
        <f>IF(L50&lt;&gt;"",VLOOKUP($B50,Invulblad!$A$11:$S$103,7,0),"")</f>
        <v>1</v>
      </c>
      <c r="N50" s="229" t="s">
        <v>29</v>
      </c>
      <c r="O50" s="234">
        <f>IF(L50&lt;&gt;"",VLOOKUP($B50,Invulblad!$A$11:$S$103,9,0),"")</f>
        <v>1</v>
      </c>
      <c r="P50" s="235">
        <f t="shared" si="8"/>
        <v>10</v>
      </c>
    </row>
    <row r="51" spans="1:16">
      <c r="A51" s="205">
        <v>43</v>
      </c>
      <c r="B51" s="212">
        <v>27</v>
      </c>
      <c r="C51" s="226">
        <v>40349</v>
      </c>
      <c r="D51" s="227">
        <v>0.5625</v>
      </c>
      <c r="E51" s="228" t="s">
        <v>151</v>
      </c>
      <c r="F51" s="229" t="s">
        <v>29</v>
      </c>
      <c r="G51" s="212" t="s">
        <v>148</v>
      </c>
      <c r="H51" s="229">
        <v>1</v>
      </c>
      <c r="I51" s="229" t="s">
        <v>29</v>
      </c>
      <c r="J51" s="229">
        <v>3</v>
      </c>
      <c r="K51" s="235">
        <f t="shared" si="7"/>
        <v>2</v>
      </c>
      <c r="L51" s="233">
        <f>VLOOKUP($B51,Invulblad!$A$11:$S$103,13,0)</f>
        <v>2</v>
      </c>
      <c r="M51" s="234">
        <f>IF(L51&lt;&gt;"",VLOOKUP($B51,Invulblad!$A$11:$S$103,7,0),"")</f>
        <v>0</v>
      </c>
      <c r="N51" s="229" t="s">
        <v>29</v>
      </c>
      <c r="O51" s="234">
        <f>IF(L51&lt;&gt;"",VLOOKUP($B51,Invulblad!$A$11:$S$103,9,0),"")</f>
        <v>2</v>
      </c>
      <c r="P51" s="235">
        <f t="shared" si="8"/>
        <v>5</v>
      </c>
    </row>
    <row r="52" spans="1:16">
      <c r="A52" s="205">
        <v>44</v>
      </c>
      <c r="B52" s="212">
        <v>28</v>
      </c>
      <c r="C52" s="226">
        <v>40349</v>
      </c>
      <c r="D52" s="227">
        <v>0.66666666666666663</v>
      </c>
      <c r="E52" s="228" t="s">
        <v>147</v>
      </c>
      <c r="F52" s="229" t="s">
        <v>29</v>
      </c>
      <c r="G52" s="212" t="s">
        <v>152</v>
      </c>
      <c r="H52" s="229">
        <v>2</v>
      </c>
      <c r="I52" s="229" t="s">
        <v>29</v>
      </c>
      <c r="J52" s="229">
        <v>0</v>
      </c>
      <c r="K52" s="235" t="str">
        <f t="shared" si="7"/>
        <v>1</v>
      </c>
      <c r="L52" s="233">
        <f>VLOOKUP($B52,Invulblad!$A$11:$S$103,13,0)</f>
        <v>3</v>
      </c>
      <c r="M52" s="234">
        <f>IF(L52&lt;&gt;"",VLOOKUP($B52,Invulblad!$A$11:$S$103,7,0),"")</f>
        <v>1</v>
      </c>
      <c r="N52" s="229" t="s">
        <v>29</v>
      </c>
      <c r="O52" s="234">
        <f>IF(L52&lt;&gt;"",VLOOKUP($B52,Invulblad!$A$11:$S$103,9,0),"")</f>
        <v>1</v>
      </c>
      <c r="P52" s="235">
        <f t="shared" si="8"/>
        <v>0</v>
      </c>
    </row>
    <row r="53" spans="1:16">
      <c r="A53" s="205">
        <v>45</v>
      </c>
      <c r="B53" s="212">
        <v>41</v>
      </c>
      <c r="C53" s="226">
        <v>40353</v>
      </c>
      <c r="D53" s="227">
        <v>0.66666666666666663</v>
      </c>
      <c r="E53" s="228" t="s">
        <v>151</v>
      </c>
      <c r="F53" s="229" t="s">
        <v>29</v>
      </c>
      <c r="G53" s="212" t="s">
        <v>153</v>
      </c>
      <c r="H53" s="229">
        <v>0</v>
      </c>
      <c r="I53" s="229" t="s">
        <v>29</v>
      </c>
      <c r="J53" s="229">
        <v>1</v>
      </c>
      <c r="K53" s="235">
        <f t="shared" si="7"/>
        <v>2</v>
      </c>
      <c r="L53" s="233" t="str">
        <f>VLOOKUP($B53,Invulblad!$A$11:$S$103,13,0)</f>
        <v>1</v>
      </c>
      <c r="M53" s="234">
        <f>IF(L53&lt;&gt;"",VLOOKUP($B53,Invulblad!$A$11:$S$103,7,0),"")</f>
        <v>3</v>
      </c>
      <c r="N53" s="229" t="s">
        <v>29</v>
      </c>
      <c r="O53" s="234">
        <f>IF(L53&lt;&gt;"",VLOOKUP($B53,Invulblad!$A$11:$S$103,9,0),"")</f>
        <v>2</v>
      </c>
      <c r="P53" s="235">
        <f t="shared" si="8"/>
        <v>0</v>
      </c>
    </row>
    <row r="54" spans="1:16">
      <c r="A54" s="205">
        <v>46</v>
      </c>
      <c r="B54" s="212">
        <v>42</v>
      </c>
      <c r="C54" s="226">
        <v>40353</v>
      </c>
      <c r="D54" s="227">
        <v>0.66666666666666663</v>
      </c>
      <c r="E54" s="228" t="s">
        <v>154</v>
      </c>
      <c r="F54" s="229" t="s">
        <v>29</v>
      </c>
      <c r="G54" s="212" t="s">
        <v>152</v>
      </c>
      <c r="H54" s="229">
        <v>3</v>
      </c>
      <c r="I54" s="229" t="s">
        <v>29</v>
      </c>
      <c r="J54" s="229">
        <v>3</v>
      </c>
      <c r="K54" s="235">
        <f t="shared" si="7"/>
        <v>3</v>
      </c>
      <c r="L54" s="233">
        <f>VLOOKUP($B54,Invulblad!$A$11:$S$103,13,0)</f>
        <v>3</v>
      </c>
      <c r="M54" s="234">
        <f>IF(L54&lt;&gt;"",VLOOKUP($B54,Invulblad!$A$11:$S$103,7,0),"")</f>
        <v>0</v>
      </c>
      <c r="N54" s="229" t="s">
        <v>29</v>
      </c>
      <c r="O54" s="234">
        <f>IF(L54&lt;&gt;"",VLOOKUP($B54,Invulblad!$A$11:$S$103,9,0),"")</f>
        <v>0</v>
      </c>
      <c r="P54" s="235">
        <f t="shared" si="8"/>
        <v>5</v>
      </c>
    </row>
    <row r="55" spans="1:16">
      <c r="A55" s="205">
        <v>47</v>
      </c>
      <c r="B55" s="218" t="s">
        <v>36</v>
      </c>
      <c r="C55" s="218"/>
      <c r="D55" s="218"/>
      <c r="E55" s="218"/>
      <c r="F55" s="218"/>
      <c r="G55" s="218"/>
      <c r="H55" s="218"/>
      <c r="I55" s="218"/>
      <c r="J55" s="218"/>
      <c r="K55" s="236" t="str">
        <f t="shared" si="7"/>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3</v>
      </c>
      <c r="I56" s="229" t="s">
        <v>29</v>
      </c>
      <c r="J56" s="229">
        <v>1</v>
      </c>
      <c r="K56" s="235" t="str">
        <f t="shared" si="7"/>
        <v>1</v>
      </c>
      <c r="L56" s="233">
        <f>VLOOKUP($B56,Invulblad!$A$11:$S$103,13,0)</f>
        <v>3</v>
      </c>
      <c r="M56" s="234">
        <f>IF(L56&lt;&gt;"",VLOOKUP($B56,Invulblad!$A$11:$S$103,7,0),"")</f>
        <v>0</v>
      </c>
      <c r="N56" s="229" t="s">
        <v>29</v>
      </c>
      <c r="O56" s="234">
        <f>IF(L56&lt;&gt;"",VLOOKUP($B56,Invulblad!$A$11:$S$103,9,0),"")</f>
        <v>0</v>
      </c>
      <c r="P56" s="235">
        <f t="shared" ref="P56:P61" si="9">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0</v>
      </c>
      <c r="K57" s="235" t="str">
        <f t="shared" si="7"/>
        <v>1</v>
      </c>
      <c r="L57" s="233" t="str">
        <f>VLOOKUP($B57,Invulblad!$A$11:$S$103,13,0)</f>
        <v>1</v>
      </c>
      <c r="M57" s="234">
        <f>IF(L57&lt;&gt;"",VLOOKUP($B57,Invulblad!$A$11:$S$103,7,0),"")</f>
        <v>2</v>
      </c>
      <c r="N57" s="229" t="s">
        <v>29</v>
      </c>
      <c r="O57" s="234">
        <f>IF(L57&lt;&gt;"",VLOOKUP($B57,Invulblad!$A$11:$S$103,9,0),"")</f>
        <v>1</v>
      </c>
      <c r="P57" s="235">
        <f t="shared" si="9"/>
        <v>5</v>
      </c>
    </row>
    <row r="58" spans="1:16">
      <c r="A58" s="205">
        <v>51</v>
      </c>
      <c r="B58" s="212">
        <v>29</v>
      </c>
      <c r="C58" s="226">
        <v>40349</v>
      </c>
      <c r="D58" s="227">
        <v>0.85416666666666663</v>
      </c>
      <c r="E58" s="228" t="s">
        <v>157</v>
      </c>
      <c r="F58" s="229" t="s">
        <v>29</v>
      </c>
      <c r="G58" s="212" t="s">
        <v>159</v>
      </c>
      <c r="H58" s="229">
        <v>2</v>
      </c>
      <c r="I58" s="229" t="s">
        <v>29</v>
      </c>
      <c r="J58" s="229">
        <v>1</v>
      </c>
      <c r="K58" s="235" t="str">
        <f t="shared" si="7"/>
        <v>1</v>
      </c>
      <c r="L58" s="233" t="str">
        <f>VLOOKUP($B58,Invulblad!$A$11:$S$103,13,0)</f>
        <v>1</v>
      </c>
      <c r="M58" s="234">
        <f>IF(L58&lt;&gt;"",VLOOKUP($B58,Invulblad!$A$11:$S$103,7,0),"")</f>
        <v>3</v>
      </c>
      <c r="N58" s="229" t="s">
        <v>29</v>
      </c>
      <c r="O58" s="234">
        <f>IF(L58&lt;&gt;"",VLOOKUP($B58,Invulblad!$A$11:$S$103,9,0),"")</f>
        <v>1</v>
      </c>
      <c r="P58" s="235">
        <f t="shared" si="9"/>
        <v>5</v>
      </c>
    </row>
    <row r="59" spans="1:16">
      <c r="A59" s="205">
        <v>52</v>
      </c>
      <c r="B59" s="212">
        <v>30</v>
      </c>
      <c r="C59" s="226">
        <v>40350</v>
      </c>
      <c r="D59" s="227">
        <v>0.5625</v>
      </c>
      <c r="E59" s="228" t="s">
        <v>160</v>
      </c>
      <c r="F59" s="229" t="s">
        <v>29</v>
      </c>
      <c r="G59" s="212" t="s">
        <v>158</v>
      </c>
      <c r="H59" s="229">
        <v>3</v>
      </c>
      <c r="I59" s="229" t="s">
        <v>29</v>
      </c>
      <c r="J59" s="229">
        <v>0</v>
      </c>
      <c r="K59" s="235" t="str">
        <f t="shared" si="7"/>
        <v>1</v>
      </c>
      <c r="L59" s="233" t="str">
        <f>VLOOKUP($B59,Invulblad!$A$11:$S$103,13,0)</f>
        <v>1</v>
      </c>
      <c r="M59" s="234">
        <f>IF(L59&lt;&gt;"",VLOOKUP($B59,Invulblad!$A$11:$S$103,7,0),"")</f>
        <v>7</v>
      </c>
      <c r="N59" s="229" t="s">
        <v>29</v>
      </c>
      <c r="O59" s="234">
        <f>IF(L59&lt;&gt;"",VLOOKUP($B59,Invulblad!$A$11:$S$103,9,0),"")</f>
        <v>0</v>
      </c>
      <c r="P59" s="235">
        <f t="shared" si="9"/>
        <v>5</v>
      </c>
    </row>
    <row r="60" spans="1:16">
      <c r="A60" s="205">
        <v>53</v>
      </c>
      <c r="B60" s="212">
        <v>45</v>
      </c>
      <c r="C60" s="226">
        <v>40354</v>
      </c>
      <c r="D60" s="227">
        <v>0.66666666666666663</v>
      </c>
      <c r="E60" s="228" t="s">
        <v>160</v>
      </c>
      <c r="F60" s="229" t="s">
        <v>29</v>
      </c>
      <c r="G60" s="212" t="s">
        <v>161</v>
      </c>
      <c r="H60" s="229">
        <v>1</v>
      </c>
      <c r="I60" s="229" t="s">
        <v>29</v>
      </c>
      <c r="J60" s="229">
        <v>1</v>
      </c>
      <c r="K60" s="235">
        <f t="shared" si="7"/>
        <v>3</v>
      </c>
      <c r="L60" s="233">
        <f>VLOOKUP($B60,Invulblad!$A$11:$S$103,13,0)</f>
        <v>3</v>
      </c>
      <c r="M60" s="234">
        <f>IF(L60&lt;&gt;"",VLOOKUP($B60,Invulblad!$A$11:$S$103,7,0),"")</f>
        <v>0</v>
      </c>
      <c r="N60" s="229" t="s">
        <v>29</v>
      </c>
      <c r="O60" s="234">
        <f>IF(L60&lt;&gt;"",VLOOKUP($B60,Invulblad!$A$11:$S$103,9,0),"")</f>
        <v>0</v>
      </c>
      <c r="P60" s="235">
        <f t="shared" si="9"/>
        <v>5</v>
      </c>
    </row>
    <row r="61" spans="1:16">
      <c r="A61" s="205">
        <v>54</v>
      </c>
      <c r="B61" s="212">
        <v>46</v>
      </c>
      <c r="C61" s="226">
        <v>40354</v>
      </c>
      <c r="D61" s="227">
        <v>0.66666666666666663</v>
      </c>
      <c r="E61" s="228" t="s">
        <v>162</v>
      </c>
      <c r="F61" s="229" t="s">
        <v>29</v>
      </c>
      <c r="G61" s="212" t="s">
        <v>159</v>
      </c>
      <c r="H61" s="229">
        <v>0</v>
      </c>
      <c r="I61" s="229" t="s">
        <v>29</v>
      </c>
      <c r="J61" s="229">
        <v>2</v>
      </c>
      <c r="K61" s="235">
        <f t="shared" si="7"/>
        <v>2</v>
      </c>
      <c r="L61" s="233">
        <f>VLOOKUP($B61,Invulblad!$A$11:$S$103,13,0)</f>
        <v>2</v>
      </c>
      <c r="M61" s="234">
        <f>IF(L61&lt;&gt;"",VLOOKUP($B61,Invulblad!$A$11:$S$103,7,0),"")</f>
        <v>0</v>
      </c>
      <c r="N61" s="229" t="s">
        <v>29</v>
      </c>
      <c r="O61" s="234">
        <f>IF(L61&lt;&gt;"",VLOOKUP($B61,Invulblad!$A$11:$S$103,9,0),"")</f>
        <v>3</v>
      </c>
      <c r="P61" s="235">
        <f t="shared" si="9"/>
        <v>5</v>
      </c>
    </row>
    <row r="62" spans="1:16">
      <c r="A62" s="205">
        <v>55</v>
      </c>
      <c r="B62" s="218" t="s">
        <v>37</v>
      </c>
      <c r="C62" s="218"/>
      <c r="D62" s="218"/>
      <c r="E62" s="218"/>
      <c r="F62" s="218"/>
      <c r="G62" s="218"/>
      <c r="H62" s="218"/>
      <c r="I62" s="218"/>
      <c r="J62" s="218"/>
      <c r="K62" s="236" t="str">
        <f t="shared" si="7"/>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1</v>
      </c>
      <c r="K63" s="235">
        <f t="shared" si="7"/>
        <v>2</v>
      </c>
      <c r="L63" s="233">
        <f>VLOOKUP($B63,Invulblad!$A$11:$S$103,13,0)</f>
        <v>2</v>
      </c>
      <c r="M63" s="234">
        <f>IF(L63&lt;&gt;"",VLOOKUP($B63,Invulblad!$A$11:$S$103,7,0),"")</f>
        <v>0</v>
      </c>
      <c r="N63" s="229" t="s">
        <v>29</v>
      </c>
      <c r="O63" s="234">
        <f>IF(L63&lt;&gt;"",VLOOKUP($B63,Invulblad!$A$11:$S$103,9,0),"")</f>
        <v>1</v>
      </c>
      <c r="P63" s="235">
        <f t="shared" ref="P63:P68" si="10">IF(L63&lt;&gt;"",IF(AND(M63=H63,O63=J63),10,IF(K63=L63,5,0)),"")</f>
        <v>10</v>
      </c>
    </row>
    <row r="64" spans="1:16">
      <c r="A64" s="205">
        <v>58</v>
      </c>
      <c r="B64" s="212">
        <v>16</v>
      </c>
      <c r="C64" s="226">
        <v>40345</v>
      </c>
      <c r="D64" s="227">
        <v>0.66666666666666663</v>
      </c>
      <c r="E64" s="228" t="s">
        <v>165</v>
      </c>
      <c r="F64" s="229" t="s">
        <v>29</v>
      </c>
      <c r="G64" s="212" t="s">
        <v>166</v>
      </c>
      <c r="H64" s="229">
        <v>3</v>
      </c>
      <c r="I64" s="229" t="s">
        <v>29</v>
      </c>
      <c r="J64" s="229">
        <v>0</v>
      </c>
      <c r="K64" s="235" t="str">
        <f t="shared" si="7"/>
        <v>1</v>
      </c>
      <c r="L64" s="233">
        <f>VLOOKUP($B64,Invulblad!$A$11:$S$103,13,0)</f>
        <v>2</v>
      </c>
      <c r="M64" s="234">
        <f>IF(L64&lt;&gt;"",VLOOKUP($B64,Invulblad!$A$11:$S$103,7,0),"")</f>
        <v>0</v>
      </c>
      <c r="N64" s="229" t="s">
        <v>29</v>
      </c>
      <c r="O64" s="234">
        <f>IF(L64&lt;&gt;"",VLOOKUP($B64,Invulblad!$A$11:$S$103,9,0),"")</f>
        <v>1</v>
      </c>
      <c r="P64" s="235">
        <f t="shared" si="10"/>
        <v>0</v>
      </c>
    </row>
    <row r="65" spans="1:16">
      <c r="A65" s="205">
        <v>59</v>
      </c>
      <c r="B65" s="212">
        <v>31</v>
      </c>
      <c r="C65" s="226">
        <v>40350</v>
      </c>
      <c r="D65" s="227">
        <v>0.66666666666666663</v>
      </c>
      <c r="E65" s="228" t="s">
        <v>167</v>
      </c>
      <c r="F65" s="229" t="s">
        <v>29</v>
      </c>
      <c r="G65" s="212" t="s">
        <v>166</v>
      </c>
      <c r="H65" s="229">
        <v>1</v>
      </c>
      <c r="I65" s="229" t="s">
        <v>29</v>
      </c>
      <c r="J65" s="229">
        <v>1</v>
      </c>
      <c r="K65" s="235">
        <f t="shared" si="7"/>
        <v>3</v>
      </c>
      <c r="L65" s="233" t="str">
        <f>VLOOKUP($B65,Invulblad!$A$11:$S$103,13,0)</f>
        <v>1</v>
      </c>
      <c r="M65" s="234">
        <f>IF(L65&lt;&gt;"",VLOOKUP($B65,Invulblad!$A$11:$S$103,7,0),"")</f>
        <v>1</v>
      </c>
      <c r="N65" s="229" t="s">
        <v>29</v>
      </c>
      <c r="O65" s="234">
        <f>IF(L65&lt;&gt;"",VLOOKUP($B65,Invulblad!$A$11:$S$103,9,0),"")</f>
        <v>0</v>
      </c>
      <c r="P65" s="235">
        <f t="shared" si="10"/>
        <v>0</v>
      </c>
    </row>
    <row r="66" spans="1:16">
      <c r="A66" s="205">
        <v>60</v>
      </c>
      <c r="B66" s="212">
        <v>32</v>
      </c>
      <c r="C66" s="226">
        <v>40350</v>
      </c>
      <c r="D66" s="227">
        <v>0.85416666666666663</v>
      </c>
      <c r="E66" s="228" t="s">
        <v>165</v>
      </c>
      <c r="F66" s="229" t="s">
        <v>29</v>
      </c>
      <c r="G66" s="212" t="s">
        <v>168</v>
      </c>
      <c r="H66" s="229">
        <v>4</v>
      </c>
      <c r="I66" s="229" t="s">
        <v>29</v>
      </c>
      <c r="J66" s="229">
        <v>1</v>
      </c>
      <c r="K66" s="235" t="str">
        <f t="shared" si="7"/>
        <v>1</v>
      </c>
      <c r="L66" s="233" t="str">
        <f>VLOOKUP($B66,Invulblad!$A$11:$S$103,13,0)</f>
        <v>1</v>
      </c>
      <c r="M66" s="234">
        <f>IF(L66&lt;&gt;"",VLOOKUP($B66,Invulblad!$A$11:$S$103,7,0),"")</f>
        <v>2</v>
      </c>
      <c r="N66" s="229" t="s">
        <v>29</v>
      </c>
      <c r="O66" s="234">
        <f>IF(L66&lt;&gt;"",VLOOKUP($B66,Invulblad!$A$11:$S$103,9,0),"")</f>
        <v>0</v>
      </c>
      <c r="P66" s="235">
        <f t="shared" si="10"/>
        <v>5</v>
      </c>
    </row>
    <row r="67" spans="1:16">
      <c r="A67" s="205">
        <v>61</v>
      </c>
      <c r="B67" s="212">
        <v>47</v>
      </c>
      <c r="C67" s="226">
        <v>40354</v>
      </c>
      <c r="D67" s="227">
        <v>0.85416666666666663</v>
      </c>
      <c r="E67" s="228" t="s">
        <v>167</v>
      </c>
      <c r="F67" s="229" t="s">
        <v>29</v>
      </c>
      <c r="G67" s="212" t="s">
        <v>169</v>
      </c>
      <c r="H67" s="229">
        <v>0</v>
      </c>
      <c r="I67" s="229" t="s">
        <v>29</v>
      </c>
      <c r="J67" s="229">
        <v>3</v>
      </c>
      <c r="K67" s="235">
        <f t="shared" si="7"/>
        <v>2</v>
      </c>
      <c r="L67" s="233">
        <f>VLOOKUP($B67,Invulblad!$A$11:$S$103,13,0)</f>
        <v>2</v>
      </c>
      <c r="M67" s="234">
        <f>IF(L67&lt;&gt;"",VLOOKUP($B67,Invulblad!$A$11:$S$103,7,0),"")</f>
        <v>1</v>
      </c>
      <c r="N67" s="229" t="s">
        <v>29</v>
      </c>
      <c r="O67" s="234">
        <f>IF(L67&lt;&gt;"",VLOOKUP($B67,Invulblad!$A$11:$S$103,9,0),"")</f>
        <v>2</v>
      </c>
      <c r="P67" s="235">
        <f t="shared" si="10"/>
        <v>5</v>
      </c>
    </row>
    <row r="68" spans="1:16">
      <c r="A68" s="205">
        <v>62</v>
      </c>
      <c r="B68" s="212">
        <v>48</v>
      </c>
      <c r="C68" s="226">
        <v>40354</v>
      </c>
      <c r="D68" s="227">
        <v>0.85416666666666663</v>
      </c>
      <c r="E68" s="228" t="s">
        <v>170</v>
      </c>
      <c r="F68" s="229" t="s">
        <v>29</v>
      </c>
      <c r="G68" s="212" t="s">
        <v>168</v>
      </c>
      <c r="H68" s="229">
        <v>2</v>
      </c>
      <c r="I68" s="229" t="s">
        <v>29</v>
      </c>
      <c r="J68" s="229">
        <v>1</v>
      </c>
      <c r="K68" s="235" t="str">
        <f t="shared" si="7"/>
        <v>1</v>
      </c>
      <c r="L68" s="233">
        <f>VLOOKUP($B68,Invulblad!$A$11:$S$103,13,0)</f>
        <v>3</v>
      </c>
      <c r="M68" s="234">
        <f>IF(L68&lt;&gt;"",VLOOKUP($B68,Invulblad!$A$11:$S$103,7,0),"")</f>
        <v>0</v>
      </c>
      <c r="N68" s="229" t="s">
        <v>29</v>
      </c>
      <c r="O68" s="234">
        <f>IF(L68&lt;&gt;"",VLOOKUP($B68,Invulblad!$A$11:$S$103,9,0),"")</f>
        <v>0</v>
      </c>
      <c r="P68" s="235">
        <f t="shared" si="10"/>
        <v>0</v>
      </c>
    </row>
    <row r="69" spans="1:16">
      <c r="A69" s="205">
        <v>63</v>
      </c>
      <c r="B69" s="218" t="s">
        <v>97</v>
      </c>
      <c r="C69" s="218"/>
      <c r="D69" s="218"/>
      <c r="E69" s="218"/>
      <c r="F69" s="218"/>
      <c r="G69" s="218"/>
      <c r="H69" s="218"/>
      <c r="I69" s="218"/>
      <c r="J69" s="218"/>
      <c r="K69" s="236" t="str">
        <f t="shared" si="7"/>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120</v>
      </c>
      <c r="H70" s="229">
        <v>1</v>
      </c>
      <c r="I70" s="229" t="s">
        <v>29</v>
      </c>
      <c r="J70" s="229">
        <v>0</v>
      </c>
      <c r="K70" s="235" t="str">
        <f t="shared" si="7"/>
        <v>1</v>
      </c>
      <c r="L70" s="233" t="str">
        <f>VLOOKUP($B70,Invulblad!$A$11:$S$103,13,0)</f>
        <v>1</v>
      </c>
      <c r="M70" s="234">
        <f>IF(L70&lt;&gt;"",VLOOKUP($B70,Invulblad!$A$11:$S$103,7,0),"")</f>
        <v>2</v>
      </c>
      <c r="N70" s="229" t="s">
        <v>29</v>
      </c>
      <c r="O70" s="234">
        <f>IF(L70&lt;&gt;"",VLOOKUP($B70,Invulblad!$A$11:$S$103,9,0),"")</f>
        <v>1</v>
      </c>
      <c r="P70" s="235">
        <f t="shared" ref="P70:P77" si="11">IF(L70&lt;&gt;"",IF(AND(M70=H70,O70=J70),10,IF(K70=L70,5,0)),"")</f>
        <v>5</v>
      </c>
    </row>
    <row r="71" spans="1:16">
      <c r="A71" s="205">
        <v>66</v>
      </c>
      <c r="B71" s="212">
        <v>50</v>
      </c>
      <c r="C71" s="226">
        <v>40355</v>
      </c>
      <c r="D71" s="227">
        <v>0.85416666666666663</v>
      </c>
      <c r="E71" s="228" t="s">
        <v>124</v>
      </c>
      <c r="F71" s="229" t="s">
        <v>29</v>
      </c>
      <c r="G71" s="222" t="s">
        <v>242</v>
      </c>
      <c r="H71" s="229">
        <v>0</v>
      </c>
      <c r="I71" s="229" t="s">
        <v>29</v>
      </c>
      <c r="J71" s="229">
        <v>1</v>
      </c>
      <c r="K71" s="235">
        <f t="shared" si="7"/>
        <v>2</v>
      </c>
      <c r="L71" s="233">
        <f>VLOOKUP($B71,Invulblad!$A$11:$S$103,13,0)</f>
        <v>2</v>
      </c>
      <c r="M71" s="234">
        <f>IF(L71&lt;&gt;"",VLOOKUP($B71,Invulblad!$A$11:$S$103,7,0),"")</f>
        <v>1</v>
      </c>
      <c r="N71" s="229" t="s">
        <v>29</v>
      </c>
      <c r="O71" s="234">
        <f>IF(L71&lt;&gt;"",VLOOKUP($B71,Invulblad!$A$11:$S$103,9,0),"")</f>
        <v>2</v>
      </c>
      <c r="P71" s="235">
        <f t="shared" si="11"/>
        <v>5</v>
      </c>
    </row>
    <row r="72" spans="1:16">
      <c r="A72" s="205">
        <v>67</v>
      </c>
      <c r="B72" s="212">
        <v>51</v>
      </c>
      <c r="C72" s="226">
        <v>40356</v>
      </c>
      <c r="D72" s="227">
        <v>0.66666666666666663</v>
      </c>
      <c r="E72" s="223" t="s">
        <v>239</v>
      </c>
      <c r="F72" s="229" t="s">
        <v>29</v>
      </c>
      <c r="G72" s="212" t="s">
        <v>32</v>
      </c>
      <c r="H72" s="229">
        <v>1</v>
      </c>
      <c r="I72" s="229" t="s">
        <v>29</v>
      </c>
      <c r="J72" s="229">
        <v>1</v>
      </c>
      <c r="K72" s="235">
        <f t="shared" si="7"/>
        <v>3</v>
      </c>
      <c r="L72" s="233" t="str">
        <f>VLOOKUP($B72,Invulblad!$A$11:$S$103,13,0)</f>
        <v>1</v>
      </c>
      <c r="M72" s="234">
        <f>IF(L72&lt;&gt;"",VLOOKUP($B72,Invulblad!$A$11:$S$103,7,0),"")</f>
        <v>4</v>
      </c>
      <c r="N72" s="229" t="s">
        <v>29</v>
      </c>
      <c r="O72" s="234">
        <f>IF(L72&lt;&gt;"",VLOOKUP($B72,Invulblad!$A$11:$S$103,9,0),"")</f>
        <v>1</v>
      </c>
      <c r="P72" s="235">
        <f t="shared" si="11"/>
        <v>0</v>
      </c>
    </row>
    <row r="73" spans="1:16">
      <c r="A73" s="205">
        <v>68</v>
      </c>
      <c r="B73" s="212">
        <v>52</v>
      </c>
      <c r="C73" s="226">
        <v>40356</v>
      </c>
      <c r="D73" s="227">
        <v>0.85416666666666663</v>
      </c>
      <c r="E73" s="228" t="s">
        <v>116</v>
      </c>
      <c r="F73" s="229" t="s">
        <v>29</v>
      </c>
      <c r="G73" s="222" t="s">
        <v>109</v>
      </c>
      <c r="H73" s="229">
        <v>1</v>
      </c>
      <c r="I73" s="229" t="s">
        <v>29</v>
      </c>
      <c r="J73" s="229">
        <v>1</v>
      </c>
      <c r="K73" s="235">
        <f t="shared" si="7"/>
        <v>3</v>
      </c>
      <c r="L73" s="233" t="str">
        <f>VLOOKUP($B73,Invulblad!$A$11:$S$103,13,0)</f>
        <v>1</v>
      </c>
      <c r="M73" s="234">
        <f>IF(L73&lt;&gt;"",VLOOKUP($B73,Invulblad!$A$11:$S$103,7,0),"")</f>
        <v>3</v>
      </c>
      <c r="N73" s="229" t="s">
        <v>29</v>
      </c>
      <c r="O73" s="234">
        <f>IF(L73&lt;&gt;"",VLOOKUP($B73,Invulblad!$A$11:$S$103,9,0),"")</f>
        <v>1</v>
      </c>
      <c r="P73" s="235">
        <f t="shared" si="11"/>
        <v>0</v>
      </c>
    </row>
    <row r="74" spans="1:16">
      <c r="A74" s="205">
        <v>69</v>
      </c>
      <c r="B74" s="212">
        <v>53</v>
      </c>
      <c r="C74" s="226">
        <v>40357</v>
      </c>
      <c r="D74" s="227">
        <v>0.66666666666666663</v>
      </c>
      <c r="E74" s="223" t="s">
        <v>178</v>
      </c>
      <c r="F74" s="229" t="s">
        <v>29</v>
      </c>
      <c r="G74" s="212" t="s">
        <v>182</v>
      </c>
      <c r="H74" s="229">
        <v>3</v>
      </c>
      <c r="I74" s="229" t="s">
        <v>29</v>
      </c>
      <c r="J74" s="229">
        <v>1</v>
      </c>
      <c r="K74" s="235" t="str">
        <f t="shared" si="7"/>
        <v>1</v>
      </c>
      <c r="L74" s="233" t="str">
        <f>VLOOKUP($B74,Invulblad!$A$11:$S$103,13,0)</f>
        <v>1</v>
      </c>
      <c r="M74" s="234">
        <f>IF(L74&lt;&gt;"",VLOOKUP($B74,Invulblad!$A$11:$S$103,7,0),"")</f>
        <v>2</v>
      </c>
      <c r="N74" s="229" t="s">
        <v>29</v>
      </c>
      <c r="O74" s="234">
        <f>IF(L74&lt;&gt;"",VLOOKUP($B74,Invulblad!$A$11:$S$103,9,0),"")</f>
        <v>1</v>
      </c>
      <c r="P74" s="235">
        <f t="shared" si="11"/>
        <v>5</v>
      </c>
    </row>
    <row r="75" spans="1:16">
      <c r="A75" s="205">
        <v>70</v>
      </c>
      <c r="B75" s="212">
        <v>54</v>
      </c>
      <c r="C75" s="226">
        <v>40357</v>
      </c>
      <c r="D75" s="227">
        <v>0.85416666666666663</v>
      </c>
      <c r="E75" s="223" t="s">
        <v>265</v>
      </c>
      <c r="F75" s="229" t="s">
        <v>29</v>
      </c>
      <c r="G75" s="212" t="s">
        <v>276</v>
      </c>
      <c r="H75" s="229">
        <v>2</v>
      </c>
      <c r="I75" s="229" t="s">
        <v>29</v>
      </c>
      <c r="J75" s="229">
        <v>0</v>
      </c>
      <c r="K75" s="235" t="str">
        <f t="shared" si="7"/>
        <v>1</v>
      </c>
      <c r="L75" s="233" t="str">
        <f>VLOOKUP($B75,Invulblad!$A$11:$S$103,13,0)</f>
        <v>1</v>
      </c>
      <c r="M75" s="234">
        <f>IF(L75&lt;&gt;"",VLOOKUP($B75,Invulblad!$A$11:$S$103,7,0),"")</f>
        <v>3</v>
      </c>
      <c r="N75" s="229" t="s">
        <v>29</v>
      </c>
      <c r="O75" s="234">
        <f>IF(L75&lt;&gt;"",VLOOKUP($B75,Invulblad!$A$11:$S$103,9,0),"")</f>
        <v>0</v>
      </c>
      <c r="P75" s="235">
        <f t="shared" si="11"/>
        <v>5</v>
      </c>
    </row>
    <row r="76" spans="1:16">
      <c r="A76" s="205">
        <v>71</v>
      </c>
      <c r="B76" s="212">
        <v>55</v>
      </c>
      <c r="C76" s="226">
        <v>40358</v>
      </c>
      <c r="D76" s="227">
        <v>0.66666666666666663</v>
      </c>
      <c r="E76" s="223" t="s">
        <v>257</v>
      </c>
      <c r="F76" s="229" t="s">
        <v>29</v>
      </c>
      <c r="G76" s="212" t="s">
        <v>248</v>
      </c>
      <c r="H76" s="229">
        <v>1</v>
      </c>
      <c r="I76" s="229" t="s">
        <v>29</v>
      </c>
      <c r="J76" s="229">
        <v>0</v>
      </c>
      <c r="K76" s="235" t="str">
        <f t="shared" si="7"/>
        <v>1</v>
      </c>
      <c r="L76" s="233">
        <f>VLOOKUP($B76,Invulblad!$A$11:$S$103,13,0)</f>
        <v>3</v>
      </c>
      <c r="M76" s="234">
        <f>IF(L76&lt;&gt;"",VLOOKUP($B76,Invulblad!$A$11:$S$103,7,0),"")</f>
        <v>0</v>
      </c>
      <c r="N76" s="229" t="s">
        <v>29</v>
      </c>
      <c r="O76" s="234">
        <f>IF(L76&lt;&gt;"",VLOOKUP($B76,Invulblad!$A$11:$S$103,9,0),"")</f>
        <v>0</v>
      </c>
      <c r="P76" s="235">
        <f t="shared" si="11"/>
        <v>0</v>
      </c>
    </row>
    <row r="77" spans="1:16">
      <c r="A77" s="205">
        <v>72</v>
      </c>
      <c r="B77" s="212">
        <v>56</v>
      </c>
      <c r="C77" s="226">
        <v>40358</v>
      </c>
      <c r="D77" s="227">
        <v>0.85416666666666663</v>
      </c>
      <c r="E77" s="223" t="s">
        <v>200</v>
      </c>
      <c r="F77" s="229" t="s">
        <v>29</v>
      </c>
      <c r="G77" s="212" t="s">
        <v>266</v>
      </c>
      <c r="H77" s="229">
        <v>2</v>
      </c>
      <c r="I77" s="229" t="s">
        <v>29</v>
      </c>
      <c r="J77" s="229">
        <v>2</v>
      </c>
      <c r="K77" s="235">
        <f t="shared" si="7"/>
        <v>3</v>
      </c>
      <c r="L77" s="233" t="str">
        <f>VLOOKUP($B77,Invulblad!$A$11:$S$103,13,0)</f>
        <v>1</v>
      </c>
      <c r="M77" s="234">
        <f>IF(L77&lt;&gt;"",VLOOKUP($B77,Invulblad!$A$11:$S$103,7,0),"")</f>
        <v>1</v>
      </c>
      <c r="N77" s="229" t="s">
        <v>29</v>
      </c>
      <c r="O77" s="234">
        <f>IF(L77&lt;&gt;"",VLOOKUP($B77,Invulblad!$A$11:$S$103,9,0),"")</f>
        <v>0</v>
      </c>
      <c r="P77" s="235">
        <f t="shared" si="11"/>
        <v>0</v>
      </c>
    </row>
    <row r="78" spans="1:16">
      <c r="A78" s="205">
        <v>73</v>
      </c>
      <c r="B78" s="218" t="s">
        <v>186</v>
      </c>
      <c r="C78" s="218"/>
      <c r="D78" s="218"/>
      <c r="E78" s="218"/>
      <c r="F78" s="218"/>
      <c r="G78" s="218"/>
      <c r="H78" s="218"/>
      <c r="I78" s="218"/>
      <c r="J78" s="218"/>
      <c r="K78" s="236" t="str">
        <f t="shared" ref="K78:K89" si="12">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1</v>
      </c>
      <c r="K79" s="235">
        <f t="shared" si="12"/>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3" t="s">
        <v>205</v>
      </c>
      <c r="F80" s="229" t="s">
        <v>29</v>
      </c>
      <c r="G80" s="212" t="s">
        <v>242</v>
      </c>
      <c r="H80" s="229">
        <v>1</v>
      </c>
      <c r="I80" s="229" t="s">
        <v>29</v>
      </c>
      <c r="J80" s="229">
        <v>0</v>
      </c>
      <c r="K80" s="235" t="str">
        <f t="shared" si="12"/>
        <v>1</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109</v>
      </c>
      <c r="F81" s="229" t="s">
        <v>29</v>
      </c>
      <c r="G81" s="222" t="s">
        <v>239</v>
      </c>
      <c r="H81" s="229">
        <v>1</v>
      </c>
      <c r="I81" s="229" t="s">
        <v>29</v>
      </c>
      <c r="J81" s="229">
        <v>2</v>
      </c>
      <c r="K81" s="235">
        <f t="shared" si="12"/>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257</v>
      </c>
      <c r="F82" s="229" t="s">
        <v>29</v>
      </c>
      <c r="G82" s="222" t="s">
        <v>200</v>
      </c>
      <c r="H82" s="229">
        <v>0</v>
      </c>
      <c r="I82" s="229" t="s">
        <v>29</v>
      </c>
      <c r="J82" s="229">
        <v>1</v>
      </c>
      <c r="K82" s="235">
        <f t="shared" si="12"/>
        <v>2</v>
      </c>
      <c r="L82" s="233">
        <f>VLOOKUP($B82,Invulblad!$A$11:$S$103,13,0)</f>
        <v>2</v>
      </c>
      <c r="M82" s="234">
        <f>IF(L82&lt;&gt;"",VLOOKUP($B82,Invulblad!$A$11:$S$103,7,0),"")</f>
        <v>0</v>
      </c>
      <c r="N82" s="229" t="s">
        <v>29</v>
      </c>
      <c r="O82" s="234">
        <f>IF(L82&lt;&gt;"",VLOOKUP($B82,Invulblad!$A$11:$S$103,9,0),"")</f>
        <v>1</v>
      </c>
      <c r="P82" s="235">
        <f>IF(L82&lt;&gt;"",IF(AND(M82=H82,O82=J82),10,IF(K82=L82,5,0)),"")</f>
        <v>10</v>
      </c>
    </row>
    <row r="83" spans="1:16">
      <c r="A83" s="205">
        <v>79</v>
      </c>
      <c r="B83" s="218" t="s">
        <v>99</v>
      </c>
      <c r="C83" s="218"/>
      <c r="D83" s="218"/>
      <c r="E83" s="218"/>
      <c r="F83" s="218"/>
      <c r="G83" s="218"/>
      <c r="H83" s="218"/>
      <c r="I83" s="218"/>
      <c r="J83" s="218"/>
      <c r="K83" s="236" t="str">
        <f t="shared" si="12"/>
        <v/>
      </c>
      <c r="L83" s="233"/>
      <c r="M83" s="234" t="str">
        <f>IF(L83&lt;&gt;"",VLOOKUP($B83,Invulblad!$A$11:$S$103,7,0),"")</f>
        <v/>
      </c>
      <c r="O83" s="234" t="str">
        <f>IF(L83&lt;&gt;"",VLOOKUP($B83,Invulblad!$A$11:$S$103,9,0),"")</f>
        <v/>
      </c>
    </row>
    <row r="84" spans="1:16">
      <c r="A84" s="205">
        <v>81</v>
      </c>
      <c r="B84" s="212">
        <v>61</v>
      </c>
      <c r="C84" s="226">
        <v>40365</v>
      </c>
      <c r="D84" s="227">
        <v>0.85416666666666663</v>
      </c>
      <c r="E84" s="228" t="s">
        <v>205</v>
      </c>
      <c r="F84" s="229" t="s">
        <v>29</v>
      </c>
      <c r="G84" s="222" t="s">
        <v>265</v>
      </c>
      <c r="H84" s="229">
        <v>1</v>
      </c>
      <c r="I84" s="229" t="s">
        <v>29</v>
      </c>
      <c r="J84" s="229">
        <v>1</v>
      </c>
      <c r="K84" s="235">
        <f t="shared" si="12"/>
        <v>3</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8" t="s">
        <v>239</v>
      </c>
      <c r="F85" s="229" t="s">
        <v>29</v>
      </c>
      <c r="G85" s="222" t="s">
        <v>200</v>
      </c>
      <c r="H85" s="229">
        <v>1</v>
      </c>
      <c r="I85" s="229" t="s">
        <v>29</v>
      </c>
      <c r="J85" s="229">
        <v>2</v>
      </c>
      <c r="K85" s="235">
        <f t="shared" si="12"/>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2"/>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205</v>
      </c>
      <c r="F87" s="229" t="s">
        <v>29</v>
      </c>
      <c r="G87" s="222" t="s">
        <v>239</v>
      </c>
      <c r="H87" s="229">
        <v>1</v>
      </c>
      <c r="I87" s="229" t="s">
        <v>29</v>
      </c>
      <c r="J87" s="229">
        <v>2</v>
      </c>
      <c r="K87" s="235">
        <f t="shared" si="12"/>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2"/>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200</v>
      </c>
      <c r="H89" s="229">
        <v>2</v>
      </c>
      <c r="I89" s="229" t="s">
        <v>29</v>
      </c>
      <c r="J89" s="229">
        <v>2</v>
      </c>
      <c r="K89" s="235">
        <f t="shared" si="12"/>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109</v>
      </c>
    </row>
    <row r="98" spans="2:5">
      <c r="B98" s="218" t="s">
        <v>206</v>
      </c>
    </row>
    <row r="100" spans="2:5">
      <c r="B100" s="240" t="s">
        <v>207</v>
      </c>
      <c r="C100" s="240" t="s">
        <v>208</v>
      </c>
      <c r="D100" s="240" t="s">
        <v>209</v>
      </c>
      <c r="E100" s="240" t="s">
        <v>210</v>
      </c>
    </row>
    <row r="101" spans="2:5">
      <c r="B101" s="241" t="s">
        <v>205</v>
      </c>
      <c r="C101" s="241" t="s">
        <v>225</v>
      </c>
      <c r="D101" s="241" t="s">
        <v>211</v>
      </c>
      <c r="E101" s="241" t="s">
        <v>226</v>
      </c>
    </row>
    <row r="102" spans="2:5">
      <c r="B102" s="242" t="s">
        <v>214</v>
      </c>
      <c r="C102" s="242" t="s">
        <v>218</v>
      </c>
      <c r="D102" s="242" t="s">
        <v>227</v>
      </c>
      <c r="E102" s="242" t="s">
        <v>213</v>
      </c>
    </row>
    <row r="103" spans="2:5">
      <c r="B103" s="241" t="s">
        <v>109</v>
      </c>
      <c r="C103" s="241" t="s">
        <v>211</v>
      </c>
      <c r="D103" s="241" t="s">
        <v>212</v>
      </c>
      <c r="E103" s="241" t="s">
        <v>211</v>
      </c>
    </row>
    <row r="104" spans="2:5">
      <c r="B104" s="242" t="s">
        <v>107</v>
      </c>
      <c r="C104" s="242" t="s">
        <v>213</v>
      </c>
      <c r="D104" s="242" t="s">
        <v>227</v>
      </c>
      <c r="E104" s="242" t="s">
        <v>215</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120</v>
      </c>
    </row>
    <row r="122" spans="1:15">
      <c r="B122" s="218" t="s">
        <v>223</v>
      </c>
    </row>
    <row r="124" spans="1:15">
      <c r="B124" s="240" t="s">
        <v>207</v>
      </c>
      <c r="C124" s="240" t="s">
        <v>208</v>
      </c>
      <c r="D124" s="240" t="s">
        <v>209</v>
      </c>
      <c r="E124" s="240" t="s">
        <v>210</v>
      </c>
    </row>
    <row r="125" spans="1:15">
      <c r="B125" s="241" t="s">
        <v>120</v>
      </c>
      <c r="C125" s="241" t="s">
        <v>211</v>
      </c>
      <c r="D125" s="241" t="s">
        <v>216</v>
      </c>
      <c r="E125" s="241" t="s">
        <v>213</v>
      </c>
    </row>
    <row r="126" spans="1:15">
      <c r="B126" s="242" t="s">
        <v>116</v>
      </c>
      <c r="C126" s="242" t="s">
        <v>225</v>
      </c>
      <c r="D126" s="242" t="s">
        <v>211</v>
      </c>
      <c r="E126" s="242" t="s">
        <v>217</v>
      </c>
    </row>
    <row r="127" spans="1:15">
      <c r="B127" s="241" t="s">
        <v>122</v>
      </c>
      <c r="C127" s="241" t="s">
        <v>218</v>
      </c>
      <c r="D127" s="241" t="s">
        <v>227</v>
      </c>
      <c r="E127" s="241" t="s">
        <v>211</v>
      </c>
    </row>
    <row r="128" spans="1:15">
      <c r="B128" s="242" t="s">
        <v>118</v>
      </c>
      <c r="C128" s="242" t="s">
        <v>215</v>
      </c>
      <c r="D128" s="242" t="s">
        <v>216</v>
      </c>
      <c r="E128" s="242" t="s">
        <v>213</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216</v>
      </c>
      <c r="E149" s="241" t="s">
        <v>234</v>
      </c>
    </row>
    <row r="150" spans="2:5">
      <c r="B150" s="242" t="s">
        <v>124</v>
      </c>
      <c r="C150" s="242" t="s">
        <v>234</v>
      </c>
      <c r="D150" s="242" t="s">
        <v>211</v>
      </c>
      <c r="E150" s="242" t="s">
        <v>226</v>
      </c>
    </row>
    <row r="151" spans="2:5">
      <c r="B151" s="241" t="s">
        <v>128</v>
      </c>
      <c r="C151" s="241" t="s">
        <v>212</v>
      </c>
      <c r="D151" s="241" t="s">
        <v>314</v>
      </c>
      <c r="E151" s="241" t="s">
        <v>213</v>
      </c>
    </row>
    <row r="152" spans="2:5">
      <c r="B152" s="242" t="s">
        <v>32</v>
      </c>
      <c r="C152" s="242" t="s">
        <v>234</v>
      </c>
      <c r="D152" s="242" t="s">
        <v>213</v>
      </c>
      <c r="E152" s="242" t="s">
        <v>217</v>
      </c>
    </row>
    <row r="155" spans="2:5">
      <c r="B155" s="218" t="s">
        <v>235</v>
      </c>
    </row>
    <row r="156" spans="2:5">
      <c r="B156" s="212"/>
    </row>
    <row r="157" spans="2:5">
      <c r="B157" s="212" t="s">
        <v>311</v>
      </c>
    </row>
    <row r="158" spans="2:5">
      <c r="B158" s="212"/>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234</v>
      </c>
      <c r="D173" s="241" t="s">
        <v>211</v>
      </c>
      <c r="E173" s="241" t="s">
        <v>234</v>
      </c>
    </row>
    <row r="174" spans="1:15">
      <c r="B174" s="242" t="s">
        <v>242</v>
      </c>
      <c r="C174" s="242" t="s">
        <v>234</v>
      </c>
      <c r="D174" s="242" t="s">
        <v>213</v>
      </c>
      <c r="E174" s="242" t="s">
        <v>226</v>
      </c>
    </row>
    <row r="175" spans="1:15">
      <c r="B175" s="241" t="s">
        <v>244</v>
      </c>
      <c r="C175" s="241" t="s">
        <v>218</v>
      </c>
      <c r="D175" s="241" t="s">
        <v>227</v>
      </c>
      <c r="E175" s="241" t="s">
        <v>211</v>
      </c>
    </row>
    <row r="176" spans="1:15">
      <c r="B176" s="242" t="s">
        <v>240</v>
      </c>
      <c r="C176" s="242" t="s">
        <v>218</v>
      </c>
      <c r="D176" s="242" t="s">
        <v>224</v>
      </c>
      <c r="E176" s="242" t="s">
        <v>215</v>
      </c>
    </row>
    <row r="179" spans="1:15">
      <c r="B179" s="218" t="s">
        <v>245</v>
      </c>
    </row>
    <row r="180" spans="1:15">
      <c r="B180" s="212"/>
    </row>
    <row r="181" spans="1:15">
      <c r="B181" s="212" t="s">
        <v>246</v>
      </c>
    </row>
    <row r="182" spans="1:15">
      <c r="B182" s="212"/>
    </row>
    <row r="185" spans="1:15">
      <c r="B185" s="243"/>
      <c r="C185" s="243"/>
      <c r="D185" s="243"/>
      <c r="E185" s="243"/>
      <c r="F185" s="243"/>
      <c r="G185" s="243"/>
      <c r="H185" s="243"/>
      <c r="I185" s="243"/>
      <c r="J185" s="243"/>
    </row>
    <row r="186" spans="1:15">
      <c r="K186" s="243"/>
      <c r="L186" s="244"/>
      <c r="M186" s="243"/>
      <c r="N186" s="243"/>
      <c r="O186"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234</v>
      </c>
      <c r="D197" s="241" t="s">
        <v>217</v>
      </c>
      <c r="E197" s="241" t="s">
        <v>316</v>
      </c>
    </row>
    <row r="198" spans="2:5">
      <c r="B198" s="242" t="s">
        <v>250</v>
      </c>
      <c r="C198" s="242" t="s">
        <v>215</v>
      </c>
      <c r="D198" s="242" t="s">
        <v>216</v>
      </c>
      <c r="E198" s="242" t="s">
        <v>217</v>
      </c>
    </row>
    <row r="199" spans="2:5">
      <c r="B199" s="241" t="s">
        <v>251</v>
      </c>
      <c r="C199" s="241" t="s">
        <v>218</v>
      </c>
      <c r="D199" s="241" t="s">
        <v>252</v>
      </c>
      <c r="E199" s="241" t="s">
        <v>213</v>
      </c>
    </row>
    <row r="200" spans="2:5">
      <c r="B200" s="242" t="s">
        <v>248</v>
      </c>
      <c r="C200" s="242" t="s">
        <v>217</v>
      </c>
      <c r="D200" s="242" t="s">
        <v>213</v>
      </c>
      <c r="E200" s="242" t="s">
        <v>226</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row>
    <row r="210" spans="1:15">
      <c r="K210" s="243"/>
      <c r="L210" s="244"/>
      <c r="M210" s="243"/>
      <c r="N210" s="243"/>
      <c r="O210"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225</v>
      </c>
      <c r="D221" s="241" t="s">
        <v>211</v>
      </c>
      <c r="E221" s="241" t="s">
        <v>217</v>
      </c>
    </row>
    <row r="222" spans="1:15">
      <c r="B222" s="242" t="s">
        <v>259</v>
      </c>
      <c r="C222" s="242" t="s">
        <v>215</v>
      </c>
      <c r="D222" s="242" t="s">
        <v>227</v>
      </c>
      <c r="E222" s="242" t="s">
        <v>211</v>
      </c>
    </row>
    <row r="223" spans="1:15">
      <c r="B223" s="241" t="s">
        <v>182</v>
      </c>
      <c r="C223" s="241" t="s">
        <v>211</v>
      </c>
      <c r="D223" s="241" t="s">
        <v>218</v>
      </c>
      <c r="E223" s="241" t="s">
        <v>234</v>
      </c>
    </row>
    <row r="224" spans="1:15">
      <c r="B224" s="242" t="s">
        <v>260</v>
      </c>
      <c r="C224" s="242" t="s">
        <v>218</v>
      </c>
      <c r="D224" s="242" t="s">
        <v>233</v>
      </c>
      <c r="E224" s="242" t="s">
        <v>215</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row>
    <row r="234" spans="1:15">
      <c r="K234" s="243"/>
      <c r="L234" s="244"/>
      <c r="M234" s="243"/>
      <c r="N234" s="243"/>
      <c r="O234"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0">
      <c r="B242" s="218" t="s">
        <v>267</v>
      </c>
    </row>
    <row r="244" spans="2:10">
      <c r="B244" s="240" t="s">
        <v>207</v>
      </c>
      <c r="C244" s="240" t="s">
        <v>208</v>
      </c>
      <c r="D244" s="240" t="s">
        <v>209</v>
      </c>
      <c r="E244" s="240" t="s">
        <v>210</v>
      </c>
    </row>
    <row r="245" spans="2:10">
      <c r="B245" s="241" t="s">
        <v>268</v>
      </c>
      <c r="C245" s="241" t="s">
        <v>211</v>
      </c>
      <c r="D245" s="241" t="s">
        <v>218</v>
      </c>
      <c r="E245" s="241" t="s">
        <v>217</v>
      </c>
    </row>
    <row r="246" spans="2:10">
      <c r="B246" s="242" t="s">
        <v>265</v>
      </c>
      <c r="C246" s="242" t="s">
        <v>234</v>
      </c>
      <c r="D246" s="242" t="s">
        <v>217</v>
      </c>
      <c r="E246" s="242" t="s">
        <v>234</v>
      </c>
    </row>
    <row r="247" spans="2:10">
      <c r="B247" s="241" t="s">
        <v>266</v>
      </c>
      <c r="C247" s="241" t="s">
        <v>226</v>
      </c>
      <c r="D247" s="241" t="s">
        <v>213</v>
      </c>
      <c r="E247" s="241" t="s">
        <v>226</v>
      </c>
    </row>
    <row r="248" spans="2:10">
      <c r="B248" s="242" t="s">
        <v>269</v>
      </c>
      <c r="C248" s="242" t="s">
        <v>212</v>
      </c>
      <c r="D248" s="242" t="s">
        <v>327</v>
      </c>
      <c r="E248" s="242" t="s">
        <v>212</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7" spans="1:15">
      <c r="K257" s="243"/>
      <c r="L257" s="244"/>
      <c r="M257" s="243"/>
      <c r="N257" s="243"/>
      <c r="O257"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276</v>
      </c>
    </row>
    <row r="263" spans="1:15">
      <c r="A263" s="205" t="s">
        <v>88</v>
      </c>
    </row>
    <row r="265" spans="1:15">
      <c r="B265" s="218" t="s">
        <v>275</v>
      </c>
    </row>
    <row r="267" spans="1:15">
      <c r="B267" s="240" t="s">
        <v>207</v>
      </c>
      <c r="C267" s="240" t="s">
        <v>208</v>
      </c>
      <c r="D267" s="240" t="s">
        <v>209</v>
      </c>
      <c r="E267" s="240" t="s">
        <v>210</v>
      </c>
    </row>
    <row r="268" spans="1:15">
      <c r="B268" s="241" t="s">
        <v>274</v>
      </c>
      <c r="C268" s="241" t="s">
        <v>211</v>
      </c>
      <c r="D268" s="241" t="s">
        <v>227</v>
      </c>
      <c r="E268" s="241" t="s">
        <v>215</v>
      </c>
    </row>
    <row r="269" spans="1:15">
      <c r="B269" s="242" t="s">
        <v>200</v>
      </c>
      <c r="C269" s="242" t="s">
        <v>225</v>
      </c>
      <c r="D269" s="242" t="s">
        <v>225</v>
      </c>
      <c r="E269" s="242" t="s">
        <v>317</v>
      </c>
    </row>
    <row r="270" spans="1:15">
      <c r="B270" s="241" t="s">
        <v>276</v>
      </c>
      <c r="C270" s="241" t="s">
        <v>211</v>
      </c>
      <c r="D270" s="241" t="s">
        <v>227</v>
      </c>
      <c r="E270" s="241" t="s">
        <v>213</v>
      </c>
    </row>
    <row r="271" spans="1:15">
      <c r="B271" s="242" t="s">
        <v>277</v>
      </c>
      <c r="C271" s="242" t="s">
        <v>212</v>
      </c>
      <c r="D271" s="242" t="s">
        <v>224</v>
      </c>
      <c r="E271" s="242" t="s">
        <v>215</v>
      </c>
    </row>
    <row r="274" spans="2:15">
      <c r="B274" s="218" t="s">
        <v>278</v>
      </c>
    </row>
    <row r="275" spans="2:15">
      <c r="B275" s="212"/>
    </row>
    <row r="276" spans="2:15">
      <c r="B276" s="212" t="s">
        <v>279</v>
      </c>
    </row>
    <row r="277" spans="2:15">
      <c r="B277" s="212" t="s">
        <v>328</v>
      </c>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6.xml><?xml version="1.0" encoding="utf-8"?>
<worksheet xmlns="http://schemas.openxmlformats.org/spreadsheetml/2006/main" xmlns:r="http://schemas.openxmlformats.org/officeDocument/2006/relationships">
  <dimension ref="A1:Q310"/>
  <sheetViews>
    <sheetView topLeftCell="A49"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354</v>
      </c>
      <c r="L1" s="211"/>
      <c r="P1" s="210">
        <f>SUM(P14:P89)+E11+H11+L7+L11</f>
        <v>500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Argentinië</v>
      </c>
      <c r="E3" s="247">
        <f>IF(AND(ISNA(MATCH(D3,Invulblad!$F$76:$F$83,0)),ISNA(MATCH(D3,Invulblad!$J$76:$J$83,0))),0,10)</f>
        <v>10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Uruguay</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Nigeria</v>
      </c>
      <c r="C6" s="247">
        <f>IF(AND(ISNA(MATCH(B6,Invulblad!$F$76:$F$83,0)),ISNA(MATCH(B6,Invulblad!$J$76:$J$83,0))),0,10)</f>
        <v>0</v>
      </c>
      <c r="D6" s="212" t="str">
        <f t="shared" si="1"/>
        <v>Uruguay</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135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110</v>
      </c>
      <c r="G11" s="215" t="s">
        <v>92</v>
      </c>
      <c r="H11" s="250">
        <f>SUM(H3:H10)</f>
        <v>75</v>
      </c>
      <c r="J11" s="215" t="s">
        <v>101</v>
      </c>
      <c r="K11" s="216"/>
      <c r="L11" s="250">
        <f>SUM(L9:L10)</f>
        <v>5</v>
      </c>
    </row>
    <row r="12" spans="1:17">
      <c r="B12" s="218" t="s">
        <v>19</v>
      </c>
      <c r="C12" s="218"/>
      <c r="D12" s="218"/>
      <c r="E12" s="219" t="str">
        <f>IF(H89&gt;J89,E89,G89)</f>
        <v>Nederland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0</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1</v>
      </c>
      <c r="K15" s="235">
        <f t="shared" si="2"/>
        <v>3</v>
      </c>
      <c r="L15" s="233">
        <f>VLOOKUP($B15,Invulblad!$A$11:$S$103,13,0)</f>
        <v>3</v>
      </c>
      <c r="M15" s="234">
        <f>IF(L15&lt;&gt;"",VLOOKUP($B15,Invulblad!$A$11:$S$103,7,0),"")</f>
        <v>0</v>
      </c>
      <c r="N15" s="229" t="s">
        <v>29</v>
      </c>
      <c r="O15" s="234">
        <f>IF(L15&lt;&gt;"",VLOOKUP($B15,Invulblad!$A$11:$S$103,9,0),"")</f>
        <v>0</v>
      </c>
      <c r="P15" s="235">
        <f t="shared" si="3"/>
        <v>5</v>
      </c>
    </row>
    <row r="16" spans="1:17">
      <c r="A16" s="205">
        <v>3</v>
      </c>
      <c r="B16" s="212">
        <v>17</v>
      </c>
      <c r="C16" s="226">
        <v>40345</v>
      </c>
      <c r="D16" s="227">
        <v>0.85416666666666663</v>
      </c>
      <c r="E16" s="228" t="s">
        <v>111</v>
      </c>
      <c r="F16" s="229" t="s">
        <v>29</v>
      </c>
      <c r="G16" s="212" t="s">
        <v>112</v>
      </c>
      <c r="H16" s="229">
        <v>1</v>
      </c>
      <c r="I16" s="229" t="s">
        <v>29</v>
      </c>
      <c r="J16" s="229">
        <v>1</v>
      </c>
      <c r="K16" s="235">
        <f t="shared" si="2"/>
        <v>3</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2</v>
      </c>
      <c r="I17" s="229" t="s">
        <v>29</v>
      </c>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2</v>
      </c>
      <c r="K18" s="235">
        <f t="shared" si="2"/>
        <v>2</v>
      </c>
      <c r="L18" s="233">
        <f>VLOOKUP($B18,Invulblad!$A$11:$S$103,13,0)</f>
        <v>2</v>
      </c>
      <c r="M18" s="234">
        <f>IF(L18&lt;&gt;"",VLOOKUP($B18,Invulblad!$A$11:$S$103,7,0),"")</f>
        <v>0</v>
      </c>
      <c r="N18" s="229" t="s">
        <v>29</v>
      </c>
      <c r="O18" s="234">
        <f>IF(L18&lt;&gt;"",VLOOKUP($B18,Invulblad!$A$11:$S$103,9,0),"")</f>
        <v>1</v>
      </c>
      <c r="P18" s="235">
        <f t="shared" si="3"/>
        <v>5</v>
      </c>
    </row>
    <row r="19" spans="1:16">
      <c r="A19" s="205">
        <v>6</v>
      </c>
      <c r="B19" s="212">
        <v>34</v>
      </c>
      <c r="C19" s="226">
        <v>40351</v>
      </c>
      <c r="D19" s="227">
        <v>0.66666666666666663</v>
      </c>
      <c r="E19" s="228" t="s">
        <v>113</v>
      </c>
      <c r="F19" s="229" t="s">
        <v>29</v>
      </c>
      <c r="G19" s="212" t="s">
        <v>115</v>
      </c>
      <c r="H19" s="229">
        <v>3</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1</v>
      </c>
      <c r="I21" s="229" t="s">
        <v>29</v>
      </c>
      <c r="J21" s="229">
        <v>1</v>
      </c>
      <c r="K21" s="235">
        <f t="shared" si="2"/>
        <v>3</v>
      </c>
      <c r="L21" s="233" t="str">
        <f>VLOOKUP($B21,Invulblad!$A$11:$S$103,13,0)</f>
        <v>1</v>
      </c>
      <c r="M21" s="234">
        <f>IF(L21&lt;&gt;"",VLOOKUP($B21,Invulblad!$A$11:$S$103,7,0),"")</f>
        <v>1</v>
      </c>
      <c r="N21" s="229" t="s">
        <v>29</v>
      </c>
      <c r="O21" s="234">
        <f>IF(L21&lt;&gt;"",VLOOKUP($B21,Invulblad!$A$11:$S$103,9,0),"")</f>
        <v>0</v>
      </c>
      <c r="P21" s="235">
        <f t="shared" ref="P21:P26" si="4">IF(L21&lt;&gt;"",IF(AND(M21=H21,O21=J21),10,IF(K21=L21,5,0)),"")</f>
        <v>0</v>
      </c>
    </row>
    <row r="22" spans="1:16">
      <c r="A22" s="205">
        <v>10</v>
      </c>
      <c r="B22" s="212">
        <v>4</v>
      </c>
      <c r="C22" s="226">
        <v>40341</v>
      </c>
      <c r="D22" s="227">
        <v>0.5625</v>
      </c>
      <c r="E22" s="228" t="s">
        <v>303</v>
      </c>
      <c r="F22" s="229" t="s">
        <v>29</v>
      </c>
      <c r="G22" s="212" t="s">
        <v>119</v>
      </c>
      <c r="H22" s="229">
        <v>1</v>
      </c>
      <c r="I22" s="229" t="s">
        <v>29</v>
      </c>
      <c r="J22" s="229">
        <v>2</v>
      </c>
      <c r="K22" s="235">
        <f t="shared" si="2"/>
        <v>2</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0</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1</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2</v>
      </c>
      <c r="I26" s="229" t="s">
        <v>29</v>
      </c>
      <c r="J26" s="229">
        <v>2</v>
      </c>
      <c r="K26" s="235">
        <f t="shared" si="2"/>
        <v>3</v>
      </c>
      <c r="L26" s="233">
        <f>VLOOKUP($B26,Invulblad!$A$11:$S$103,13,0)</f>
        <v>2</v>
      </c>
      <c r="M26" s="234">
        <f>IF(L26&lt;&gt;"",VLOOKUP($B26,Invulblad!$A$11:$S$103,7,0),"")</f>
        <v>0</v>
      </c>
      <c r="N26" s="229" t="s">
        <v>29</v>
      </c>
      <c r="O26" s="234">
        <f>IF(L26&lt;&gt;"",VLOOKUP($B26,Invulblad!$A$11:$S$103,9,0),"")</f>
        <v>2</v>
      </c>
      <c r="P26" s="235">
        <f t="shared" si="4"/>
        <v>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0</v>
      </c>
      <c r="I30" s="229" t="s">
        <v>29</v>
      </c>
      <c r="J30" s="229">
        <v>1</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3</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2</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1</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2</v>
      </c>
      <c r="I37" s="229" t="s">
        <v>29</v>
      </c>
      <c r="J37" s="229">
        <v>1</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1</v>
      </c>
      <c r="K38" s="235">
        <f t="shared" si="2"/>
        <v>3</v>
      </c>
      <c r="L38" s="233">
        <f>VLOOKUP($B38,Invulblad!$A$11:$S$103,13,0)</f>
        <v>3</v>
      </c>
      <c r="M38" s="234">
        <f>IF(L38&lt;&gt;"",VLOOKUP($B38,Invulblad!$A$11:$S$103,7,0),"")</f>
        <v>1</v>
      </c>
      <c r="N38" s="229" t="s">
        <v>29</v>
      </c>
      <c r="O38" s="234">
        <f>IF(L38&lt;&gt;"",VLOOKUP($B38,Invulblad!$A$11:$S$103,9,0),"")</f>
        <v>1</v>
      </c>
      <c r="P38" s="235">
        <f t="shared" si="6"/>
        <v>10</v>
      </c>
    </row>
    <row r="39" spans="1:16">
      <c r="A39" s="205">
        <v>29</v>
      </c>
      <c r="B39" s="212">
        <v>39</v>
      </c>
      <c r="C39" s="226">
        <v>40352</v>
      </c>
      <c r="D39" s="227">
        <v>0.85416666666666663</v>
      </c>
      <c r="E39" s="228" t="s">
        <v>136</v>
      </c>
      <c r="F39" s="229" t="s">
        <v>29</v>
      </c>
      <c r="G39" s="212" t="s">
        <v>137</v>
      </c>
      <c r="H39" s="229">
        <v>0</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3</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10</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0</v>
      </c>
      <c r="I47" s="229" t="s">
        <v>29</v>
      </c>
      <c r="J47" s="229">
        <v>3</v>
      </c>
      <c r="K47" s="235">
        <f t="shared" si="8"/>
        <v>2</v>
      </c>
      <c r="L47" s="233">
        <f>VLOOKUP($B47,Invulblad!$A$11:$S$103,13,0)</f>
        <v>2</v>
      </c>
      <c r="M47" s="234">
        <f>IF(L47&lt;&gt;"",VLOOKUP($B47,Invulblad!$A$11:$S$103,7,0),"")</f>
        <v>1</v>
      </c>
      <c r="N47" s="229" t="s">
        <v>29</v>
      </c>
      <c r="O47" s="234">
        <f>IF(L47&lt;&gt;"",VLOOKUP($B47,Invulblad!$A$11:$S$103,9,0),"")</f>
        <v>2</v>
      </c>
      <c r="P47" s="235">
        <f t="shared" si="7"/>
        <v>5</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1</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1</v>
      </c>
      <c r="K56" s="235">
        <f t="shared" si="8"/>
        <v>3</v>
      </c>
      <c r="L56" s="233">
        <f>VLOOKUP($B56,Invulblad!$A$11:$S$103,13,0)</f>
        <v>3</v>
      </c>
      <c r="M56" s="234">
        <f>IF(L56&lt;&gt;"",VLOOKUP($B56,Invulblad!$A$11:$S$103,7,0),"")</f>
        <v>0</v>
      </c>
      <c r="N56" s="229" t="s">
        <v>29</v>
      </c>
      <c r="O56" s="234">
        <f>IF(L56&lt;&gt;"",VLOOKUP($B56,Invulblad!$A$11:$S$103,9,0),"")</f>
        <v>0</v>
      </c>
      <c r="P56" s="235">
        <f t="shared" ref="P56:P61" si="10">IF(L56&lt;&gt;"",IF(AND(M56=H56,O56=J56),10,IF(K56=L56,5,0)),"")</f>
        <v>5</v>
      </c>
    </row>
    <row r="57" spans="1:16">
      <c r="A57" s="205">
        <v>50</v>
      </c>
      <c r="B57" s="212">
        <v>14</v>
      </c>
      <c r="C57" s="226">
        <v>40344</v>
      </c>
      <c r="D57" s="227">
        <v>0.85416666666666663</v>
      </c>
      <c r="E57" s="228" t="s">
        <v>157</v>
      </c>
      <c r="F57" s="229" t="s">
        <v>29</v>
      </c>
      <c r="G57" s="212" t="s">
        <v>158</v>
      </c>
      <c r="H57" s="229">
        <v>2</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3</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10</v>
      </c>
    </row>
    <row r="59" spans="1:16">
      <c r="A59" s="205">
        <v>52</v>
      </c>
      <c r="B59" s="212">
        <v>30</v>
      </c>
      <c r="C59" s="226">
        <v>40350</v>
      </c>
      <c r="D59" s="227">
        <v>0.5625</v>
      </c>
      <c r="E59" s="228" t="s">
        <v>160</v>
      </c>
      <c r="F59" s="229" t="s">
        <v>29</v>
      </c>
      <c r="G59" s="212" t="s">
        <v>158</v>
      </c>
      <c r="H59" s="229">
        <v>1</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0</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3</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10</v>
      </c>
    </row>
    <row r="66" spans="1:16">
      <c r="A66" s="205">
        <v>60</v>
      </c>
      <c r="B66" s="212">
        <v>32</v>
      </c>
      <c r="C66" s="226">
        <v>40350</v>
      </c>
      <c r="D66" s="227">
        <v>0.85416666666666663</v>
      </c>
      <c r="E66" s="228" t="s">
        <v>165</v>
      </c>
      <c r="F66" s="229" t="s">
        <v>29</v>
      </c>
      <c r="G66" s="212" t="s">
        <v>168</v>
      </c>
      <c r="H66" s="229">
        <v>3</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1</v>
      </c>
      <c r="I68" s="229" t="s">
        <v>29</v>
      </c>
      <c r="J68" s="229">
        <v>1</v>
      </c>
      <c r="K68" s="235">
        <f t="shared" si="8"/>
        <v>3</v>
      </c>
      <c r="L68" s="233">
        <f>VLOOKUP($B68,Invulblad!$A$11:$S$103,13,0)</f>
        <v>3</v>
      </c>
      <c r="M68" s="234">
        <f>IF(L68&lt;&gt;"",VLOOKUP($B68,Invulblad!$A$11:$S$103,7,0),"")</f>
        <v>0</v>
      </c>
      <c r="N68" s="229" t="s">
        <v>29</v>
      </c>
      <c r="O68" s="234">
        <f>IF(L68&lt;&gt;"",VLOOKUP($B68,Invulblad!$A$11:$S$103,9,0),"")</f>
        <v>0</v>
      </c>
      <c r="P68" s="235">
        <f t="shared" si="11"/>
        <v>5</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116</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240</v>
      </c>
      <c r="H71" s="229">
        <v>2</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32</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8" t="s">
        <v>122</v>
      </c>
      <c r="F73" s="229" t="s">
        <v>29</v>
      </c>
      <c r="G73" s="222" t="s">
        <v>109</v>
      </c>
      <c r="H73" s="229">
        <v>1</v>
      </c>
      <c r="I73" s="229" t="s">
        <v>29</v>
      </c>
      <c r="J73" s="229">
        <v>1</v>
      </c>
      <c r="K73" s="235">
        <f t="shared" si="8"/>
        <v>3</v>
      </c>
      <c r="L73" s="233" t="str">
        <f>VLOOKUP($B73,Invulblad!$A$11:$S$103,13,0)</f>
        <v>1</v>
      </c>
      <c r="M73" s="234">
        <f>IF(L73&lt;&gt;"",VLOOKUP($B73,Invulblad!$A$11:$S$103,7,0),"")</f>
        <v>3</v>
      </c>
      <c r="N73" s="229" t="s">
        <v>29</v>
      </c>
      <c r="O73" s="234">
        <f>IF(L73&lt;&gt;"",VLOOKUP($B73,Invulblad!$A$11:$S$103,9,0),"")</f>
        <v>1</v>
      </c>
      <c r="P73" s="235">
        <f t="shared" si="12"/>
        <v>0</v>
      </c>
    </row>
    <row r="74" spans="1:16">
      <c r="A74" s="205">
        <v>69</v>
      </c>
      <c r="B74" s="212">
        <v>53</v>
      </c>
      <c r="C74" s="226">
        <v>40357</v>
      </c>
      <c r="D74" s="227">
        <v>0.66666666666666663</v>
      </c>
      <c r="E74" s="223" t="s">
        <v>178</v>
      </c>
      <c r="F74" s="229" t="s">
        <v>29</v>
      </c>
      <c r="G74" s="212" t="s">
        <v>182</v>
      </c>
      <c r="H74" s="229">
        <v>3</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274</v>
      </c>
      <c r="H75" s="229">
        <v>2</v>
      </c>
      <c r="I75" s="229" t="s">
        <v>29</v>
      </c>
      <c r="J75" s="229">
        <v>1</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250</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2</v>
      </c>
      <c r="I77" s="229" t="s">
        <v>29</v>
      </c>
      <c r="J77" s="229">
        <v>0</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0</v>
      </c>
      <c r="K79" s="235" t="str">
        <f t="shared" si="13"/>
        <v>1</v>
      </c>
      <c r="L79" s="233" t="str">
        <f>VLOOKUP($B79,Invulblad!$A$11:$S$103,13,0)</f>
        <v>1</v>
      </c>
      <c r="M79" s="234">
        <f>IF(L79&lt;&gt;"",VLOOKUP($B79,Invulblad!$A$11:$S$103,7,0),"")</f>
        <v>2</v>
      </c>
      <c r="N79" s="229" t="s">
        <v>29</v>
      </c>
      <c r="O79" s="234">
        <f>IF(L79&lt;&gt;"",VLOOKUP($B79,Invulblad!$A$11:$S$103,9,0),"")</f>
        <v>1</v>
      </c>
      <c r="P79" s="235">
        <f>IF(L79&lt;&gt;"",IF(AND(M79=H79,O79=J79),10,IF(K79=L79,5,0)),"")</f>
        <v>5</v>
      </c>
    </row>
    <row r="80" spans="1:16">
      <c r="A80" s="205">
        <v>76</v>
      </c>
      <c r="B80" s="212">
        <v>58</v>
      </c>
      <c r="C80" s="226">
        <v>40361</v>
      </c>
      <c r="D80" s="227">
        <v>0.85416666666666663</v>
      </c>
      <c r="E80" s="228" t="s">
        <v>205</v>
      </c>
      <c r="F80" s="229" t="s">
        <v>29</v>
      </c>
      <c r="G80" s="222" t="s">
        <v>124</v>
      </c>
      <c r="H80" s="229">
        <v>1</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109</v>
      </c>
      <c r="F81" s="229" t="s">
        <v>29</v>
      </c>
      <c r="G81" s="222" t="s">
        <v>239</v>
      </c>
      <c r="H81" s="229">
        <v>0</v>
      </c>
      <c r="I81" s="229" t="s">
        <v>29</v>
      </c>
      <c r="J81" s="229">
        <v>1</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257</v>
      </c>
      <c r="F82" s="229" t="s">
        <v>29</v>
      </c>
      <c r="G82" s="222" t="s">
        <v>200</v>
      </c>
      <c r="H82" s="229">
        <v>0</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178</v>
      </c>
      <c r="H84" s="229">
        <v>1</v>
      </c>
      <c r="I84" s="229" t="s">
        <v>29</v>
      </c>
      <c r="J84" s="229">
        <v>3</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8" t="s">
        <v>239</v>
      </c>
      <c r="F85" s="229" t="s">
        <v>29</v>
      </c>
      <c r="G85" s="222" t="s">
        <v>200</v>
      </c>
      <c r="H85" s="229">
        <v>1</v>
      </c>
      <c r="I85" s="229" t="s">
        <v>29</v>
      </c>
      <c r="J85" s="229">
        <v>3</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239</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178</v>
      </c>
      <c r="F89" s="229" t="s">
        <v>29</v>
      </c>
      <c r="G89" s="212" t="s">
        <v>200</v>
      </c>
      <c r="H89" s="229">
        <v>2</v>
      </c>
      <c r="I89" s="229" t="s">
        <v>29</v>
      </c>
      <c r="J89" s="229">
        <v>0</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109</v>
      </c>
    </row>
    <row r="98" spans="2:5">
      <c r="B98" s="218" t="s">
        <v>206</v>
      </c>
    </row>
    <row r="100" spans="2:5">
      <c r="B100" s="240" t="s">
        <v>207</v>
      </c>
      <c r="C100" s="240" t="s">
        <v>208</v>
      </c>
      <c r="D100" s="240" t="s">
        <v>209</v>
      </c>
      <c r="E100" s="240" t="s">
        <v>210</v>
      </c>
    </row>
    <row r="101" spans="2:5">
      <c r="B101" s="241" t="s">
        <v>205</v>
      </c>
      <c r="C101" s="241" t="s">
        <v>234</v>
      </c>
      <c r="D101" s="241" t="s">
        <v>211</v>
      </c>
      <c r="E101" s="241" t="s">
        <v>226</v>
      </c>
    </row>
    <row r="102" spans="2:5">
      <c r="B102" s="242" t="s">
        <v>214</v>
      </c>
      <c r="C102" s="242" t="s">
        <v>213</v>
      </c>
      <c r="D102" s="242" t="s">
        <v>212</v>
      </c>
      <c r="E102" s="242" t="s">
        <v>211</v>
      </c>
    </row>
    <row r="103" spans="2:5">
      <c r="B103" s="241" t="s">
        <v>109</v>
      </c>
      <c r="C103" s="241" t="s">
        <v>217</v>
      </c>
      <c r="D103" s="241" t="s">
        <v>218</v>
      </c>
      <c r="E103" s="241" t="s">
        <v>211</v>
      </c>
    </row>
    <row r="104" spans="2:5">
      <c r="B104" s="242" t="s">
        <v>107</v>
      </c>
      <c r="C104" s="242" t="s">
        <v>218</v>
      </c>
      <c r="D104" s="242" t="s">
        <v>224</v>
      </c>
      <c r="E104" s="242" t="s">
        <v>218</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122</v>
      </c>
    </row>
    <row r="119" spans="1:15">
      <c r="A119" s="205" t="s">
        <v>76</v>
      </c>
      <c r="B119" s="206" t="s">
        <v>204</v>
      </c>
      <c r="C119" s="206" t="s">
        <v>203</v>
      </c>
      <c r="D119" s="218" t="s">
        <v>116</v>
      </c>
    </row>
    <row r="122" spans="1:15">
      <c r="B122" s="218" t="s">
        <v>223</v>
      </c>
    </row>
    <row r="124" spans="1:15">
      <c r="B124" s="240" t="s">
        <v>207</v>
      </c>
      <c r="C124" s="240" t="s">
        <v>208</v>
      </c>
      <c r="D124" s="240" t="s">
        <v>209</v>
      </c>
      <c r="E124" s="240" t="s">
        <v>210</v>
      </c>
    </row>
    <row r="125" spans="1:15">
      <c r="B125" s="241" t="s">
        <v>120</v>
      </c>
      <c r="C125" s="241" t="s">
        <v>211</v>
      </c>
      <c r="D125" s="241" t="s">
        <v>216</v>
      </c>
      <c r="E125" s="241" t="s">
        <v>211</v>
      </c>
    </row>
    <row r="126" spans="1:15">
      <c r="B126" s="242" t="s">
        <v>116</v>
      </c>
      <c r="C126" s="242" t="s">
        <v>217</v>
      </c>
      <c r="D126" s="242" t="s">
        <v>218</v>
      </c>
      <c r="E126" s="242" t="s">
        <v>211</v>
      </c>
    </row>
    <row r="127" spans="1:15">
      <c r="B127" s="241" t="s">
        <v>122</v>
      </c>
      <c r="C127" s="241" t="s">
        <v>234</v>
      </c>
      <c r="D127" s="241" t="s">
        <v>211</v>
      </c>
      <c r="E127" s="241" t="s">
        <v>217</v>
      </c>
    </row>
    <row r="128" spans="1:15">
      <c r="B128" s="242" t="s">
        <v>118</v>
      </c>
      <c r="C128" s="242" t="s">
        <v>212</v>
      </c>
      <c r="D128" s="242" t="s">
        <v>243</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233</v>
      </c>
      <c r="E149" s="241" t="s">
        <v>215</v>
      </c>
    </row>
    <row r="150" spans="2:5">
      <c r="B150" s="242" t="s">
        <v>124</v>
      </c>
      <c r="C150" s="242" t="s">
        <v>225</v>
      </c>
      <c r="D150" s="242" t="s">
        <v>226</v>
      </c>
      <c r="E150" s="242" t="s">
        <v>316</v>
      </c>
    </row>
    <row r="151" spans="2:5">
      <c r="B151" s="241" t="s">
        <v>128</v>
      </c>
      <c r="C151" s="241" t="s">
        <v>212</v>
      </c>
      <c r="D151" s="241" t="s">
        <v>243</v>
      </c>
      <c r="E151" s="241" t="s">
        <v>218</v>
      </c>
    </row>
    <row r="152" spans="2:5">
      <c r="B152" s="242" t="s">
        <v>32</v>
      </c>
      <c r="C152" s="242" t="s">
        <v>226</v>
      </c>
      <c r="D152" s="242" t="s">
        <v>218</v>
      </c>
      <c r="E152" s="242" t="s">
        <v>213</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225</v>
      </c>
      <c r="D173" s="241" t="s">
        <v>211</v>
      </c>
      <c r="E173" s="241" t="s">
        <v>217</v>
      </c>
    </row>
    <row r="174" spans="1:15">
      <c r="B174" s="242" t="s">
        <v>242</v>
      </c>
      <c r="C174" s="242" t="s">
        <v>218</v>
      </c>
      <c r="D174" s="242" t="s">
        <v>233</v>
      </c>
      <c r="E174" s="242" t="s">
        <v>215</v>
      </c>
    </row>
    <row r="175" spans="1:15">
      <c r="B175" s="241" t="s">
        <v>244</v>
      </c>
      <c r="C175" s="241" t="s">
        <v>218</v>
      </c>
      <c r="D175" s="241" t="s">
        <v>243</v>
      </c>
      <c r="E175" s="241" t="s">
        <v>218</v>
      </c>
    </row>
    <row r="176" spans="1:15">
      <c r="B176" s="242" t="s">
        <v>240</v>
      </c>
      <c r="C176" s="242" t="s">
        <v>226</v>
      </c>
      <c r="D176" s="242" t="s">
        <v>213</v>
      </c>
      <c r="E176" s="242" t="s">
        <v>226</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15">
      <c r="B194" s="218" t="s">
        <v>249</v>
      </c>
    </row>
    <row r="196" spans="2:15">
      <c r="B196" s="240" t="s">
        <v>207</v>
      </c>
      <c r="C196" s="240" t="s">
        <v>208</v>
      </c>
      <c r="D196" s="240" t="s">
        <v>209</v>
      </c>
      <c r="E196" s="240" t="s">
        <v>210</v>
      </c>
    </row>
    <row r="197" spans="2:15">
      <c r="B197" s="241" t="s">
        <v>178</v>
      </c>
      <c r="C197" s="241" t="s">
        <v>225</v>
      </c>
      <c r="D197" s="241" t="s">
        <v>316</v>
      </c>
      <c r="E197" s="241" t="s">
        <v>316</v>
      </c>
    </row>
    <row r="198" spans="2:15">
      <c r="B198" s="242" t="s">
        <v>250</v>
      </c>
      <c r="C198" s="242" t="s">
        <v>211</v>
      </c>
      <c r="D198" s="242" t="s">
        <v>212</v>
      </c>
      <c r="E198" s="242" t="s">
        <v>213</v>
      </c>
    </row>
    <row r="199" spans="2:15">
      <c r="B199" s="241" t="s">
        <v>251</v>
      </c>
      <c r="C199" s="241" t="s">
        <v>212</v>
      </c>
      <c r="D199" s="241" t="s">
        <v>314</v>
      </c>
      <c r="E199" s="241" t="s">
        <v>212</v>
      </c>
    </row>
    <row r="200" spans="2:15">
      <c r="B200" s="242" t="s">
        <v>248</v>
      </c>
      <c r="C200" s="242" t="s">
        <v>211</v>
      </c>
      <c r="D200" s="242" t="s">
        <v>227</v>
      </c>
      <c r="E200" s="242" t="s">
        <v>215</v>
      </c>
    </row>
    <row r="203" spans="2:15">
      <c r="B203" s="218" t="s">
        <v>253</v>
      </c>
    </row>
    <row r="204" spans="2:15">
      <c r="B204" s="212"/>
    </row>
    <row r="205" spans="2:15">
      <c r="B205" s="212" t="s">
        <v>254</v>
      </c>
    </row>
    <row r="206" spans="2:15">
      <c r="B206" s="212" t="s">
        <v>355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182</v>
      </c>
    </row>
    <row r="218" spans="1:10">
      <c r="B218" s="218" t="s">
        <v>258</v>
      </c>
    </row>
    <row r="220" spans="1:10">
      <c r="B220" s="240" t="s">
        <v>207</v>
      </c>
      <c r="C220" s="240" t="s">
        <v>208</v>
      </c>
      <c r="D220" s="240" t="s">
        <v>209</v>
      </c>
      <c r="E220" s="240" t="s">
        <v>210</v>
      </c>
    </row>
    <row r="221" spans="1:10">
      <c r="B221" s="241" t="s">
        <v>257</v>
      </c>
      <c r="C221" s="241" t="s">
        <v>234</v>
      </c>
      <c r="D221" s="241" t="s">
        <v>215</v>
      </c>
      <c r="E221" s="241" t="s">
        <v>213</v>
      </c>
    </row>
    <row r="222" spans="1:10">
      <c r="B222" s="242" t="s">
        <v>259</v>
      </c>
      <c r="C222" s="242" t="s">
        <v>212</v>
      </c>
      <c r="D222" s="242" t="s">
        <v>224</v>
      </c>
      <c r="E222" s="242" t="s">
        <v>212</v>
      </c>
    </row>
    <row r="223" spans="1:10">
      <c r="B223" s="241" t="s">
        <v>182</v>
      </c>
      <c r="C223" s="241" t="s">
        <v>226</v>
      </c>
      <c r="D223" s="241" t="s">
        <v>215</v>
      </c>
      <c r="E223" s="241" t="s">
        <v>211</v>
      </c>
    </row>
    <row r="224" spans="1:10">
      <c r="B224" s="242" t="s">
        <v>260</v>
      </c>
      <c r="C224" s="242" t="s">
        <v>211</v>
      </c>
      <c r="D224" s="242" t="s">
        <v>218</v>
      </c>
      <c r="E224" s="242" t="s">
        <v>211</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217</v>
      </c>
      <c r="D245" s="241" t="s">
        <v>218</v>
      </c>
      <c r="E245" s="241" t="s">
        <v>213</v>
      </c>
    </row>
    <row r="246" spans="2:10">
      <c r="B246" s="242" t="s">
        <v>265</v>
      </c>
      <c r="C246" s="242" t="s">
        <v>234</v>
      </c>
      <c r="D246" s="242" t="s">
        <v>211</v>
      </c>
      <c r="E246" s="242" t="s">
        <v>226</v>
      </c>
    </row>
    <row r="247" spans="2:10">
      <c r="B247" s="241" t="s">
        <v>266</v>
      </c>
      <c r="C247" s="241" t="s">
        <v>211</v>
      </c>
      <c r="D247" s="241" t="s">
        <v>212</v>
      </c>
      <c r="E247" s="241" t="s">
        <v>211</v>
      </c>
    </row>
    <row r="248" spans="2:10">
      <c r="B248" s="242" t="s">
        <v>269</v>
      </c>
      <c r="C248" s="242" t="s">
        <v>212</v>
      </c>
      <c r="D248" s="242" t="s">
        <v>224</v>
      </c>
      <c r="E248" s="242" t="s">
        <v>212</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226</v>
      </c>
      <c r="D268" s="241" t="s">
        <v>215</v>
      </c>
      <c r="E268" s="241" t="s">
        <v>213</v>
      </c>
    </row>
    <row r="269" spans="1:5">
      <c r="B269" s="242" t="s">
        <v>200</v>
      </c>
      <c r="C269" s="242" t="s">
        <v>225</v>
      </c>
      <c r="D269" s="242" t="s">
        <v>226</v>
      </c>
      <c r="E269" s="242" t="s">
        <v>234</v>
      </c>
    </row>
    <row r="270" spans="1:5">
      <c r="B270" s="241" t="s">
        <v>276</v>
      </c>
      <c r="C270" s="241" t="s">
        <v>218</v>
      </c>
      <c r="D270" s="241" t="s">
        <v>233</v>
      </c>
      <c r="E270" s="241" t="s">
        <v>215</v>
      </c>
    </row>
    <row r="271" spans="1:5">
      <c r="B271" s="242" t="s">
        <v>277</v>
      </c>
      <c r="C271" s="242" t="s">
        <v>218</v>
      </c>
      <c r="D271" s="242" t="s">
        <v>224</v>
      </c>
      <c r="E271" s="242" t="s">
        <v>218</v>
      </c>
    </row>
    <row r="274" spans="2:15">
      <c r="B274" s="218" t="s">
        <v>278</v>
      </c>
    </row>
    <row r="275" spans="2:15">
      <c r="B275" s="212"/>
    </row>
    <row r="276" spans="2:15">
      <c r="B276" s="212" t="s">
        <v>279</v>
      </c>
    </row>
    <row r="277" spans="2:15">
      <c r="B277" s="212" t="s">
        <v>280</v>
      </c>
    </row>
    <row r="279" spans="2:15">
      <c r="K279" s="243"/>
      <c r="L279" s="244"/>
      <c r="M279" s="243"/>
      <c r="N279" s="243"/>
      <c r="O279" s="243"/>
    </row>
    <row r="280" spans="2:15">
      <c r="B280" s="243"/>
      <c r="C280" s="243"/>
      <c r="D280" s="243"/>
      <c r="E280" s="243"/>
      <c r="F280" s="243"/>
      <c r="G280" s="243"/>
      <c r="H280" s="243"/>
      <c r="I280" s="243"/>
      <c r="J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7.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345</v>
      </c>
      <c r="L1" s="211"/>
      <c r="P1" s="210">
        <f>SUM(P14:P89)+E11+H11+L7+L11</f>
        <v>400</v>
      </c>
    </row>
    <row r="2" spans="1:17" s="212" customFormat="1" ht="15" customHeight="1">
      <c r="B2" s="213" t="s">
        <v>97</v>
      </c>
      <c r="G2" s="213" t="s">
        <v>98</v>
      </c>
      <c r="J2" s="213" t="s">
        <v>99</v>
      </c>
      <c r="L2" s="214"/>
    </row>
    <row r="3" spans="1:17" s="212" customFormat="1" ht="15" customHeight="1">
      <c r="B3" s="212" t="str">
        <f t="shared" ref="B3:B10" si="0">E70</f>
        <v>Mexico</v>
      </c>
      <c r="C3" s="247">
        <f>IF(AND(ISNA(MATCH(B3,Invulblad!$F$76:$F$83,0)),ISNA(MATCH(B3,Invulblad!$J$76:$J$83,0))),0,10)</f>
        <v>10</v>
      </c>
      <c r="D3" s="212" t="str">
        <f t="shared" ref="D3:D10" si="1">G70</f>
        <v>Zuid-Korea</v>
      </c>
      <c r="E3" s="247">
        <f>IF(AND(ISNA(MATCH(D3,Invulblad!$F$76:$F$83,0)),ISNA(MATCH(D3,Invulblad!$J$76:$J$83,0))),0,10)</f>
        <v>10</v>
      </c>
      <c r="G3" s="212" t="str">
        <f>E79</f>
        <v>Nederland</v>
      </c>
      <c r="H3" s="247">
        <f>IF(AND(ISNA(MATCH(G3,Invulblad!$F$87:$F$90,0)),ISNA(MATCH(G3,Invulblad!$J$87:$J$90,0))),0,15)</f>
        <v>15</v>
      </c>
      <c r="J3" s="212" t="str">
        <f>E84</f>
        <v>Mexico</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Duitsland</v>
      </c>
      <c r="E4" s="247">
        <f>IF(AND(ISNA(MATCH(D4,Invulblad!$F$76:$F$83,0)),ISNA(MATCH(D4,Invulblad!$J$76:$J$83,0))),0,10)</f>
        <v>10</v>
      </c>
      <c r="G4" s="212" t="str">
        <f>E80</f>
        <v>Mexico</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Servië</v>
      </c>
      <c r="C5" s="247">
        <f>IF(AND(ISNA(MATCH(B5,Invulblad!$F$76:$F$83,0)),ISNA(MATCH(B5,Invulblad!$J$76:$J$83,0))),0,10)</f>
        <v>0</v>
      </c>
      <c r="D5" s="212" t="str">
        <f t="shared" si="1"/>
        <v>Slovenië</v>
      </c>
      <c r="E5" s="247">
        <f>IF(AND(ISNA(MATCH(D5,Invulblad!$F$76:$F$83,0)),ISNA(MATCH(D5,Invulblad!$J$76:$J$83,0))),0,10)</f>
        <v>0</v>
      </c>
      <c r="G5" s="212" t="str">
        <f>E81</f>
        <v>Argentinië</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Argentinië</v>
      </c>
      <c r="C6" s="247">
        <f>IF(AND(ISNA(MATCH(B6,Invulblad!$F$76:$F$83,0)),ISNA(MATCH(B6,Invulblad!$J$76:$J$83,0))),0,10)</f>
        <v>10</v>
      </c>
      <c r="D6" s="212" t="str">
        <f t="shared" si="1"/>
        <v>Frankrijk</v>
      </c>
      <c r="E6" s="247">
        <f>IF(AND(ISNA(MATCH(D6,Invulblad!$F$76:$F$83,0)),ISNA(MATCH(D6,Invulblad!$J$76:$J$83,0))),0,10)</f>
        <v>0</v>
      </c>
      <c r="G6" s="212" t="str">
        <f>E82</f>
        <v>Kameroen</v>
      </c>
      <c r="H6" s="247">
        <f>IF(AND(ISNA(MATCH(G6,Invulblad!$F$87:$F$90,0)),ISNA(MATCH(G6,Invulblad!$J$87:$J$90,0))),0,15)</f>
        <v>0</v>
      </c>
      <c r="J6" s="212" t="str">
        <f>G85</f>
        <v>Portugal</v>
      </c>
      <c r="L6" s="247">
        <f>IF(AND(ISNA(MATCH(J6,Invulblad!$F$94:$F$95,0)),ISNA(MATCH(J6,Invulblad!$J$94:$J$95,0))),0,20+25)</f>
        <v>0</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Duitsland</v>
      </c>
      <c r="H8" s="247">
        <f>IF(AND(ISNA(MATCH(G8,Invulblad!$F$87:$F$90,0)),ISNA(MATCH(G8,Invulblad!$J$87:$J$90,0))),0,15)</f>
        <v>15</v>
      </c>
      <c r="J8" s="213" t="s">
        <v>49</v>
      </c>
      <c r="L8" s="214"/>
    </row>
    <row r="9" spans="1:17" s="212" customFormat="1" ht="15" customHeight="1">
      <c r="B9" s="212" t="str">
        <f t="shared" si="0"/>
        <v>Slowakije</v>
      </c>
      <c r="C9" s="247">
        <f>IF(AND(ISNA(MATCH(B9,Invulblad!$F$76:$F$83,0)),ISNA(MATCH(B9,Invulblad!$J$76:$J$83,0))),0,10)</f>
        <v>10</v>
      </c>
      <c r="D9" s="212" t="str">
        <f t="shared" si="1"/>
        <v>Kameroen</v>
      </c>
      <c r="E9" s="247">
        <f>IF(AND(ISNA(MATCH(D9,Invulblad!$F$76:$F$83,0)),ISNA(MATCH(D9,Invulblad!$J$76:$J$83,0))),0,10)</f>
        <v>0</v>
      </c>
      <c r="G9" s="212" t="str">
        <f>G81</f>
        <v>Servië</v>
      </c>
      <c r="H9" s="247">
        <f>IF(AND(ISNA(MATCH(G9,Invulblad!$F$87:$F$90,0)),ISNA(MATCH(G9,Invulblad!$J$87:$J$90,0))),0,15)</f>
        <v>0</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Portugal</v>
      </c>
      <c r="H10" s="247">
        <f>IF(AND(ISNA(MATCH(G10,Invulblad!$F$87:$F$90,0)),ISNA(MATCH(G10,Invulblad!$J$87:$J$90,0))),0,15)</f>
        <v>0</v>
      </c>
      <c r="J10" s="212" t="str">
        <f>G89</f>
        <v>Portugal</v>
      </c>
      <c r="L10" s="247">
        <f>IF(AND(ISNA(MATCH(J10,Invulblad!$F$103,0)),ISNA(MATCH(J10,Invulblad!$J$103,0))),0,5)</f>
        <v>0</v>
      </c>
    </row>
    <row r="11" spans="1:17" s="212" customFormat="1" ht="15" customHeight="1">
      <c r="D11" s="215" t="s">
        <v>100</v>
      </c>
      <c r="E11" s="250">
        <f>SUM(C3:E10)</f>
        <v>120</v>
      </c>
      <c r="G11" s="215" t="s">
        <v>92</v>
      </c>
      <c r="H11" s="250">
        <f>SUM(H3:H10)</f>
        <v>60</v>
      </c>
      <c r="J11" s="215" t="s">
        <v>101</v>
      </c>
      <c r="K11" s="216"/>
      <c r="L11" s="250">
        <f>SUM(L9:L10)</f>
        <v>5</v>
      </c>
    </row>
    <row r="12" spans="1:17">
      <c r="B12" s="218" t="s">
        <v>19</v>
      </c>
      <c r="C12" s="218"/>
      <c r="D12" s="218"/>
      <c r="E12" s="219" t="s">
        <v>178</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0</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0</v>
      </c>
      <c r="I15" s="229" t="s">
        <v>29</v>
      </c>
      <c r="J15" s="229">
        <v>3</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3</v>
      </c>
      <c r="I16" s="229" t="s">
        <v>29</v>
      </c>
      <c r="J16" s="229">
        <v>2</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0</v>
      </c>
      <c r="I17" s="229" t="s">
        <v>29</v>
      </c>
      <c r="J17" s="229">
        <v>1</v>
      </c>
      <c r="K17" s="235">
        <f t="shared" si="2"/>
        <v>2</v>
      </c>
      <c r="L17" s="233">
        <f>VLOOKUP($B17,Invulblad!$A$11:$S$103,13,0)</f>
        <v>2</v>
      </c>
      <c r="M17" s="234">
        <f>IF(L17&lt;&gt;"",VLOOKUP($B17,Invulblad!$A$11:$S$103,7,0),"")</f>
        <v>0</v>
      </c>
      <c r="N17" s="229" t="s">
        <v>29</v>
      </c>
      <c r="O17" s="234">
        <f>IF(L17&lt;&gt;"",VLOOKUP($B17,Invulblad!$A$11:$S$103,9,0),"")</f>
        <v>2</v>
      </c>
      <c r="P17" s="235">
        <f t="shared" si="3"/>
        <v>5</v>
      </c>
    </row>
    <row r="18" spans="1:16">
      <c r="A18" s="205">
        <v>5</v>
      </c>
      <c r="B18" s="212">
        <v>33</v>
      </c>
      <c r="C18" s="226">
        <v>40351</v>
      </c>
      <c r="D18" s="227">
        <v>0.66666666666666663</v>
      </c>
      <c r="E18" s="228" t="s">
        <v>114</v>
      </c>
      <c r="F18" s="229" t="s">
        <v>29</v>
      </c>
      <c r="G18" s="212" t="s">
        <v>112</v>
      </c>
      <c r="H18" s="229">
        <v>4</v>
      </c>
      <c r="I18" s="229" t="s">
        <v>29</v>
      </c>
      <c r="J18" s="229">
        <v>1</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2</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1</v>
      </c>
      <c r="I23" s="229" t="s">
        <v>29</v>
      </c>
      <c r="J23" s="229">
        <v>3</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0</v>
      </c>
      <c r="I25" s="229" t="s">
        <v>29</v>
      </c>
      <c r="J25" s="229">
        <v>2</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2</v>
      </c>
      <c r="K26" s="235">
        <f t="shared" si="2"/>
        <v>2</v>
      </c>
      <c r="L26" s="233">
        <f>VLOOKUP($B26,Invulblad!$A$11:$S$103,13,0)</f>
        <v>2</v>
      </c>
      <c r="M26" s="234">
        <f>IF(L26&lt;&gt;"",VLOOKUP($B26,Invulblad!$A$11:$S$103,7,0),"")</f>
        <v>0</v>
      </c>
      <c r="N26" s="229" t="s">
        <v>29</v>
      </c>
      <c r="O26" s="234">
        <f>IF(L26&lt;&gt;"",VLOOKUP($B26,Invulblad!$A$11:$S$103,9,0),"")</f>
        <v>2</v>
      </c>
      <c r="P26" s="235">
        <f t="shared" si="4"/>
        <v>10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1</v>
      </c>
      <c r="K29" s="235">
        <f t="shared" si="2"/>
        <v>2</v>
      </c>
      <c r="L29" s="233">
        <f>VLOOKUP($B29,Invulblad!$A$11:$S$103,13,0)</f>
        <v>2</v>
      </c>
      <c r="M29" s="234">
        <f>IF(L29&lt;&gt;"",VLOOKUP($B29,Invulblad!$A$11:$S$103,7,0),"")</f>
        <v>0</v>
      </c>
      <c r="N29" s="229" t="s">
        <v>29</v>
      </c>
      <c r="O29" s="234">
        <f>IF(L29&lt;&gt;"",VLOOKUP($B29,Invulblad!$A$11:$S$103,9,0),"")</f>
        <v>1</v>
      </c>
      <c r="P29" s="235">
        <f t="shared" si="5"/>
        <v>10</v>
      </c>
    </row>
    <row r="30" spans="1:16">
      <c r="A30" s="205">
        <v>19</v>
      </c>
      <c r="B30" s="212">
        <v>22</v>
      </c>
      <c r="C30" s="226">
        <v>40347</v>
      </c>
      <c r="D30" s="227">
        <v>0.66666666666666663</v>
      </c>
      <c r="E30" s="228" t="s">
        <v>308</v>
      </c>
      <c r="F30" s="229" t="s">
        <v>29</v>
      </c>
      <c r="G30" s="212" t="s">
        <v>125</v>
      </c>
      <c r="H30" s="229">
        <v>1</v>
      </c>
      <c r="I30" s="229" t="s">
        <v>29</v>
      </c>
      <c r="J30" s="229">
        <v>0</v>
      </c>
      <c r="K30" s="235" t="str">
        <f t="shared" si="2"/>
        <v>1</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3</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1</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1</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0</v>
      </c>
      <c r="I37" s="229" t="s">
        <v>29</v>
      </c>
      <c r="J37" s="229">
        <v>1</v>
      </c>
      <c r="K37" s="235">
        <f t="shared" si="2"/>
        <v>2</v>
      </c>
      <c r="L37" s="233">
        <f>VLOOKUP($B37,Invulblad!$A$11:$S$103,13,0)</f>
        <v>2</v>
      </c>
      <c r="M37" s="234">
        <f>IF(L37&lt;&gt;"",VLOOKUP($B37,Invulblad!$A$11:$S$103,7,0),"")</f>
        <v>0</v>
      </c>
      <c r="N37" s="229" t="s">
        <v>29</v>
      </c>
      <c r="O37" s="234">
        <f>IF(L37&lt;&gt;"",VLOOKUP($B37,Invulblad!$A$11:$S$103,9,0),"")</f>
        <v>1</v>
      </c>
      <c r="P37" s="235">
        <f t="shared" si="6"/>
        <v>10</v>
      </c>
    </row>
    <row r="38" spans="1:16">
      <c r="A38" s="205">
        <v>28</v>
      </c>
      <c r="B38" s="212">
        <v>24</v>
      </c>
      <c r="C38" s="226">
        <v>40348</v>
      </c>
      <c r="D38" s="227">
        <v>0.66666666666666663</v>
      </c>
      <c r="E38" s="228" t="s">
        <v>136</v>
      </c>
      <c r="F38" s="229" t="s">
        <v>29</v>
      </c>
      <c r="G38" s="212" t="s">
        <v>132</v>
      </c>
      <c r="H38" s="229">
        <v>1</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1</v>
      </c>
      <c r="K39" s="235">
        <f t="shared" si="2"/>
        <v>3</v>
      </c>
      <c r="L39" s="233">
        <f>VLOOKUP($B39,Invulblad!$A$11:$S$103,13,0)</f>
        <v>2</v>
      </c>
      <c r="M39" s="234">
        <f>IF(L39&lt;&gt;"",VLOOKUP($B39,Invulblad!$A$11:$S$103,7,0),"")</f>
        <v>0</v>
      </c>
      <c r="N39" s="229" t="s">
        <v>29</v>
      </c>
      <c r="O39" s="234">
        <f>IF(L39&lt;&gt;"",VLOOKUP($B39,Invulblad!$A$11:$S$103,9,0),"")</f>
        <v>1</v>
      </c>
      <c r="P39" s="235">
        <f t="shared" si="6"/>
        <v>0</v>
      </c>
    </row>
    <row r="40" spans="1:16">
      <c r="A40" s="205">
        <v>30</v>
      </c>
      <c r="B40" s="212">
        <v>40</v>
      </c>
      <c r="C40" s="226">
        <v>40352</v>
      </c>
      <c r="D40" s="227">
        <v>0.85416666666666663</v>
      </c>
      <c r="E40" s="228" t="s">
        <v>138</v>
      </c>
      <c r="F40" s="229" t="s">
        <v>29</v>
      </c>
      <c r="G40" s="212" t="s">
        <v>135</v>
      </c>
      <c r="H40" s="229">
        <v>0</v>
      </c>
      <c r="I40" s="229" t="s">
        <v>29</v>
      </c>
      <c r="J40" s="229">
        <v>1</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1</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10</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0</v>
      </c>
      <c r="I47" s="229" t="s">
        <v>29</v>
      </c>
      <c r="J47" s="229">
        <v>0</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0</v>
      </c>
      <c r="I49" s="229" t="s">
        <v>29</v>
      </c>
      <c r="J49" s="229">
        <v>1</v>
      </c>
      <c r="K49" s="235">
        <f t="shared" si="8"/>
        <v>2</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3</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2</v>
      </c>
      <c r="I51" s="229" t="s">
        <v>29</v>
      </c>
      <c r="J51" s="229">
        <v>1</v>
      </c>
      <c r="K51" s="235" t="str">
        <f t="shared" si="8"/>
        <v>1</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0</v>
      </c>
      <c r="I52" s="229" t="s">
        <v>29</v>
      </c>
      <c r="J52" s="229">
        <v>1</v>
      </c>
      <c r="K52" s="235">
        <f t="shared" si="8"/>
        <v>2</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0</v>
      </c>
      <c r="K53" s="235" t="str">
        <f t="shared" si="8"/>
        <v>1</v>
      </c>
      <c r="L53" s="233" t="str">
        <f>VLOOKUP($B53,Invulblad!$A$11:$S$103,13,0)</f>
        <v>1</v>
      </c>
      <c r="M53" s="234">
        <f>IF(L53&lt;&gt;"",VLOOKUP($B53,Invulblad!$A$11:$S$103,7,0),"")</f>
        <v>3</v>
      </c>
      <c r="N53" s="229" t="s">
        <v>29</v>
      </c>
      <c r="O53" s="234">
        <f>IF(L53&lt;&gt;"",VLOOKUP($B53,Invulblad!$A$11:$S$103,9,0),"")</f>
        <v>2</v>
      </c>
      <c r="P53" s="235">
        <f t="shared" si="9"/>
        <v>5</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0</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2</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3</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10</v>
      </c>
    </row>
    <row r="59" spans="1:16">
      <c r="A59" s="205">
        <v>52</v>
      </c>
      <c r="B59" s="212">
        <v>30</v>
      </c>
      <c r="C59" s="226">
        <v>40350</v>
      </c>
      <c r="D59" s="227">
        <v>0.5625</v>
      </c>
      <c r="E59" s="228" t="s">
        <v>160</v>
      </c>
      <c r="F59" s="229" t="s">
        <v>29</v>
      </c>
      <c r="G59" s="212" t="s">
        <v>158</v>
      </c>
      <c r="H59" s="229">
        <v>1</v>
      </c>
      <c r="I59" s="229" t="s">
        <v>29</v>
      </c>
      <c r="J59" s="229">
        <v>1</v>
      </c>
      <c r="K59" s="235">
        <f t="shared" si="8"/>
        <v>3</v>
      </c>
      <c r="L59" s="233" t="str">
        <f>VLOOKUP($B59,Invulblad!$A$11:$S$103,13,0)</f>
        <v>1</v>
      </c>
      <c r="M59" s="234">
        <f>IF(L59&lt;&gt;"",VLOOKUP($B59,Invulblad!$A$11:$S$103,7,0),"")</f>
        <v>7</v>
      </c>
      <c r="N59" s="229" t="s">
        <v>29</v>
      </c>
      <c r="O59" s="234">
        <f>IF(L59&lt;&gt;"",VLOOKUP($B59,Invulblad!$A$11:$S$103,9,0),"")</f>
        <v>0</v>
      </c>
      <c r="P59" s="235">
        <f t="shared" si="10"/>
        <v>0</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1</v>
      </c>
      <c r="I61" s="229" t="s">
        <v>29</v>
      </c>
      <c r="J61" s="229">
        <v>3</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2</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1</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2</v>
      </c>
      <c r="I66" s="229" t="s">
        <v>29</v>
      </c>
      <c r="J66" s="229">
        <v>2</v>
      </c>
      <c r="K66" s="235">
        <f t="shared" si="8"/>
        <v>3</v>
      </c>
      <c r="L66" s="233" t="str">
        <f>VLOOKUP($B66,Invulblad!$A$11:$S$103,13,0)</f>
        <v>1</v>
      </c>
      <c r="M66" s="234">
        <f>IF(L66&lt;&gt;"",VLOOKUP($B66,Invulblad!$A$11:$S$103,7,0),"")</f>
        <v>2</v>
      </c>
      <c r="N66" s="229" t="s">
        <v>29</v>
      </c>
      <c r="O66" s="234">
        <f>IF(L66&lt;&gt;"",VLOOKUP($B66,Invulblad!$A$11:$S$103,9,0),"")</f>
        <v>0</v>
      </c>
      <c r="P66" s="235">
        <f t="shared" si="11"/>
        <v>0</v>
      </c>
    </row>
    <row r="67" spans="1:16">
      <c r="A67" s="205">
        <v>61</v>
      </c>
      <c r="B67" s="212">
        <v>47</v>
      </c>
      <c r="C67" s="226">
        <v>40354</v>
      </c>
      <c r="D67" s="227">
        <v>0.85416666666666663</v>
      </c>
      <c r="E67" s="228" t="s">
        <v>167</v>
      </c>
      <c r="F67" s="229" t="s">
        <v>29</v>
      </c>
      <c r="G67" s="212" t="s">
        <v>169</v>
      </c>
      <c r="H67" s="229">
        <v>1</v>
      </c>
      <c r="I67" s="229" t="s">
        <v>29</v>
      </c>
      <c r="J67" s="229">
        <v>1</v>
      </c>
      <c r="K67" s="235">
        <f t="shared" si="8"/>
        <v>3</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214</v>
      </c>
      <c r="F70" s="229" t="s">
        <v>29</v>
      </c>
      <c r="G70" s="212" t="s">
        <v>118</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8" t="s">
        <v>124</v>
      </c>
      <c r="F71" s="229" t="s">
        <v>29</v>
      </c>
      <c r="G71" s="222" t="s">
        <v>239</v>
      </c>
      <c r="H71" s="229">
        <v>0</v>
      </c>
      <c r="I71" s="229" t="s">
        <v>29</v>
      </c>
      <c r="J71" s="229">
        <v>1</v>
      </c>
      <c r="K71" s="235">
        <f t="shared" si="8"/>
        <v>2</v>
      </c>
      <c r="L71" s="233">
        <f>VLOOKUP($B71,Invulblad!$A$11:$S$103,13,0)</f>
        <v>2</v>
      </c>
      <c r="M71" s="234">
        <f>IF(L71&lt;&gt;"",VLOOKUP($B71,Invulblad!$A$11:$S$103,7,0),"")</f>
        <v>1</v>
      </c>
      <c r="N71" s="229" t="s">
        <v>29</v>
      </c>
      <c r="O71" s="234">
        <f>IF(L71&lt;&gt;"",VLOOKUP($B71,Invulblad!$A$11:$S$103,9,0),"")</f>
        <v>2</v>
      </c>
      <c r="P71" s="235">
        <f t="shared" si="12"/>
        <v>5</v>
      </c>
    </row>
    <row r="72" spans="1:16">
      <c r="A72" s="205">
        <v>67</v>
      </c>
      <c r="B72" s="212">
        <v>51</v>
      </c>
      <c r="C72" s="226">
        <v>40356</v>
      </c>
      <c r="D72" s="227">
        <v>0.66666666666666663</v>
      </c>
      <c r="E72" s="223" t="s">
        <v>240</v>
      </c>
      <c r="F72" s="229" t="s">
        <v>29</v>
      </c>
      <c r="G72" s="212" t="s">
        <v>128</v>
      </c>
      <c r="H72" s="229">
        <v>2</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205</v>
      </c>
      <c r="H73" s="229">
        <v>1</v>
      </c>
      <c r="I73" s="229" t="s">
        <v>29</v>
      </c>
      <c r="J73" s="229">
        <v>0</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2</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274</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8" t="s">
        <v>260</v>
      </c>
      <c r="F76" s="229" t="s">
        <v>29</v>
      </c>
      <c r="G76" s="222" t="s">
        <v>248</v>
      </c>
      <c r="H76" s="229">
        <v>1</v>
      </c>
      <c r="I76" s="229" t="s">
        <v>29</v>
      </c>
      <c r="J76" s="229">
        <v>2</v>
      </c>
      <c r="K76" s="235">
        <f t="shared" si="8"/>
        <v>2</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8" t="s">
        <v>200</v>
      </c>
      <c r="F77" s="229" t="s">
        <v>29</v>
      </c>
      <c r="G77" s="222" t="s">
        <v>268</v>
      </c>
      <c r="H77" s="229">
        <v>1</v>
      </c>
      <c r="I77" s="229" t="s">
        <v>29</v>
      </c>
      <c r="J77" s="229">
        <v>2</v>
      </c>
      <c r="K77" s="235">
        <f t="shared" si="8"/>
        <v>2</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1</v>
      </c>
      <c r="K79" s="235" t="str">
        <f t="shared" si="13"/>
        <v>1</v>
      </c>
      <c r="L79" s="233" t="str">
        <f>VLOOKUP($B79,Invulblad!$A$11:$S$103,13,0)</f>
        <v>1</v>
      </c>
      <c r="M79" s="234">
        <f>IF(L79&lt;&gt;"",VLOOKUP($B79,Invulblad!$A$11:$S$103,7,0),"")</f>
        <v>2</v>
      </c>
      <c r="N79" s="229" t="s">
        <v>29</v>
      </c>
      <c r="O79" s="234">
        <f>IF(L79&lt;&gt;"",VLOOKUP($B79,Invulblad!$A$11:$S$103,9,0),"")</f>
        <v>1</v>
      </c>
      <c r="P79" s="235">
        <f>IF(L79&lt;&gt;"",IF(AND(M79=H79,O79=J79),10,IF(K79=L79,5,0)),"")</f>
        <v>10</v>
      </c>
    </row>
    <row r="80" spans="1:16">
      <c r="A80" s="205">
        <v>76</v>
      </c>
      <c r="B80" s="212">
        <v>58</v>
      </c>
      <c r="C80" s="226">
        <v>40361</v>
      </c>
      <c r="D80" s="227">
        <v>0.85416666666666663</v>
      </c>
      <c r="E80" s="223" t="s">
        <v>214</v>
      </c>
      <c r="F80" s="229" t="s">
        <v>29</v>
      </c>
      <c r="G80" s="212" t="s">
        <v>239</v>
      </c>
      <c r="H80" s="229">
        <v>1</v>
      </c>
      <c r="I80" s="229" t="s">
        <v>29</v>
      </c>
      <c r="J80" s="229">
        <v>1</v>
      </c>
      <c r="K80" s="235">
        <f t="shared" si="13"/>
        <v>3</v>
      </c>
      <c r="L80" s="233">
        <f>VLOOKUP($B80,Invulblad!$A$11:$S$103,13,0)</f>
        <v>3</v>
      </c>
      <c r="M80" s="234">
        <f>IF(L80&lt;&gt;"",VLOOKUP($B80,Invulblad!$A$11:$S$103,7,0),"")</f>
        <v>1</v>
      </c>
      <c r="N80" s="229" t="s">
        <v>29</v>
      </c>
      <c r="O80" s="234">
        <f>IF(L80&lt;&gt;"",VLOOKUP($B80,Invulblad!$A$11:$S$103,9,0),"")</f>
        <v>1</v>
      </c>
      <c r="P80" s="235">
        <f>IF(L80&lt;&gt;"",IF(AND(M80=H80,O80=J80),10,IF(K80=L80,5,0)),"")</f>
        <v>10</v>
      </c>
    </row>
    <row r="81" spans="1:16">
      <c r="A81" s="205">
        <v>77</v>
      </c>
      <c r="B81" s="212">
        <v>59</v>
      </c>
      <c r="C81" s="226">
        <v>40362</v>
      </c>
      <c r="D81" s="227">
        <v>0.66666666666666663</v>
      </c>
      <c r="E81" s="223" t="s">
        <v>116</v>
      </c>
      <c r="F81" s="229" t="s">
        <v>29</v>
      </c>
      <c r="G81" s="212" t="s">
        <v>240</v>
      </c>
      <c r="H81" s="229">
        <v>1</v>
      </c>
      <c r="I81" s="229" t="s">
        <v>29</v>
      </c>
      <c r="J81" s="229">
        <v>0</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248</v>
      </c>
      <c r="F82" s="229" t="s">
        <v>29</v>
      </c>
      <c r="G82" s="222" t="s">
        <v>268</v>
      </c>
      <c r="H82" s="229">
        <v>2</v>
      </c>
      <c r="I82" s="229" t="s">
        <v>29</v>
      </c>
      <c r="J82" s="229">
        <v>3</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214</v>
      </c>
      <c r="F84" s="229" t="s">
        <v>29</v>
      </c>
      <c r="G84" s="222" t="s">
        <v>178</v>
      </c>
      <c r="H84" s="229">
        <v>1</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8" t="s">
        <v>116</v>
      </c>
      <c r="F85" s="229" t="s">
        <v>29</v>
      </c>
      <c r="G85" s="222" t="s">
        <v>268</v>
      </c>
      <c r="H85" s="229">
        <v>0</v>
      </c>
      <c r="I85" s="229" t="s">
        <v>29</v>
      </c>
      <c r="J85" s="229">
        <v>1</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3" t="s">
        <v>214</v>
      </c>
      <c r="F87" s="229" t="s">
        <v>29</v>
      </c>
      <c r="G87" s="212" t="s">
        <v>116</v>
      </c>
      <c r="H87" s="229">
        <v>3</v>
      </c>
      <c r="I87" s="229" t="s">
        <v>29</v>
      </c>
      <c r="J87" s="229">
        <v>1</v>
      </c>
      <c r="K87" s="235" t="str">
        <f t="shared" si="13"/>
        <v>1</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178</v>
      </c>
      <c r="F89" s="229" t="s">
        <v>29</v>
      </c>
      <c r="G89" s="212" t="s">
        <v>268</v>
      </c>
      <c r="H89" s="229">
        <v>1</v>
      </c>
      <c r="I89" s="229" t="s">
        <v>29</v>
      </c>
      <c r="J89" s="229">
        <v>1</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214</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226</v>
      </c>
      <c r="D101" s="241" t="s">
        <v>213</v>
      </c>
      <c r="E101" s="241" t="s">
        <v>217</v>
      </c>
    </row>
    <row r="102" spans="2:5">
      <c r="B102" s="242" t="s">
        <v>214</v>
      </c>
      <c r="C102" s="242" t="s">
        <v>225</v>
      </c>
      <c r="D102" s="242" t="s">
        <v>226</v>
      </c>
      <c r="E102" s="242" t="s">
        <v>234</v>
      </c>
    </row>
    <row r="103" spans="2:5">
      <c r="B103" s="241" t="s">
        <v>109</v>
      </c>
      <c r="C103" s="241" t="s">
        <v>212</v>
      </c>
      <c r="D103" s="241" t="s">
        <v>252</v>
      </c>
      <c r="E103" s="241" t="s">
        <v>213</v>
      </c>
    </row>
    <row r="104" spans="2:5">
      <c r="B104" s="242" t="s">
        <v>107</v>
      </c>
      <c r="C104" s="242" t="s">
        <v>213</v>
      </c>
      <c r="D104" s="242" t="s">
        <v>227</v>
      </c>
      <c r="E104" s="242" t="s">
        <v>211</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118</v>
      </c>
    </row>
    <row r="122" spans="1:15">
      <c r="B122" s="218" t="s">
        <v>223</v>
      </c>
    </row>
    <row r="124" spans="1:15">
      <c r="B124" s="240" t="s">
        <v>207</v>
      </c>
      <c r="C124" s="240" t="s">
        <v>208</v>
      </c>
      <c r="D124" s="240" t="s">
        <v>209</v>
      </c>
      <c r="E124" s="240" t="s">
        <v>210</v>
      </c>
    </row>
    <row r="125" spans="1:15">
      <c r="B125" s="241" t="s">
        <v>120</v>
      </c>
      <c r="C125" s="241" t="s">
        <v>212</v>
      </c>
      <c r="D125" s="241" t="s">
        <v>224</v>
      </c>
      <c r="E125" s="241" t="s">
        <v>218</v>
      </c>
    </row>
    <row r="126" spans="1:15">
      <c r="B126" s="242" t="s">
        <v>116</v>
      </c>
      <c r="C126" s="242" t="s">
        <v>225</v>
      </c>
      <c r="D126" s="242" t="s">
        <v>211</v>
      </c>
      <c r="E126" s="242" t="s">
        <v>234</v>
      </c>
    </row>
    <row r="127" spans="1:15">
      <c r="B127" s="241" t="s">
        <v>122</v>
      </c>
      <c r="C127" s="241" t="s">
        <v>213</v>
      </c>
      <c r="D127" s="241" t="s">
        <v>216</v>
      </c>
      <c r="E127" s="241" t="s">
        <v>217</v>
      </c>
    </row>
    <row r="128" spans="1:15">
      <c r="B128" s="242" t="s">
        <v>118</v>
      </c>
      <c r="C128" s="242" t="s">
        <v>226</v>
      </c>
      <c r="D128" s="242" t="s">
        <v>215</v>
      </c>
      <c r="E128" s="242" t="s">
        <v>211</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212</v>
      </c>
      <c r="D149" s="241" t="s">
        <v>224</v>
      </c>
      <c r="E149" s="241" t="s">
        <v>212</v>
      </c>
    </row>
    <row r="150" spans="2:5">
      <c r="B150" s="242" t="s">
        <v>124</v>
      </c>
      <c r="C150" s="242" t="s">
        <v>234</v>
      </c>
      <c r="D150" s="242" t="s">
        <v>217</v>
      </c>
      <c r="E150" s="242" t="s">
        <v>226</v>
      </c>
    </row>
    <row r="151" spans="2:5">
      <c r="B151" s="241" t="s">
        <v>128</v>
      </c>
      <c r="C151" s="241" t="s">
        <v>234</v>
      </c>
      <c r="D151" s="241" t="s">
        <v>215</v>
      </c>
      <c r="E151" s="241" t="s">
        <v>213</v>
      </c>
    </row>
    <row r="152" spans="2:5">
      <c r="B152" s="242" t="s">
        <v>32</v>
      </c>
      <c r="C152" s="242" t="s">
        <v>213</v>
      </c>
      <c r="D152" s="242" t="s">
        <v>227</v>
      </c>
      <c r="E152" s="242" t="s">
        <v>218</v>
      </c>
    </row>
    <row r="155" spans="2:5">
      <c r="B155" s="218" t="s">
        <v>235</v>
      </c>
    </row>
    <row r="156" spans="2:5">
      <c r="B156" s="212"/>
    </row>
    <row r="157" spans="2:5">
      <c r="B157" s="212" t="s">
        <v>311</v>
      </c>
    </row>
    <row r="158" spans="2:5">
      <c r="B158" s="212"/>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240</v>
      </c>
    </row>
    <row r="167" spans="1:15">
      <c r="A167" s="205" t="s">
        <v>80</v>
      </c>
      <c r="B167" s="206" t="s">
        <v>204</v>
      </c>
      <c r="C167" s="206" t="s">
        <v>203</v>
      </c>
      <c r="D167" s="218" t="s">
        <v>239</v>
      </c>
    </row>
    <row r="170" spans="1:15">
      <c r="B170" s="218" t="s">
        <v>241</v>
      </c>
    </row>
    <row r="172" spans="1:15">
      <c r="B172" s="240" t="s">
        <v>207</v>
      </c>
      <c r="C172" s="240" t="s">
        <v>208</v>
      </c>
      <c r="D172" s="240" t="s">
        <v>209</v>
      </c>
      <c r="E172" s="240" t="s">
        <v>210</v>
      </c>
    </row>
    <row r="173" spans="1:15">
      <c r="B173" s="241" t="s">
        <v>239</v>
      </c>
      <c r="C173" s="241" t="s">
        <v>211</v>
      </c>
      <c r="D173" s="241" t="s">
        <v>212</v>
      </c>
      <c r="E173" s="241" t="s">
        <v>213</v>
      </c>
    </row>
    <row r="174" spans="1:15">
      <c r="B174" s="242" t="s">
        <v>242</v>
      </c>
      <c r="C174" s="242" t="s">
        <v>213</v>
      </c>
      <c r="D174" s="242" t="s">
        <v>216</v>
      </c>
      <c r="E174" s="242" t="s">
        <v>213</v>
      </c>
    </row>
    <row r="175" spans="1:15">
      <c r="B175" s="241" t="s">
        <v>244</v>
      </c>
      <c r="C175" s="241" t="s">
        <v>218</v>
      </c>
      <c r="D175" s="241" t="s">
        <v>227</v>
      </c>
      <c r="E175" s="241" t="s">
        <v>215</v>
      </c>
    </row>
    <row r="176" spans="1:15">
      <c r="B176" s="242" t="s">
        <v>240</v>
      </c>
      <c r="C176" s="242" t="s">
        <v>225</v>
      </c>
      <c r="D176" s="242" t="s">
        <v>213</v>
      </c>
      <c r="E176" s="242" t="s">
        <v>213</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234</v>
      </c>
      <c r="D197" s="241" t="s">
        <v>215</v>
      </c>
      <c r="E197" s="241" t="s">
        <v>213</v>
      </c>
    </row>
    <row r="198" spans="2:5">
      <c r="B198" s="242" t="s">
        <v>250</v>
      </c>
      <c r="C198" s="242" t="s">
        <v>211</v>
      </c>
      <c r="D198" s="242" t="s">
        <v>212</v>
      </c>
      <c r="E198" s="242" t="s">
        <v>211</v>
      </c>
    </row>
    <row r="199" spans="2:5">
      <c r="B199" s="241" t="s">
        <v>251</v>
      </c>
      <c r="C199" s="241" t="s">
        <v>212</v>
      </c>
      <c r="D199" s="241" t="s">
        <v>243</v>
      </c>
      <c r="E199" s="241" t="s">
        <v>218</v>
      </c>
    </row>
    <row r="200" spans="2:5">
      <c r="B200" s="242" t="s">
        <v>248</v>
      </c>
      <c r="C200" s="242" t="s">
        <v>217</v>
      </c>
      <c r="D200" s="242" t="s">
        <v>215</v>
      </c>
      <c r="E200" s="242" t="s">
        <v>213</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260</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212</v>
      </c>
      <c r="D221" s="241" t="s">
        <v>233</v>
      </c>
      <c r="E221" s="241" t="s">
        <v>212</v>
      </c>
    </row>
    <row r="222" spans="1:15">
      <c r="B222" s="242" t="s">
        <v>259</v>
      </c>
      <c r="C222" s="242" t="s">
        <v>213</v>
      </c>
      <c r="D222" s="242" t="s">
        <v>233</v>
      </c>
      <c r="E222" s="242" t="s">
        <v>215</v>
      </c>
    </row>
    <row r="223" spans="1:15">
      <c r="B223" s="241" t="s">
        <v>182</v>
      </c>
      <c r="C223" s="241" t="s">
        <v>226</v>
      </c>
      <c r="D223" s="241" t="s">
        <v>215</v>
      </c>
      <c r="E223" s="241" t="s">
        <v>211</v>
      </c>
    </row>
    <row r="224" spans="1:15">
      <c r="B224" s="242" t="s">
        <v>260</v>
      </c>
      <c r="C224" s="242" t="s">
        <v>225</v>
      </c>
      <c r="D224" s="242" t="s">
        <v>211</v>
      </c>
      <c r="E224" s="242" t="s">
        <v>226</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5">
      <c r="B242" s="218" t="s">
        <v>267</v>
      </c>
    </row>
    <row r="244" spans="2:15">
      <c r="B244" s="240" t="s">
        <v>207</v>
      </c>
      <c r="C244" s="240" t="s">
        <v>208</v>
      </c>
      <c r="D244" s="240" t="s">
        <v>209</v>
      </c>
      <c r="E244" s="240" t="s">
        <v>210</v>
      </c>
    </row>
    <row r="245" spans="2:15">
      <c r="B245" s="241" t="s">
        <v>268</v>
      </c>
      <c r="C245" s="241" t="s">
        <v>217</v>
      </c>
      <c r="D245" s="241" t="s">
        <v>215</v>
      </c>
      <c r="E245" s="241" t="s">
        <v>211</v>
      </c>
    </row>
    <row r="246" spans="2:15">
      <c r="B246" s="242" t="s">
        <v>265</v>
      </c>
      <c r="C246" s="242" t="s">
        <v>234</v>
      </c>
      <c r="D246" s="242" t="s">
        <v>211</v>
      </c>
      <c r="E246" s="242" t="s">
        <v>226</v>
      </c>
    </row>
    <row r="247" spans="2:15">
      <c r="B247" s="241" t="s">
        <v>266</v>
      </c>
      <c r="C247" s="241" t="s">
        <v>213</v>
      </c>
      <c r="D247" s="241" t="s">
        <v>227</v>
      </c>
      <c r="E247" s="241" t="s">
        <v>211</v>
      </c>
    </row>
    <row r="248" spans="2:15">
      <c r="B248" s="242" t="s">
        <v>269</v>
      </c>
      <c r="C248" s="242" t="s">
        <v>218</v>
      </c>
      <c r="D248" s="242" t="s">
        <v>243</v>
      </c>
      <c r="E248" s="242" t="s">
        <v>215</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217</v>
      </c>
      <c r="D268" s="241" t="s">
        <v>218</v>
      </c>
      <c r="E268" s="241" t="s">
        <v>211</v>
      </c>
    </row>
    <row r="269" spans="1:5">
      <c r="B269" s="242" t="s">
        <v>200</v>
      </c>
      <c r="C269" s="242" t="s">
        <v>217</v>
      </c>
      <c r="D269" s="242" t="s">
        <v>218</v>
      </c>
      <c r="E269" s="242" t="s">
        <v>217</v>
      </c>
    </row>
    <row r="270" spans="1:5">
      <c r="B270" s="241" t="s">
        <v>276</v>
      </c>
      <c r="C270" s="241" t="s">
        <v>211</v>
      </c>
      <c r="D270" s="241" t="s">
        <v>212</v>
      </c>
      <c r="E270" s="241" t="s">
        <v>213</v>
      </c>
    </row>
    <row r="271" spans="1:5">
      <c r="B271" s="242" t="s">
        <v>277</v>
      </c>
      <c r="C271" s="242" t="s">
        <v>218</v>
      </c>
      <c r="D271" s="242" t="s">
        <v>227</v>
      </c>
      <c r="E271" s="242" t="s">
        <v>213</v>
      </c>
    </row>
    <row r="274" spans="2:15">
      <c r="B274" s="218" t="s">
        <v>278</v>
      </c>
    </row>
    <row r="275" spans="2:15">
      <c r="B275" s="212"/>
    </row>
    <row r="276" spans="2:15">
      <c r="B276" s="212" t="s">
        <v>342</v>
      </c>
    </row>
    <row r="277" spans="2:15">
      <c r="B277" s="212"/>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8.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334</v>
      </c>
      <c r="L1" s="211"/>
      <c r="P1" s="210">
        <f>SUM(P14:P89)+E11+H11+L7+L11</f>
        <v>455</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Zuid-Korea</v>
      </c>
      <c r="E3" s="247">
        <f>IF(AND(ISNA(MATCH(D3,Invulblad!$F$76:$F$83,0)),ISNA(MATCH(D3,Invulblad!$J$76:$J$83,0))),0,10)</f>
        <v>10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Argentinië</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Zwitserland</v>
      </c>
      <c r="E8" s="247">
        <f>IF(AND(ISNA(MATCH(D8,Invulblad!$F$76:$F$83,0)),ISNA(MATCH(D8,Invulblad!$J$76:$J$83,0))),0,10)</f>
        <v>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Argentinië</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5</v>
      </c>
    </row>
    <row r="12" spans="1:17">
      <c r="B12" s="218" t="s">
        <v>19</v>
      </c>
      <c r="C12" s="218"/>
      <c r="D12" s="218"/>
      <c r="E12" s="219" t="str">
        <f>IF(H89&gt;J89,E89,G89)</f>
        <v>Argentinië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301</v>
      </c>
      <c r="F15" s="229" t="s">
        <v>29</v>
      </c>
      <c r="G15" s="212" t="s">
        <v>110</v>
      </c>
      <c r="H15" s="229">
        <v>1</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0</v>
      </c>
      <c r="I16" s="229" t="s">
        <v>29</v>
      </c>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2</v>
      </c>
      <c r="I17" s="229" t="s">
        <v>29</v>
      </c>
      <c r="J17" s="229">
        <v>2</v>
      </c>
      <c r="K17" s="235">
        <f t="shared" si="2"/>
        <v>3</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2</v>
      </c>
      <c r="I18" s="229" t="s">
        <v>29</v>
      </c>
      <c r="J18" s="229">
        <v>1</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3</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1</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0</v>
      </c>
      <c r="I25" s="229" t="s">
        <v>29</v>
      </c>
      <c r="J25" s="229">
        <v>1</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4</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2</v>
      </c>
      <c r="K28" s="235">
        <f t="shared" si="2"/>
        <v>3</v>
      </c>
      <c r="L28" s="233">
        <f>VLOOKUP($B28,Invulblad!$A$11:$S$103,13,0)</f>
        <v>3</v>
      </c>
      <c r="M28" s="234">
        <f>IF(L28&lt;&gt;"",VLOOKUP($B28,Invulblad!$A$11:$S$103,7,0),"")</f>
        <v>1</v>
      </c>
      <c r="N28" s="229" t="s">
        <v>29</v>
      </c>
      <c r="O28" s="234">
        <f>IF(L28&lt;&gt;"",VLOOKUP($B28,Invulblad!$A$11:$S$103,9,0),"")</f>
        <v>1</v>
      </c>
      <c r="P28" s="235">
        <f t="shared" ref="P28:P33" si="5">IF(L28&lt;&gt;"",IF(AND(M28=H28,O28=J28),10,IF(K28=L28,5,0)),"")</f>
        <v>5</v>
      </c>
    </row>
    <row r="29" spans="1:16">
      <c r="A29" s="205">
        <v>18</v>
      </c>
      <c r="B29" s="212">
        <v>6</v>
      </c>
      <c r="C29" s="226">
        <v>40342</v>
      </c>
      <c r="D29" s="227">
        <v>0.5625</v>
      </c>
      <c r="E29" s="228" t="s">
        <v>307</v>
      </c>
      <c r="F29" s="229" t="s">
        <v>29</v>
      </c>
      <c r="G29" s="212" t="s">
        <v>127</v>
      </c>
      <c r="H29" s="229">
        <v>0</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1</v>
      </c>
      <c r="I30" s="229" t="s">
        <v>29</v>
      </c>
      <c r="J30" s="229">
        <v>1</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3</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1</v>
      </c>
      <c r="I35" s="229" t="s">
        <v>29</v>
      </c>
      <c r="J35" s="229">
        <v>1</v>
      </c>
      <c r="K35" s="235">
        <f t="shared" si="2"/>
        <v>3</v>
      </c>
      <c r="L35" s="233" t="str">
        <f>VLOOKUP($B35,Invulblad!$A$11:$S$103,13,0)</f>
        <v>1</v>
      </c>
      <c r="M35" s="234">
        <f>IF(L35&lt;&gt;"",VLOOKUP($B35,Invulblad!$A$11:$S$103,7,0),"")</f>
        <v>4</v>
      </c>
      <c r="N35" s="229" t="s">
        <v>29</v>
      </c>
      <c r="O35" s="234">
        <f>IF(L35&lt;&gt;"",VLOOKUP($B35,Invulblad!$A$11:$S$103,9,0),"")</f>
        <v>0</v>
      </c>
      <c r="P35" s="235">
        <f t="shared" ref="P35:P40" si="6">IF(L35&lt;&gt;"",IF(AND(M35=H35,O35=J35),10,IF(K35=L35,5,0)),"")</f>
        <v>0</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2</v>
      </c>
      <c r="I38" s="229" t="s">
        <v>29</v>
      </c>
      <c r="J38" s="229">
        <v>2</v>
      </c>
      <c r="K38" s="235">
        <f t="shared" si="2"/>
        <v>3</v>
      </c>
      <c r="L38" s="233">
        <f>VLOOKUP($B38,Invulblad!$A$11:$S$103,13,0)</f>
        <v>3</v>
      </c>
      <c r="M38" s="234">
        <f>IF(L38&lt;&gt;"",VLOOKUP($B38,Invulblad!$A$11:$S$103,7,0),"")</f>
        <v>1</v>
      </c>
      <c r="N38" s="229" t="s">
        <v>29</v>
      </c>
      <c r="O38" s="234">
        <f>IF(L38&lt;&gt;"",VLOOKUP($B38,Invulblad!$A$11:$S$103,9,0),"")</f>
        <v>1</v>
      </c>
      <c r="P38" s="235">
        <f t="shared" si="6"/>
        <v>5</v>
      </c>
    </row>
    <row r="39" spans="1:16">
      <c r="A39" s="205">
        <v>29</v>
      </c>
      <c r="B39" s="212">
        <v>39</v>
      </c>
      <c r="C39" s="226">
        <v>40352</v>
      </c>
      <c r="D39" s="227">
        <v>0.85416666666666663</v>
      </c>
      <c r="E39" s="228" t="s">
        <v>136</v>
      </c>
      <c r="F39" s="229" t="s">
        <v>29</v>
      </c>
      <c r="G39" s="212" t="s">
        <v>137</v>
      </c>
      <c r="H39" s="229">
        <v>0</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0</v>
      </c>
      <c r="I40" s="229" t="s">
        <v>29</v>
      </c>
      <c r="J40" s="229">
        <v>1</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1</v>
      </c>
      <c r="K42" s="235">
        <f t="shared" si="2"/>
        <v>3</v>
      </c>
      <c r="L42" s="233" t="str">
        <f>VLOOKUP($B42,Invulblad!$A$11:$S$103,13,0)</f>
        <v>1</v>
      </c>
      <c r="M42" s="234">
        <f>IF(L42&lt;&gt;"",VLOOKUP($B42,Invulblad!$A$11:$S$103,7,0),"")</f>
        <v>2</v>
      </c>
      <c r="N42" s="229" t="s">
        <v>29</v>
      </c>
      <c r="O42" s="234">
        <f>IF(L42&lt;&gt;"",VLOOKUP($B42,Invulblad!$A$11:$S$103,9,0),"")</f>
        <v>0</v>
      </c>
      <c r="P42" s="235">
        <f t="shared" ref="P42:P47" si="7">IF(L42&lt;&gt;"",IF(AND(M42=H42,O42=J42),10,IF(K42=L42,5,0)),"")</f>
        <v>0</v>
      </c>
    </row>
    <row r="43" spans="1:16">
      <c r="A43" s="205">
        <v>34</v>
      </c>
      <c r="B43" s="212">
        <v>10</v>
      </c>
      <c r="C43" s="226">
        <v>40343</v>
      </c>
      <c r="D43" s="227">
        <v>0.66666666666666663</v>
      </c>
      <c r="E43" s="228" t="s">
        <v>141</v>
      </c>
      <c r="F43" s="229" t="s">
        <v>29</v>
      </c>
      <c r="G43" s="212" t="s">
        <v>142</v>
      </c>
      <c r="H43" s="229">
        <v>2</v>
      </c>
      <c r="I43" s="229" t="s">
        <v>29</v>
      </c>
      <c r="J43" s="229">
        <v>1</v>
      </c>
      <c r="K43" s="235" t="str">
        <f t="shared" si="2"/>
        <v>1</v>
      </c>
      <c r="L43" s="233" t="str">
        <f>VLOOKUP($B43,Invulblad!$A$11:$S$103,13,0)</f>
        <v>1</v>
      </c>
      <c r="M43" s="234">
        <f>IF(L43&lt;&gt;"",VLOOKUP($B43,Invulblad!$A$11:$S$103,7,0),"")</f>
        <v>1</v>
      </c>
      <c r="N43" s="229" t="s">
        <v>29</v>
      </c>
      <c r="O43" s="234">
        <f>IF(L43&lt;&gt;"",VLOOKUP($B43,Invulblad!$A$11:$S$103,9,0),"")</f>
        <v>0</v>
      </c>
      <c r="P43" s="235">
        <f t="shared" si="7"/>
        <v>5</v>
      </c>
    </row>
    <row r="44" spans="1:16">
      <c r="A44" s="205">
        <v>35</v>
      </c>
      <c r="B44" s="212">
        <v>25</v>
      </c>
      <c r="C44" s="226">
        <v>40348</v>
      </c>
      <c r="D44" s="227">
        <v>0.5625</v>
      </c>
      <c r="E44" s="228" t="s">
        <v>139</v>
      </c>
      <c r="F44" s="229" t="s">
        <v>29</v>
      </c>
      <c r="G44" s="212" t="s">
        <v>143</v>
      </c>
      <c r="H44" s="229">
        <v>3</v>
      </c>
      <c r="I44" s="229" t="s">
        <v>29</v>
      </c>
      <c r="J44" s="229">
        <v>1</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10</v>
      </c>
    </row>
    <row r="46" spans="1:16">
      <c r="A46" s="205">
        <v>37</v>
      </c>
      <c r="B46" s="212">
        <v>43</v>
      </c>
      <c r="C46" s="226">
        <v>40353</v>
      </c>
      <c r="D46" s="227">
        <v>0.85416666666666663</v>
      </c>
      <c r="E46" s="228" t="s">
        <v>145</v>
      </c>
      <c r="F46" s="229" t="s">
        <v>29</v>
      </c>
      <c r="G46" s="212" t="s">
        <v>143</v>
      </c>
      <c r="H46" s="229">
        <v>2</v>
      </c>
      <c r="I46" s="229" t="s">
        <v>29</v>
      </c>
      <c r="J46" s="229">
        <v>2</v>
      </c>
      <c r="K46" s="235">
        <f t="shared" ref="K46:K77" si="8">IF(AND(H46="",J46=""),"",IF(OR(H46="",J46=""),"FOUT",IF(H46&gt;J46,"1",IF(H46=J46,3,2))))</f>
        <v>3</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4</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1</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2</v>
      </c>
      <c r="I56" s="229" t="s">
        <v>29</v>
      </c>
      <c r="J56" s="229">
        <v>1</v>
      </c>
      <c r="K56" s="235" t="str">
        <f t="shared" si="8"/>
        <v>1</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1</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2</v>
      </c>
      <c r="K58" s="235">
        <f t="shared" si="8"/>
        <v>3</v>
      </c>
      <c r="L58" s="233" t="str">
        <f>VLOOKUP($B58,Invulblad!$A$11:$S$103,13,0)</f>
        <v>1</v>
      </c>
      <c r="M58" s="234">
        <f>IF(L58&lt;&gt;"",VLOOKUP($B58,Invulblad!$A$11:$S$103,7,0),"")</f>
        <v>3</v>
      </c>
      <c r="N58" s="229" t="s">
        <v>29</v>
      </c>
      <c r="O58" s="234">
        <f>IF(L58&lt;&gt;"",VLOOKUP($B58,Invulblad!$A$11:$S$103,9,0),"")</f>
        <v>1</v>
      </c>
      <c r="P58" s="235">
        <f t="shared" si="10"/>
        <v>0</v>
      </c>
    </row>
    <row r="59" spans="1:16">
      <c r="A59" s="205">
        <v>52</v>
      </c>
      <c r="B59" s="212">
        <v>30</v>
      </c>
      <c r="C59" s="226">
        <v>40350</v>
      </c>
      <c r="D59" s="227">
        <v>0.5625</v>
      </c>
      <c r="E59" s="228" t="s">
        <v>160</v>
      </c>
      <c r="F59" s="229" t="s">
        <v>29</v>
      </c>
      <c r="G59" s="212" t="s">
        <v>158</v>
      </c>
      <c r="H59" s="229">
        <v>3</v>
      </c>
      <c r="I59" s="229" t="s">
        <v>29</v>
      </c>
      <c r="J59" s="229">
        <v>1</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3</v>
      </c>
      <c r="K61" s="235">
        <f t="shared" si="8"/>
        <v>2</v>
      </c>
      <c r="L61" s="233">
        <f>VLOOKUP($B61,Invulblad!$A$11:$S$103,13,0)</f>
        <v>2</v>
      </c>
      <c r="M61" s="234">
        <f>IF(L61&lt;&gt;"",VLOOKUP($B61,Invulblad!$A$11:$S$103,7,0),"")</f>
        <v>0</v>
      </c>
      <c r="N61" s="229" t="s">
        <v>29</v>
      </c>
      <c r="O61" s="234">
        <f>IF(L61&lt;&gt;"",VLOOKUP($B61,Invulblad!$A$11:$S$103,9,0),"")</f>
        <v>3</v>
      </c>
      <c r="P61" s="235">
        <f t="shared" si="10"/>
        <v>10</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3</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2</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2</v>
      </c>
      <c r="K65" s="235">
        <f t="shared" si="8"/>
        <v>2</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5</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1</v>
      </c>
      <c r="K67" s="235">
        <f t="shared" si="8"/>
        <v>3</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3</v>
      </c>
      <c r="I68" s="229" t="s">
        <v>29</v>
      </c>
      <c r="J68" s="229">
        <v>1</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118</v>
      </c>
      <c r="H70" s="229">
        <v>2</v>
      </c>
      <c r="I70" s="229" t="s">
        <v>29</v>
      </c>
      <c r="J70" s="229">
        <v>1</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10</v>
      </c>
    </row>
    <row r="71" spans="1:16">
      <c r="A71" s="205">
        <v>66</v>
      </c>
      <c r="B71" s="212">
        <v>50</v>
      </c>
      <c r="C71" s="226">
        <v>40355</v>
      </c>
      <c r="D71" s="227">
        <v>0.85416666666666663</v>
      </c>
      <c r="E71" s="223" t="s">
        <v>124</v>
      </c>
      <c r="F71" s="229" t="s">
        <v>29</v>
      </c>
      <c r="G71" s="212" t="s">
        <v>240</v>
      </c>
      <c r="H71" s="229">
        <v>0</v>
      </c>
      <c r="I71" s="229" t="s">
        <v>29</v>
      </c>
      <c r="J71" s="229">
        <v>0</v>
      </c>
      <c r="K71" s="235">
        <f t="shared" si="8"/>
        <v>3</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32</v>
      </c>
      <c r="H72" s="229">
        <v>1</v>
      </c>
      <c r="I72" s="229" t="s">
        <v>29</v>
      </c>
      <c r="J72" s="229">
        <v>1</v>
      </c>
      <c r="K72" s="235">
        <f t="shared" si="8"/>
        <v>3</v>
      </c>
      <c r="L72" s="233" t="str">
        <f>VLOOKUP($B72,Invulblad!$A$11:$S$103,13,0)</f>
        <v>1</v>
      </c>
      <c r="M72" s="234">
        <f>IF(L72&lt;&gt;"",VLOOKUP($B72,Invulblad!$A$11:$S$103,7,0),"")</f>
        <v>4</v>
      </c>
      <c r="N72" s="229" t="s">
        <v>29</v>
      </c>
      <c r="O72" s="234">
        <f>IF(L72&lt;&gt;"",VLOOKUP($B72,Invulblad!$A$11:$S$103,9,0),"")</f>
        <v>1</v>
      </c>
      <c r="P72" s="235">
        <f t="shared" si="12"/>
        <v>0</v>
      </c>
    </row>
    <row r="73" spans="1:16">
      <c r="A73" s="205">
        <v>68</v>
      </c>
      <c r="B73" s="212">
        <v>52</v>
      </c>
      <c r="C73" s="226">
        <v>40356</v>
      </c>
      <c r="D73" s="227">
        <v>0.85416666666666663</v>
      </c>
      <c r="E73" s="223" t="s">
        <v>116</v>
      </c>
      <c r="F73" s="229" t="s">
        <v>29</v>
      </c>
      <c r="G73" s="212" t="s">
        <v>214</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260</v>
      </c>
      <c r="H74" s="229">
        <v>3</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276</v>
      </c>
      <c r="H75" s="229">
        <v>3</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10</v>
      </c>
    </row>
    <row r="76" spans="1:16">
      <c r="A76" s="205">
        <v>71</v>
      </c>
      <c r="B76" s="212">
        <v>55</v>
      </c>
      <c r="C76" s="226">
        <v>40358</v>
      </c>
      <c r="D76" s="227">
        <v>0.66666666666666663</v>
      </c>
      <c r="E76" s="223" t="s">
        <v>257</v>
      </c>
      <c r="F76" s="229" t="s">
        <v>29</v>
      </c>
      <c r="G76" s="212" t="s">
        <v>250</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266</v>
      </c>
      <c r="H77" s="229">
        <v>3</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2</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124</v>
      </c>
      <c r="H80" s="229">
        <v>0</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0</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257</v>
      </c>
      <c r="F82" s="229" t="s">
        <v>29</v>
      </c>
      <c r="G82" s="222" t="s">
        <v>200</v>
      </c>
      <c r="H82" s="229">
        <v>0</v>
      </c>
      <c r="I82" s="229" t="s">
        <v>29</v>
      </c>
      <c r="J82" s="229">
        <v>1</v>
      </c>
      <c r="K82" s="235">
        <f t="shared" si="13"/>
        <v>2</v>
      </c>
      <c r="L82" s="233">
        <f>VLOOKUP($B82,Invulblad!$A$11:$S$103,13,0)</f>
        <v>2</v>
      </c>
      <c r="M82" s="234">
        <f>IF(L82&lt;&gt;"",VLOOKUP($B82,Invulblad!$A$11:$S$103,7,0),"")</f>
        <v>0</v>
      </c>
      <c r="N82" s="229" t="s">
        <v>29</v>
      </c>
      <c r="O82" s="234">
        <f>IF(L82&lt;&gt;"",VLOOKUP($B82,Invulblad!$A$11:$S$103,9,0),"")</f>
        <v>1</v>
      </c>
      <c r="P82" s="235">
        <f>IF(L82&lt;&gt;"",IF(AND(M82=H82,O82=J82),10,IF(K82=L82,5,0)),"")</f>
        <v>10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178</v>
      </c>
      <c r="H84" s="229">
        <v>2</v>
      </c>
      <c r="I84" s="229" t="s">
        <v>29</v>
      </c>
      <c r="J84" s="229">
        <v>3</v>
      </c>
      <c r="K84" s="235">
        <f t="shared" si="13"/>
        <v>2</v>
      </c>
      <c r="L84" s="233">
        <f>VLOOKUP($B84,Invulblad!$A$11:$S$103,13,0)</f>
        <v>2</v>
      </c>
      <c r="M84" s="234">
        <f>IF(L84&lt;&gt;"",VLOOKUP($B84,Invulblad!$A$11:$S$103,7,0),"")</f>
        <v>2</v>
      </c>
      <c r="N84" s="229" t="s">
        <v>29</v>
      </c>
      <c r="O84" s="234">
        <f>IF(L84&lt;&gt;"",VLOOKUP($B84,Invulblad!$A$11:$S$103,9,0),"")</f>
        <v>3</v>
      </c>
      <c r="P84" s="235">
        <f>IF(L84&lt;&gt;"",IF(AND(M84=H84,O84=J84),10,IF(K84=L84,5,0)),"")</f>
        <v>10</v>
      </c>
    </row>
    <row r="85" spans="1:16">
      <c r="A85" s="205">
        <v>82</v>
      </c>
      <c r="B85" s="212">
        <v>62</v>
      </c>
      <c r="C85" s="226">
        <v>40366</v>
      </c>
      <c r="D85" s="227">
        <v>0.85416666666666663</v>
      </c>
      <c r="E85" s="223" t="s">
        <v>116</v>
      </c>
      <c r="F85" s="229" t="s">
        <v>29</v>
      </c>
      <c r="G85" s="212" t="s">
        <v>200</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200</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178</v>
      </c>
      <c r="F89" s="229" t="s">
        <v>29</v>
      </c>
      <c r="G89" s="222" t="s">
        <v>116</v>
      </c>
      <c r="H89" s="229">
        <v>1</v>
      </c>
      <c r="I89" s="229" t="s">
        <v>29</v>
      </c>
      <c r="J89" s="229">
        <v>2</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234</v>
      </c>
      <c r="D101" s="241" t="s">
        <v>211</v>
      </c>
      <c r="E101" s="241" t="s">
        <v>234</v>
      </c>
    </row>
    <row r="102" spans="2:5">
      <c r="B102" s="242" t="s">
        <v>214</v>
      </c>
      <c r="C102" s="242" t="s">
        <v>217</v>
      </c>
      <c r="D102" s="242" t="s">
        <v>218</v>
      </c>
      <c r="E102" s="242" t="s">
        <v>217</v>
      </c>
    </row>
    <row r="103" spans="2:5">
      <c r="B103" s="241" t="s">
        <v>109</v>
      </c>
      <c r="C103" s="241" t="s">
        <v>213</v>
      </c>
      <c r="D103" s="241" t="s">
        <v>212</v>
      </c>
      <c r="E103" s="241" t="s">
        <v>211</v>
      </c>
    </row>
    <row r="104" spans="2:5">
      <c r="B104" s="242" t="s">
        <v>107</v>
      </c>
      <c r="C104" s="242" t="s">
        <v>218</v>
      </c>
      <c r="D104" s="242" t="s">
        <v>224</v>
      </c>
      <c r="E104" s="242" t="s">
        <v>218</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118</v>
      </c>
    </row>
    <row r="122" spans="1:15">
      <c r="B122" s="218" t="s">
        <v>223</v>
      </c>
    </row>
    <row r="124" spans="1:15">
      <c r="B124" s="240" t="s">
        <v>207</v>
      </c>
      <c r="C124" s="240" t="s">
        <v>208</v>
      </c>
      <c r="D124" s="240" t="s">
        <v>209</v>
      </c>
      <c r="E124" s="240" t="s">
        <v>210</v>
      </c>
    </row>
    <row r="125" spans="1:15">
      <c r="B125" s="241" t="s">
        <v>120</v>
      </c>
      <c r="C125" s="241" t="s">
        <v>212</v>
      </c>
      <c r="D125" s="241" t="s">
        <v>314</v>
      </c>
      <c r="E125" s="241" t="s">
        <v>218</v>
      </c>
    </row>
    <row r="126" spans="1:15">
      <c r="B126" s="242" t="s">
        <v>116</v>
      </c>
      <c r="C126" s="242" t="s">
        <v>225</v>
      </c>
      <c r="D126" s="242" t="s">
        <v>226</v>
      </c>
      <c r="E126" s="242" t="s">
        <v>316</v>
      </c>
    </row>
    <row r="127" spans="1:15">
      <c r="B127" s="241" t="s">
        <v>122</v>
      </c>
      <c r="C127" s="241" t="s">
        <v>213</v>
      </c>
      <c r="D127" s="241" t="s">
        <v>216</v>
      </c>
      <c r="E127" s="241" t="s">
        <v>213</v>
      </c>
    </row>
    <row r="128" spans="1:15">
      <c r="B128" s="242" t="s">
        <v>118</v>
      </c>
      <c r="C128" s="242" t="s">
        <v>226</v>
      </c>
      <c r="D128" s="242" t="s">
        <v>218</v>
      </c>
      <c r="E128" s="242" t="s">
        <v>213</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212</v>
      </c>
      <c r="D149" s="241" t="s">
        <v>252</v>
      </c>
      <c r="E149" s="241" t="s">
        <v>218</v>
      </c>
    </row>
    <row r="150" spans="2:5">
      <c r="B150" s="242" t="s">
        <v>124</v>
      </c>
      <c r="C150" s="242" t="s">
        <v>234</v>
      </c>
      <c r="D150" s="242" t="s">
        <v>213</v>
      </c>
      <c r="E150" s="242" t="s">
        <v>234</v>
      </c>
    </row>
    <row r="151" spans="2:5">
      <c r="B151" s="241" t="s">
        <v>128</v>
      </c>
      <c r="C151" s="241" t="s">
        <v>211</v>
      </c>
      <c r="D151" s="241" t="s">
        <v>218</v>
      </c>
      <c r="E151" s="241" t="s">
        <v>211</v>
      </c>
    </row>
    <row r="152" spans="2:5">
      <c r="B152" s="242" t="s">
        <v>32</v>
      </c>
      <c r="C152" s="242" t="s">
        <v>217</v>
      </c>
      <c r="D152" s="242" t="s">
        <v>213</v>
      </c>
      <c r="E152" s="242" t="s">
        <v>226</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234</v>
      </c>
      <c r="D173" s="241" t="s">
        <v>213</v>
      </c>
      <c r="E173" s="241" t="s">
        <v>211</v>
      </c>
    </row>
    <row r="174" spans="1:15">
      <c r="B174" s="242" t="s">
        <v>242</v>
      </c>
      <c r="C174" s="242" t="s">
        <v>215</v>
      </c>
      <c r="D174" s="242" t="s">
        <v>216</v>
      </c>
      <c r="E174" s="242" t="s">
        <v>213</v>
      </c>
    </row>
    <row r="175" spans="1:15">
      <c r="B175" s="241" t="s">
        <v>244</v>
      </c>
      <c r="C175" s="241" t="s">
        <v>218</v>
      </c>
      <c r="D175" s="241" t="s">
        <v>233</v>
      </c>
      <c r="E175" s="241" t="s">
        <v>213</v>
      </c>
    </row>
    <row r="176" spans="1:15">
      <c r="B176" s="242" t="s">
        <v>240</v>
      </c>
      <c r="C176" s="242" t="s">
        <v>226</v>
      </c>
      <c r="D176" s="242" t="s">
        <v>218</v>
      </c>
      <c r="E176" s="242" t="s">
        <v>213</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15">
      <c r="B194" s="218" t="s">
        <v>249</v>
      </c>
    </row>
    <row r="196" spans="2:15">
      <c r="B196" s="240" t="s">
        <v>207</v>
      </c>
      <c r="C196" s="240" t="s">
        <v>208</v>
      </c>
      <c r="D196" s="240" t="s">
        <v>209</v>
      </c>
      <c r="E196" s="240" t="s">
        <v>210</v>
      </c>
    </row>
    <row r="197" spans="2:15">
      <c r="B197" s="241" t="s">
        <v>178</v>
      </c>
      <c r="C197" s="241" t="s">
        <v>234</v>
      </c>
      <c r="D197" s="241" t="s">
        <v>213</v>
      </c>
      <c r="E197" s="241" t="s">
        <v>226</v>
      </c>
    </row>
    <row r="198" spans="2:15">
      <c r="B198" s="242" t="s">
        <v>250</v>
      </c>
      <c r="C198" s="242" t="s">
        <v>217</v>
      </c>
      <c r="D198" s="242" t="s">
        <v>218</v>
      </c>
      <c r="E198" s="242" t="s">
        <v>217</v>
      </c>
    </row>
    <row r="199" spans="2:15">
      <c r="B199" s="241" t="s">
        <v>251</v>
      </c>
      <c r="C199" s="241" t="s">
        <v>211</v>
      </c>
      <c r="D199" s="241" t="s">
        <v>216</v>
      </c>
      <c r="E199" s="241" t="s">
        <v>217</v>
      </c>
    </row>
    <row r="200" spans="2:15">
      <c r="B200" s="242" t="s">
        <v>248</v>
      </c>
      <c r="C200" s="242" t="s">
        <v>212</v>
      </c>
      <c r="D200" s="242" t="s">
        <v>233</v>
      </c>
      <c r="E200" s="242" t="s">
        <v>213</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260</v>
      </c>
    </row>
    <row r="218" spans="1:10">
      <c r="B218" s="218" t="s">
        <v>258</v>
      </c>
    </row>
    <row r="220" spans="1:10">
      <c r="B220" s="240" t="s">
        <v>207</v>
      </c>
      <c r="C220" s="240" t="s">
        <v>208</v>
      </c>
      <c r="D220" s="240" t="s">
        <v>209</v>
      </c>
      <c r="E220" s="240" t="s">
        <v>210</v>
      </c>
    </row>
    <row r="221" spans="1:10">
      <c r="B221" s="241" t="s">
        <v>257</v>
      </c>
      <c r="C221" s="241" t="s">
        <v>234</v>
      </c>
      <c r="D221" s="241" t="s">
        <v>213</v>
      </c>
      <c r="E221" s="241" t="s">
        <v>211</v>
      </c>
    </row>
    <row r="222" spans="1:10">
      <c r="B222" s="242" t="s">
        <v>259</v>
      </c>
      <c r="C222" s="242" t="s">
        <v>212</v>
      </c>
      <c r="D222" s="242" t="s">
        <v>252</v>
      </c>
      <c r="E222" s="242" t="s">
        <v>218</v>
      </c>
    </row>
    <row r="223" spans="1:10">
      <c r="B223" s="241" t="s">
        <v>182</v>
      </c>
      <c r="C223" s="241" t="s">
        <v>211</v>
      </c>
      <c r="D223" s="241" t="s">
        <v>212</v>
      </c>
      <c r="E223" s="241" t="s">
        <v>213</v>
      </c>
    </row>
    <row r="224" spans="1:10">
      <c r="B224" s="242" t="s">
        <v>260</v>
      </c>
      <c r="C224" s="242" t="s">
        <v>217</v>
      </c>
      <c r="D224" s="242" t="s">
        <v>211</v>
      </c>
      <c r="E224" s="242" t="s">
        <v>226</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5">
      <c r="B242" s="218" t="s">
        <v>267</v>
      </c>
    </row>
    <row r="244" spans="2:15">
      <c r="B244" s="240" t="s">
        <v>207</v>
      </c>
      <c r="C244" s="240" t="s">
        <v>208</v>
      </c>
      <c r="D244" s="240" t="s">
        <v>209</v>
      </c>
      <c r="E244" s="240" t="s">
        <v>210</v>
      </c>
    </row>
    <row r="245" spans="2:15">
      <c r="B245" s="241" t="s">
        <v>268</v>
      </c>
      <c r="C245" s="241" t="s">
        <v>213</v>
      </c>
      <c r="D245" s="241" t="s">
        <v>212</v>
      </c>
      <c r="E245" s="241" t="s">
        <v>217</v>
      </c>
    </row>
    <row r="246" spans="2:15">
      <c r="B246" s="242" t="s">
        <v>265</v>
      </c>
      <c r="C246" s="242" t="s">
        <v>234</v>
      </c>
      <c r="D246" s="242" t="s">
        <v>211</v>
      </c>
      <c r="E246" s="242" t="s">
        <v>316</v>
      </c>
    </row>
    <row r="247" spans="2:15">
      <c r="B247" s="241" t="s">
        <v>266</v>
      </c>
      <c r="C247" s="241" t="s">
        <v>234</v>
      </c>
      <c r="D247" s="241" t="s">
        <v>211</v>
      </c>
      <c r="E247" s="241" t="s">
        <v>234</v>
      </c>
    </row>
    <row r="248" spans="2:15">
      <c r="B248" s="242" t="s">
        <v>269</v>
      </c>
      <c r="C248" s="242" t="s">
        <v>212</v>
      </c>
      <c r="D248" s="242" t="s">
        <v>320</v>
      </c>
      <c r="E248" s="242" t="s">
        <v>215</v>
      </c>
    </row>
    <row r="251" spans="2:15">
      <c r="B251" s="218" t="s">
        <v>270</v>
      </c>
    </row>
    <row r="252" spans="2:15">
      <c r="B252" s="212"/>
    </row>
    <row r="253" spans="2:15">
      <c r="B253" s="212" t="s">
        <v>335</v>
      </c>
    </row>
    <row r="254" spans="2:15">
      <c r="B254" s="212"/>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276</v>
      </c>
    </row>
    <row r="265" spans="1:5">
      <c r="B265" s="218" t="s">
        <v>275</v>
      </c>
    </row>
    <row r="267" spans="1:5">
      <c r="B267" s="240" t="s">
        <v>207</v>
      </c>
      <c r="C267" s="240" t="s">
        <v>208</v>
      </c>
      <c r="D267" s="240" t="s">
        <v>209</v>
      </c>
      <c r="E267" s="240" t="s">
        <v>210</v>
      </c>
    </row>
    <row r="268" spans="1:5">
      <c r="B268" s="241" t="s">
        <v>274</v>
      </c>
      <c r="C268" s="241" t="s">
        <v>211</v>
      </c>
      <c r="D268" s="241" t="s">
        <v>215</v>
      </c>
      <c r="E268" s="241" t="s">
        <v>217</v>
      </c>
    </row>
    <row r="269" spans="1:5">
      <c r="B269" s="242" t="s">
        <v>200</v>
      </c>
      <c r="C269" s="242" t="s">
        <v>234</v>
      </c>
      <c r="D269" s="242" t="s">
        <v>226</v>
      </c>
      <c r="E269" s="242" t="s">
        <v>316</v>
      </c>
    </row>
    <row r="270" spans="1:5">
      <c r="B270" s="241" t="s">
        <v>276</v>
      </c>
      <c r="C270" s="241" t="s">
        <v>226</v>
      </c>
      <c r="D270" s="241" t="s">
        <v>215</v>
      </c>
      <c r="E270" s="241" t="s">
        <v>226</v>
      </c>
    </row>
    <row r="271" spans="1:5">
      <c r="B271" s="242" t="s">
        <v>277</v>
      </c>
      <c r="C271" s="242" t="s">
        <v>212</v>
      </c>
      <c r="D271" s="242" t="s">
        <v>333</v>
      </c>
      <c r="E271" s="242" t="s">
        <v>218</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19.xml><?xml version="1.0" encoding="utf-8"?>
<worksheet xmlns="http://schemas.openxmlformats.org/spreadsheetml/2006/main" xmlns:r="http://schemas.openxmlformats.org/officeDocument/2006/relationships">
  <dimension ref="A1:Q309"/>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352</v>
      </c>
      <c r="L1" s="211"/>
      <c r="P1" s="210">
        <f>SUM(P14:P89)+E11+H11+L7+L11</f>
        <v>390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Australië</v>
      </c>
      <c r="E4" s="247">
        <f>IF(AND(ISNA(MATCH(D4,Invulblad!$F$76:$F$83,0)),ISNA(MATCH(D4,Invulblad!$J$76:$J$83,0))),0,10)</f>
        <v>0</v>
      </c>
      <c r="G4" s="212" t="str">
        <f>E80</f>
        <v>Frankrijk</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0</v>
      </c>
    </row>
    <row r="12" spans="1:17">
      <c r="B12" s="218" t="s">
        <v>19</v>
      </c>
      <c r="C12" s="218"/>
      <c r="D12" s="218"/>
      <c r="E12" s="219" t="str">
        <f>IF(H89&gt;J89,E89,G89)</f>
        <v>Spanje</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301</v>
      </c>
      <c r="F15" s="229" t="s">
        <v>29</v>
      </c>
      <c r="G15" s="212" t="s">
        <v>110</v>
      </c>
      <c r="H15" s="229">
        <v>0</v>
      </c>
      <c r="I15" s="229" t="s">
        <v>29</v>
      </c>
      <c r="J15" s="229">
        <v>0</v>
      </c>
      <c r="K15" s="235">
        <f t="shared" si="2"/>
        <v>3</v>
      </c>
      <c r="L15" s="233">
        <f>VLOOKUP($B15,Invulblad!$A$11:$S$103,13,0)</f>
        <v>3</v>
      </c>
      <c r="M15" s="234">
        <f>IF(L15&lt;&gt;"",VLOOKUP($B15,Invulblad!$A$11:$S$103,7,0),"")</f>
        <v>0</v>
      </c>
      <c r="N15" s="229" t="s">
        <v>29</v>
      </c>
      <c r="O15" s="234">
        <f>IF(L15&lt;&gt;"",VLOOKUP($B15,Invulblad!$A$11:$S$103,9,0),"")</f>
        <v>0</v>
      </c>
      <c r="P15" s="235">
        <f t="shared" si="3"/>
        <v>10</v>
      </c>
    </row>
    <row r="16" spans="1:17">
      <c r="A16" s="205">
        <v>3</v>
      </c>
      <c r="B16" s="212">
        <v>17</v>
      </c>
      <c r="C16" s="226">
        <v>40345</v>
      </c>
      <c r="D16" s="227">
        <v>0.85416666666666663</v>
      </c>
      <c r="E16" s="228" t="s">
        <v>111</v>
      </c>
      <c r="F16" s="229" t="s">
        <v>29</v>
      </c>
      <c r="G16" s="212" t="s">
        <v>112</v>
      </c>
      <c r="H16" s="229">
        <v>0</v>
      </c>
      <c r="I16" s="229" t="s">
        <v>29</v>
      </c>
      <c r="J16" s="229">
        <v>1</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2</v>
      </c>
      <c r="I17" s="229" t="s">
        <v>29</v>
      </c>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2</v>
      </c>
      <c r="I18" s="229" t="s">
        <v>29</v>
      </c>
      <c r="J18" s="229">
        <v>1</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3</v>
      </c>
      <c r="I19" s="229" t="s">
        <v>29</v>
      </c>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1</v>
      </c>
      <c r="I23" s="229" t="s">
        <v>29</v>
      </c>
      <c r="J23" s="229">
        <v>1</v>
      </c>
      <c r="K23" s="235">
        <f t="shared" si="2"/>
        <v>3</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3</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1</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1</v>
      </c>
      <c r="I30" s="229" t="s">
        <v>29</v>
      </c>
      <c r="J30" s="229">
        <v>2</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0</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3</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1</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0</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2</v>
      </c>
      <c r="I40" s="229" t="s">
        <v>29</v>
      </c>
      <c r="J40" s="229">
        <v>1</v>
      </c>
      <c r="K40" s="235" t="str">
        <f t="shared" si="2"/>
        <v>1</v>
      </c>
      <c r="L40" s="233" t="str">
        <f>VLOOKUP($B40,Invulblad!$A$11:$S$103,13,0)</f>
        <v>1</v>
      </c>
      <c r="M40" s="234">
        <f>IF(L40&lt;&gt;"",VLOOKUP($B40,Invulblad!$A$11:$S$103,7,0),"")</f>
        <v>2</v>
      </c>
      <c r="N40" s="229" t="s">
        <v>29</v>
      </c>
      <c r="O40" s="234">
        <f>IF(L40&lt;&gt;"",VLOOKUP($B40,Invulblad!$A$11:$S$103,9,0),"")</f>
        <v>1</v>
      </c>
      <c r="P40" s="235">
        <f t="shared" si="6"/>
        <v>10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1</v>
      </c>
      <c r="I43" s="229" t="s">
        <v>29</v>
      </c>
      <c r="J43" s="229">
        <v>1</v>
      </c>
      <c r="K43" s="235">
        <f t="shared" si="2"/>
        <v>3</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1</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0</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5</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1</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3</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2</v>
      </c>
      <c r="I56" s="229" t="s">
        <v>29</v>
      </c>
      <c r="J56" s="229">
        <v>1</v>
      </c>
      <c r="K56" s="235" t="str">
        <f t="shared" si="8"/>
        <v>1</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1</v>
      </c>
      <c r="I61" s="229" t="s">
        <v>29</v>
      </c>
      <c r="J61" s="229">
        <v>3</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3</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5</v>
      </c>
    </row>
    <row r="66" spans="1:16">
      <c r="A66" s="205">
        <v>60</v>
      </c>
      <c r="B66" s="212">
        <v>32</v>
      </c>
      <c r="C66" s="226">
        <v>40350</v>
      </c>
      <c r="D66" s="227">
        <v>0.85416666666666663</v>
      </c>
      <c r="E66" s="228" t="s">
        <v>165</v>
      </c>
      <c r="F66" s="229" t="s">
        <v>29</v>
      </c>
      <c r="G66" s="212" t="s">
        <v>168</v>
      </c>
      <c r="H66" s="229">
        <v>4</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0</v>
      </c>
      <c r="K67" s="235">
        <f t="shared" si="8"/>
        <v>3</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122</v>
      </c>
      <c r="H70" s="229">
        <v>0</v>
      </c>
      <c r="I70" s="229" t="s">
        <v>29</v>
      </c>
      <c r="J70" s="229">
        <v>0</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242</v>
      </c>
      <c r="H71" s="229">
        <v>2</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32</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3</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10</v>
      </c>
    </row>
    <row r="74" spans="1:16">
      <c r="A74" s="205">
        <v>69</v>
      </c>
      <c r="B74" s="212">
        <v>53</v>
      </c>
      <c r="C74" s="226">
        <v>40357</v>
      </c>
      <c r="D74" s="227">
        <v>0.66666666666666663</v>
      </c>
      <c r="E74" s="223" t="s">
        <v>178</v>
      </c>
      <c r="F74" s="229" t="s">
        <v>29</v>
      </c>
      <c r="G74" s="212" t="s">
        <v>260</v>
      </c>
      <c r="H74" s="229">
        <v>3</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274</v>
      </c>
      <c r="H75" s="229">
        <v>2</v>
      </c>
      <c r="I75" s="229" t="s">
        <v>29</v>
      </c>
      <c r="J75" s="229">
        <v>1</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250</v>
      </c>
      <c r="H76" s="229">
        <v>1</v>
      </c>
      <c r="I76" s="229" t="s">
        <v>29</v>
      </c>
      <c r="J76" s="229">
        <v>1</v>
      </c>
      <c r="K76" s="235">
        <f t="shared" si="8"/>
        <v>3</v>
      </c>
      <c r="L76" s="233">
        <f>VLOOKUP($B76,Invulblad!$A$11:$S$103,13,0)</f>
        <v>3</v>
      </c>
      <c r="M76" s="234">
        <f>IF(L76&lt;&gt;"",VLOOKUP($B76,Invulblad!$A$11:$S$103,7,0),"")</f>
        <v>0</v>
      </c>
      <c r="N76" s="229" t="s">
        <v>29</v>
      </c>
      <c r="O76" s="234">
        <f>IF(L76&lt;&gt;"",VLOOKUP($B76,Invulblad!$A$11:$S$103,9,0),"")</f>
        <v>0</v>
      </c>
      <c r="P76" s="235">
        <f t="shared" si="12"/>
        <v>5</v>
      </c>
    </row>
    <row r="77" spans="1:16">
      <c r="A77" s="205">
        <v>72</v>
      </c>
      <c r="B77" s="212">
        <v>56</v>
      </c>
      <c r="C77" s="226">
        <v>40358</v>
      </c>
      <c r="D77" s="227">
        <v>0.85416666666666663</v>
      </c>
      <c r="E77" s="223" t="s">
        <v>200</v>
      </c>
      <c r="F77" s="229" t="s">
        <v>29</v>
      </c>
      <c r="G77" s="212" t="s">
        <v>266</v>
      </c>
      <c r="H77" s="229">
        <v>3</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2</v>
      </c>
      <c r="I79" s="229" t="s">
        <v>29</v>
      </c>
      <c r="J79" s="229">
        <v>2</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124</v>
      </c>
      <c r="H80" s="229">
        <v>0</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0</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257</v>
      </c>
      <c r="F82" s="229" t="s">
        <v>29</v>
      </c>
      <c r="G82" s="222" t="s">
        <v>200</v>
      </c>
      <c r="H82" s="229">
        <v>1</v>
      </c>
      <c r="I82" s="229" t="s">
        <v>29</v>
      </c>
      <c r="J82" s="229">
        <v>1</v>
      </c>
      <c r="K82" s="235">
        <f t="shared" si="13"/>
        <v>3</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1</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8" t="s">
        <v>116</v>
      </c>
      <c r="F85" s="229" t="s">
        <v>29</v>
      </c>
      <c r="G85" s="222" t="s">
        <v>200</v>
      </c>
      <c r="H85" s="229">
        <v>1</v>
      </c>
      <c r="I85" s="229" t="s">
        <v>29</v>
      </c>
      <c r="J85" s="229">
        <v>1</v>
      </c>
      <c r="K85" s="235">
        <f t="shared" si="13"/>
        <v>3</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116</v>
      </c>
      <c r="H87" s="229">
        <v>0</v>
      </c>
      <c r="I87" s="229" t="s">
        <v>29</v>
      </c>
      <c r="J87" s="229">
        <v>2</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200</v>
      </c>
      <c r="H89" s="229">
        <v>1</v>
      </c>
      <c r="I89" s="229" t="s">
        <v>29</v>
      </c>
      <c r="J89" s="229">
        <v>1</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234</v>
      </c>
      <c r="D101" s="241" t="s">
        <v>213</v>
      </c>
      <c r="E101" s="241" t="s">
        <v>217</v>
      </c>
    </row>
    <row r="102" spans="2:5">
      <c r="B102" s="242" t="s">
        <v>214</v>
      </c>
      <c r="C102" s="242" t="s">
        <v>211</v>
      </c>
      <c r="D102" s="242" t="s">
        <v>212</v>
      </c>
      <c r="E102" s="242" t="s">
        <v>211</v>
      </c>
    </row>
    <row r="103" spans="2:5">
      <c r="B103" s="241" t="s">
        <v>109</v>
      </c>
      <c r="C103" s="241" t="s">
        <v>211</v>
      </c>
      <c r="D103" s="241" t="s">
        <v>212</v>
      </c>
      <c r="E103" s="241" t="s">
        <v>215</v>
      </c>
    </row>
    <row r="104" spans="2:5">
      <c r="B104" s="242" t="s">
        <v>107</v>
      </c>
      <c r="C104" s="242" t="s">
        <v>218</v>
      </c>
      <c r="D104" s="242" t="s">
        <v>233</v>
      </c>
      <c r="E104" s="242" t="s">
        <v>215</v>
      </c>
    </row>
    <row r="107" spans="2:5">
      <c r="B107" s="218" t="s">
        <v>219</v>
      </c>
    </row>
    <row r="108" spans="2:5">
      <c r="B108" s="212"/>
    </row>
    <row r="109" spans="2:5">
      <c r="B109" s="212" t="s">
        <v>220</v>
      </c>
    </row>
    <row r="110" spans="2:5">
      <c r="B110" s="212" t="s">
        <v>221</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218</v>
      </c>
      <c r="D125" s="241" t="s">
        <v>227</v>
      </c>
      <c r="E125" s="241" t="s">
        <v>218</v>
      </c>
    </row>
    <row r="126" spans="1:15">
      <c r="B126" s="242" t="s">
        <v>116</v>
      </c>
      <c r="C126" s="242" t="s">
        <v>225</v>
      </c>
      <c r="D126" s="242" t="s">
        <v>226</v>
      </c>
      <c r="E126" s="242" t="s">
        <v>226</v>
      </c>
    </row>
    <row r="127" spans="1:15">
      <c r="B127" s="241" t="s">
        <v>122</v>
      </c>
      <c r="C127" s="241" t="s">
        <v>211</v>
      </c>
      <c r="D127" s="241" t="s">
        <v>216</v>
      </c>
      <c r="E127" s="241" t="s">
        <v>213</v>
      </c>
    </row>
    <row r="128" spans="1:15">
      <c r="B128" s="242" t="s">
        <v>118</v>
      </c>
      <c r="C128" s="242" t="s">
        <v>213</v>
      </c>
      <c r="D128" s="242" t="s">
        <v>233</v>
      </c>
      <c r="E128" s="242" t="s">
        <v>215</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243</v>
      </c>
      <c r="E149" s="241" t="s">
        <v>218</v>
      </c>
    </row>
    <row r="150" spans="2:5">
      <c r="B150" s="242" t="s">
        <v>124</v>
      </c>
      <c r="C150" s="242" t="s">
        <v>225</v>
      </c>
      <c r="D150" s="242" t="s">
        <v>217</v>
      </c>
      <c r="E150" s="242" t="s">
        <v>226</v>
      </c>
    </row>
    <row r="151" spans="2:5">
      <c r="B151" s="241" t="s">
        <v>128</v>
      </c>
      <c r="C151" s="241" t="s">
        <v>212</v>
      </c>
      <c r="D151" s="241" t="s">
        <v>243</v>
      </c>
      <c r="E151" s="241" t="s">
        <v>218</v>
      </c>
    </row>
    <row r="152" spans="2:5">
      <c r="B152" s="242" t="s">
        <v>32</v>
      </c>
      <c r="C152" s="242" t="s">
        <v>226</v>
      </c>
      <c r="D152" s="242" t="s">
        <v>213</v>
      </c>
      <c r="E152" s="242" t="s">
        <v>226</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234</v>
      </c>
      <c r="D173" s="241" t="s">
        <v>217</v>
      </c>
      <c r="E173" s="241" t="s">
        <v>226</v>
      </c>
    </row>
    <row r="174" spans="1:15">
      <c r="B174" s="242" t="s">
        <v>242</v>
      </c>
      <c r="C174" s="242" t="s">
        <v>226</v>
      </c>
      <c r="D174" s="242" t="s">
        <v>218</v>
      </c>
      <c r="E174" s="242" t="s">
        <v>211</v>
      </c>
    </row>
    <row r="175" spans="1:15">
      <c r="B175" s="241" t="s">
        <v>244</v>
      </c>
      <c r="C175" s="241" t="s">
        <v>212</v>
      </c>
      <c r="D175" s="241" t="s">
        <v>314</v>
      </c>
      <c r="E175" s="241" t="s">
        <v>218</v>
      </c>
    </row>
    <row r="176" spans="1:15">
      <c r="B176" s="242" t="s">
        <v>240</v>
      </c>
      <c r="C176" s="242" t="s">
        <v>211</v>
      </c>
      <c r="D176" s="242" t="s">
        <v>212</v>
      </c>
      <c r="E176" s="242" t="s">
        <v>211</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15">
      <c r="B194" s="218" t="s">
        <v>249</v>
      </c>
    </row>
    <row r="196" spans="2:15">
      <c r="B196" s="240" t="s">
        <v>207</v>
      </c>
      <c r="C196" s="240" t="s">
        <v>208</v>
      </c>
      <c r="D196" s="240" t="s">
        <v>209</v>
      </c>
      <c r="E196" s="240" t="s">
        <v>210</v>
      </c>
    </row>
    <row r="197" spans="2:15">
      <c r="B197" s="241" t="s">
        <v>178</v>
      </c>
      <c r="C197" s="241" t="s">
        <v>234</v>
      </c>
      <c r="D197" s="241" t="s">
        <v>213</v>
      </c>
      <c r="E197" s="241" t="s">
        <v>226</v>
      </c>
    </row>
    <row r="198" spans="2:15">
      <c r="B198" s="242" t="s">
        <v>250</v>
      </c>
      <c r="C198" s="242" t="s">
        <v>226</v>
      </c>
      <c r="D198" s="242" t="s">
        <v>213</v>
      </c>
      <c r="E198" s="242" t="s">
        <v>217</v>
      </c>
    </row>
    <row r="199" spans="2:15">
      <c r="B199" s="241" t="s">
        <v>251</v>
      </c>
      <c r="C199" s="241" t="s">
        <v>218</v>
      </c>
      <c r="D199" s="241" t="s">
        <v>243</v>
      </c>
      <c r="E199" s="241" t="s">
        <v>215</v>
      </c>
    </row>
    <row r="200" spans="2:15">
      <c r="B200" s="242" t="s">
        <v>248</v>
      </c>
      <c r="C200" s="242" t="s">
        <v>215</v>
      </c>
      <c r="D200" s="242" t="s">
        <v>227</v>
      </c>
      <c r="E200" s="242" t="s">
        <v>215</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260</v>
      </c>
    </row>
    <row r="218" spans="1:10">
      <c r="B218" s="218" t="s">
        <v>258</v>
      </c>
    </row>
    <row r="220" spans="1:10">
      <c r="B220" s="240" t="s">
        <v>207</v>
      </c>
      <c r="C220" s="240" t="s">
        <v>208</v>
      </c>
      <c r="D220" s="240" t="s">
        <v>209</v>
      </c>
      <c r="E220" s="240" t="s">
        <v>210</v>
      </c>
    </row>
    <row r="221" spans="1:10">
      <c r="B221" s="241" t="s">
        <v>257</v>
      </c>
      <c r="C221" s="241" t="s">
        <v>234</v>
      </c>
      <c r="D221" s="241" t="s">
        <v>213</v>
      </c>
      <c r="E221" s="241" t="s">
        <v>211</v>
      </c>
    </row>
    <row r="222" spans="1:10">
      <c r="B222" s="242" t="s">
        <v>259</v>
      </c>
      <c r="C222" s="242" t="s">
        <v>212</v>
      </c>
      <c r="D222" s="242" t="s">
        <v>252</v>
      </c>
      <c r="E222" s="242" t="s">
        <v>212</v>
      </c>
    </row>
    <row r="223" spans="1:10">
      <c r="B223" s="241" t="s">
        <v>182</v>
      </c>
      <c r="C223" s="241" t="s">
        <v>211</v>
      </c>
      <c r="D223" s="241" t="s">
        <v>215</v>
      </c>
      <c r="E223" s="241" t="s">
        <v>211</v>
      </c>
    </row>
    <row r="224" spans="1:10">
      <c r="B224" s="242" t="s">
        <v>260</v>
      </c>
      <c r="C224" s="242" t="s">
        <v>217</v>
      </c>
      <c r="D224" s="242" t="s">
        <v>215</v>
      </c>
      <c r="E224" s="242" t="s">
        <v>211</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0">
      <c r="B242" s="218" t="s">
        <v>267</v>
      </c>
    </row>
    <row r="244" spans="2:10">
      <c r="B244" s="240" t="s">
        <v>207</v>
      </c>
      <c r="C244" s="240" t="s">
        <v>208</v>
      </c>
      <c r="D244" s="240" t="s">
        <v>209</v>
      </c>
      <c r="E244" s="240" t="s">
        <v>210</v>
      </c>
    </row>
    <row r="245" spans="2:10">
      <c r="B245" s="241" t="s">
        <v>268</v>
      </c>
      <c r="C245" s="241" t="s">
        <v>211</v>
      </c>
      <c r="D245" s="241" t="s">
        <v>218</v>
      </c>
      <c r="E245" s="241" t="s">
        <v>211</v>
      </c>
    </row>
    <row r="246" spans="2:10">
      <c r="B246" s="242" t="s">
        <v>265</v>
      </c>
      <c r="C246" s="242" t="s">
        <v>234</v>
      </c>
      <c r="D246" s="242" t="s">
        <v>217</v>
      </c>
      <c r="E246" s="242" t="s">
        <v>234</v>
      </c>
    </row>
    <row r="247" spans="2:10">
      <c r="B247" s="241" t="s">
        <v>266</v>
      </c>
      <c r="C247" s="241" t="s">
        <v>226</v>
      </c>
      <c r="D247" s="241" t="s">
        <v>215</v>
      </c>
      <c r="E247" s="241" t="s">
        <v>226</v>
      </c>
    </row>
    <row r="248" spans="2:10">
      <c r="B248" s="242" t="s">
        <v>269</v>
      </c>
      <c r="C248" s="242" t="s">
        <v>212</v>
      </c>
      <c r="D248" s="242" t="s">
        <v>320</v>
      </c>
      <c r="E248" s="242" t="s">
        <v>218</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234</v>
      </c>
      <c r="D268" s="241" t="s">
        <v>213</v>
      </c>
      <c r="E268" s="241" t="s">
        <v>211</v>
      </c>
    </row>
    <row r="269" spans="1:5">
      <c r="B269" s="242" t="s">
        <v>200</v>
      </c>
      <c r="C269" s="242" t="s">
        <v>234</v>
      </c>
      <c r="D269" s="242" t="s">
        <v>234</v>
      </c>
      <c r="E269" s="242" t="s">
        <v>234</v>
      </c>
    </row>
    <row r="270" spans="1:5">
      <c r="B270" s="241" t="s">
        <v>276</v>
      </c>
      <c r="C270" s="241" t="s">
        <v>213</v>
      </c>
      <c r="D270" s="241" t="s">
        <v>243</v>
      </c>
      <c r="E270" s="241" t="s">
        <v>218</v>
      </c>
    </row>
    <row r="271" spans="1:5">
      <c r="B271" s="242" t="s">
        <v>277</v>
      </c>
      <c r="C271" s="242" t="s">
        <v>212</v>
      </c>
      <c r="D271" s="242" t="s">
        <v>314</v>
      </c>
      <c r="E271" s="242" t="s">
        <v>218</v>
      </c>
    </row>
    <row r="274" spans="2:15">
      <c r="B274" s="218" t="s">
        <v>278</v>
      </c>
    </row>
    <row r="275" spans="2:15">
      <c r="B275" s="212"/>
    </row>
    <row r="276" spans="2:15">
      <c r="B276" s="212" t="s">
        <v>353</v>
      </c>
    </row>
    <row r="279" spans="2:15">
      <c r="B279" s="243"/>
      <c r="C279" s="243"/>
      <c r="D279" s="243"/>
      <c r="E279" s="243"/>
      <c r="F279" s="243"/>
      <c r="G279" s="243"/>
      <c r="H279" s="243"/>
      <c r="I279" s="243"/>
      <c r="J279" s="243"/>
      <c r="K279" s="243"/>
      <c r="L279" s="244"/>
      <c r="M279" s="243"/>
      <c r="N279" s="243"/>
      <c r="O279" s="243"/>
    </row>
    <row r="284" spans="2:15">
      <c r="B284" s="206" t="s">
        <v>281</v>
      </c>
    </row>
    <row r="286" spans="2:15">
      <c r="B286" s="245" t="s">
        <v>282</v>
      </c>
    </row>
    <row r="287" spans="2:15">
      <c r="B287" s="245"/>
    </row>
    <row r="289" spans="2:2">
      <c r="B289" s="245" t="s">
        <v>283</v>
      </c>
    </row>
    <row r="290" spans="2:2">
      <c r="B290" s="245"/>
    </row>
    <row r="292" spans="2:2">
      <c r="B292" s="212"/>
    </row>
    <row r="293" spans="2:2">
      <c r="B293" s="222" t="s">
        <v>284</v>
      </c>
    </row>
    <row r="294" spans="2:2">
      <c r="B294" s="246" t="s">
        <v>285</v>
      </c>
    </row>
    <row r="295" spans="2:2">
      <c r="B295" s="246" t="s">
        <v>286</v>
      </c>
    </row>
    <row r="296" spans="2:2">
      <c r="B296" s="246" t="s">
        <v>287</v>
      </c>
    </row>
    <row r="297" spans="2:2">
      <c r="B297" s="246" t="s">
        <v>288</v>
      </c>
    </row>
    <row r="298" spans="2:2">
      <c r="B298" s="222" t="s">
        <v>289</v>
      </c>
    </row>
    <row r="299" spans="2:2">
      <c r="B299" s="246" t="s">
        <v>290</v>
      </c>
    </row>
    <row r="300" spans="2:2">
      <c r="B300" s="246" t="s">
        <v>291</v>
      </c>
    </row>
    <row r="301" spans="2:2">
      <c r="B301" s="246" t="s">
        <v>292</v>
      </c>
    </row>
    <row r="302" spans="2:2">
      <c r="B302" s="222" t="s">
        <v>293</v>
      </c>
    </row>
    <row r="303" spans="2:2">
      <c r="B303" s="246" t="s">
        <v>294</v>
      </c>
    </row>
    <row r="304" spans="2:2">
      <c r="B304" s="246" t="s">
        <v>295</v>
      </c>
    </row>
    <row r="305" spans="2:2">
      <c r="B305" s="246" t="s">
        <v>296</v>
      </c>
    </row>
    <row r="306" spans="2:2">
      <c r="B306" s="222" t="s">
        <v>297</v>
      </c>
    </row>
    <row r="307" spans="2:2">
      <c r="B307" s="246" t="s">
        <v>298</v>
      </c>
    </row>
    <row r="309" spans="2:2">
      <c r="B309"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sheetPr enableFormatConditionsCalculation="0">
    <tabColor indexed="10"/>
    <pageSetUpPr fitToPage="1"/>
  </sheetPr>
  <dimension ref="A1:BA114"/>
  <sheetViews>
    <sheetView topLeftCell="A76" workbookViewId="0">
      <selection activeCell="R94" sqref="R94:S94"/>
    </sheetView>
  </sheetViews>
  <sheetFormatPr defaultColWidth="0" defaultRowHeight="12.75" zeroHeight="1"/>
  <cols>
    <col min="1" max="1" width="3.85546875" style="35" customWidth="1"/>
    <col min="2" max="2" width="3.85546875" style="36" customWidth="1"/>
    <col min="3" max="3" width="6.28515625" style="37" customWidth="1"/>
    <col min="4" max="4" width="5.85546875" style="36" customWidth="1"/>
    <col min="5" max="5" width="3.7109375" style="36" customWidth="1"/>
    <col min="6" max="6" width="15.42578125" style="36" customWidth="1"/>
    <col min="7" max="7" width="3.28515625" style="35" customWidth="1"/>
    <col min="8" max="8" width="1.85546875" style="38" customWidth="1"/>
    <col min="9" max="9" width="3" style="35" customWidth="1"/>
    <col min="10" max="10" width="15.42578125" style="36" customWidth="1"/>
    <col min="11" max="11" width="3.7109375" style="36" customWidth="1"/>
    <col min="12" max="12" width="3.42578125" style="36" customWidth="1"/>
    <col min="13" max="13" width="9.140625" style="38" customWidth="1"/>
    <col min="14" max="14" width="12.42578125" style="39" customWidth="1"/>
    <col min="15" max="17" width="0" style="39" hidden="1"/>
    <col min="18" max="18" width="2.7109375" style="39" customWidth="1"/>
    <col min="19" max="19" width="12.28515625" style="39" customWidth="1"/>
    <col min="20" max="20" width="3.7109375" style="39" customWidth="1"/>
    <col min="21" max="21" width="3.140625" style="39" customWidth="1"/>
    <col min="22" max="22" width="2.5703125" style="39" customWidth="1"/>
    <col min="23" max="24" width="2.28515625" style="39" customWidth="1"/>
    <col min="25" max="25" width="4.28515625" style="39" customWidth="1"/>
    <col min="26" max="26" width="4.140625" style="39" customWidth="1"/>
    <col min="27" max="27" width="3.5703125" style="39" customWidth="1"/>
    <col min="28" max="28" width="0.42578125" style="39" customWidth="1"/>
    <col min="29" max="30" width="0" style="40" hidden="1" customWidth="1"/>
    <col min="31" max="31" width="0" style="41" hidden="1" customWidth="1"/>
    <col min="32" max="16384" width="0" style="40" hidden="1"/>
  </cols>
  <sheetData>
    <row r="1" spans="1:53">
      <c r="A1" s="42"/>
      <c r="B1" s="5"/>
      <c r="C1" s="43"/>
      <c r="D1" s="5"/>
      <c r="E1" s="5"/>
      <c r="F1" s="5"/>
      <c r="G1" s="42"/>
      <c r="H1" s="44"/>
      <c r="I1" s="42"/>
      <c r="J1" s="5"/>
      <c r="K1" s="5"/>
      <c r="L1" s="5"/>
      <c r="M1" s="44"/>
      <c r="N1" s="45"/>
      <c r="O1" s="45"/>
      <c r="P1" s="45"/>
      <c r="Q1" s="45"/>
      <c r="R1" s="45"/>
      <c r="S1" s="45"/>
      <c r="T1" s="45"/>
      <c r="U1" s="45"/>
      <c r="V1" s="45"/>
      <c r="W1" s="45"/>
      <c r="X1" s="45"/>
      <c r="Y1" s="45"/>
      <c r="Z1" s="45"/>
      <c r="AA1" s="45"/>
      <c r="AB1" s="45"/>
      <c r="AZ1" s="46"/>
      <c r="BA1" s="46"/>
    </row>
    <row r="2" spans="1:53">
      <c r="A2" s="42"/>
      <c r="B2" s="5"/>
      <c r="C2" s="43"/>
      <c r="D2" s="5"/>
      <c r="E2" s="5"/>
      <c r="F2" s="5"/>
      <c r="G2" s="42"/>
      <c r="H2" s="44"/>
      <c r="I2" s="42"/>
      <c r="J2" s="5"/>
      <c r="K2" s="5"/>
      <c r="L2" s="5"/>
      <c r="M2" s="44"/>
      <c r="N2" s="45"/>
      <c r="O2" s="45"/>
      <c r="P2" s="45"/>
      <c r="Q2" s="45"/>
      <c r="R2" s="45"/>
      <c r="S2" s="45"/>
      <c r="T2" s="45"/>
      <c r="U2" s="45"/>
      <c r="V2" s="45"/>
      <c r="W2" s="45"/>
      <c r="X2" s="45"/>
      <c r="Y2" s="45"/>
      <c r="Z2" s="45"/>
      <c r="AA2" s="45"/>
      <c r="AB2" s="45"/>
      <c r="AZ2" s="46"/>
      <c r="BA2" s="46"/>
    </row>
    <row r="3" spans="1:53">
      <c r="A3" s="42"/>
      <c r="B3" s="5"/>
      <c r="C3" s="43"/>
      <c r="D3" s="5"/>
      <c r="E3" s="5"/>
      <c r="F3" s="5"/>
      <c r="G3" s="42"/>
      <c r="H3" s="44"/>
      <c r="I3" s="42"/>
      <c r="J3" s="5"/>
      <c r="K3" s="5"/>
      <c r="L3" s="5"/>
      <c r="M3" s="44"/>
      <c r="N3" s="45"/>
      <c r="O3" s="45"/>
      <c r="P3" s="45"/>
      <c r="Q3" s="45"/>
      <c r="R3" s="45"/>
      <c r="S3" s="45"/>
      <c r="T3" s="45"/>
      <c r="U3" s="45"/>
      <c r="V3" s="45"/>
      <c r="W3" s="45"/>
      <c r="X3" s="45"/>
      <c r="Y3" s="45"/>
      <c r="Z3" s="45"/>
      <c r="AA3" s="45"/>
      <c r="AB3" s="45"/>
      <c r="AZ3" s="46"/>
      <c r="BA3" s="46"/>
    </row>
    <row r="4" spans="1:53">
      <c r="A4" s="42"/>
      <c r="B4" s="5"/>
      <c r="C4" s="43"/>
      <c r="D4" s="5"/>
      <c r="E4" s="5"/>
      <c r="F4" s="5"/>
      <c r="G4" s="42"/>
      <c r="H4" s="44"/>
      <c r="I4" s="42"/>
      <c r="J4" s="5"/>
      <c r="K4" s="5"/>
      <c r="L4" s="5"/>
      <c r="M4" s="44"/>
      <c r="N4" s="45"/>
      <c r="O4" s="45"/>
      <c r="P4" s="45"/>
      <c r="Q4" s="45"/>
      <c r="R4" s="45"/>
      <c r="S4" s="45"/>
      <c r="T4" s="45"/>
      <c r="U4" s="45"/>
      <c r="V4" s="45"/>
      <c r="W4" s="45"/>
      <c r="X4" s="45"/>
      <c r="Y4" s="45"/>
      <c r="Z4" s="45"/>
      <c r="AA4" s="45"/>
      <c r="AB4" s="45"/>
      <c r="AZ4" s="46"/>
      <c r="BA4" s="46"/>
    </row>
    <row r="5" spans="1:53">
      <c r="A5" s="42"/>
      <c r="B5" s="5"/>
      <c r="C5" s="43"/>
      <c r="D5" s="5"/>
      <c r="E5" s="5"/>
      <c r="F5" s="5"/>
      <c r="G5" s="42"/>
      <c r="H5" s="44"/>
      <c r="I5" s="42"/>
      <c r="J5" s="5"/>
      <c r="K5" s="5"/>
      <c r="L5" s="5"/>
      <c r="M5" s="44"/>
      <c r="N5" s="45"/>
      <c r="O5" s="45"/>
      <c r="P5" s="45"/>
      <c r="Q5" s="45"/>
      <c r="R5" s="45"/>
      <c r="S5" s="45"/>
      <c r="T5" s="45"/>
      <c r="U5" s="45"/>
      <c r="V5" s="45"/>
      <c r="W5" s="45"/>
      <c r="X5" s="45"/>
      <c r="Y5" s="45"/>
      <c r="Z5" s="45"/>
      <c r="AA5" s="45"/>
      <c r="AB5" s="45"/>
      <c r="AZ5" s="46"/>
      <c r="BA5" s="46"/>
    </row>
    <row r="6" spans="1:53">
      <c r="A6" s="42"/>
      <c r="B6" s="5"/>
      <c r="C6" s="43"/>
      <c r="D6" s="5"/>
      <c r="E6" s="5"/>
      <c r="F6" s="5"/>
      <c r="G6" s="42"/>
      <c r="H6" s="44"/>
      <c r="I6" s="42"/>
      <c r="J6" s="5"/>
      <c r="K6" s="5"/>
      <c r="L6" s="5"/>
      <c r="M6" s="44"/>
      <c r="N6" s="45"/>
      <c r="O6" s="45"/>
      <c r="P6" s="45"/>
      <c r="Q6" s="45"/>
      <c r="R6" s="45"/>
      <c r="S6" s="45"/>
      <c r="T6" s="45"/>
      <c r="U6" s="45"/>
      <c r="V6" s="45"/>
      <c r="W6" s="45"/>
      <c r="X6" s="45"/>
      <c r="Y6" s="45"/>
      <c r="Z6" s="45"/>
      <c r="AA6" s="45"/>
      <c r="AB6" s="45"/>
      <c r="AZ6" s="46"/>
      <c r="BA6" s="46"/>
    </row>
    <row r="7" spans="1:53">
      <c r="A7" s="42"/>
      <c r="B7" s="5"/>
      <c r="C7" s="43"/>
      <c r="D7" s="5"/>
      <c r="E7" s="5"/>
      <c r="F7" s="5"/>
      <c r="G7" s="42"/>
      <c r="H7" s="44"/>
      <c r="I7" s="42"/>
      <c r="J7" s="5"/>
      <c r="K7" s="5"/>
      <c r="L7" s="5"/>
      <c r="M7" s="44"/>
      <c r="N7" s="45"/>
      <c r="O7" s="45"/>
      <c r="P7" s="45"/>
      <c r="Q7" s="45"/>
      <c r="R7" s="45"/>
      <c r="S7" s="45"/>
      <c r="T7" s="45"/>
      <c r="U7" s="45"/>
      <c r="V7" s="45"/>
      <c r="W7" s="45"/>
      <c r="X7" s="45"/>
      <c r="Y7" s="45"/>
      <c r="Z7" s="45"/>
      <c r="AA7" s="45"/>
      <c r="AB7" s="45"/>
      <c r="AZ7" s="46"/>
      <c r="BA7" s="46"/>
    </row>
    <row r="8" spans="1:53">
      <c r="A8" s="42"/>
      <c r="B8" s="5"/>
      <c r="C8" s="43"/>
      <c r="D8" s="5"/>
      <c r="E8" s="5"/>
      <c r="F8" s="5"/>
      <c r="G8" s="42"/>
      <c r="H8" s="44"/>
      <c r="I8" s="42"/>
      <c r="J8" s="5"/>
      <c r="K8" s="5"/>
      <c r="L8" s="5"/>
      <c r="M8" s="44"/>
      <c r="N8" s="45"/>
      <c r="O8" s="45"/>
      <c r="P8" s="45"/>
      <c r="Q8" s="45"/>
      <c r="R8" s="45"/>
      <c r="S8" s="45"/>
      <c r="T8" s="45"/>
      <c r="U8" s="45"/>
      <c r="V8" s="45"/>
      <c r="W8" s="45"/>
      <c r="X8" s="45"/>
      <c r="Y8" s="45"/>
      <c r="Z8" s="45"/>
      <c r="AA8" s="45"/>
      <c r="AB8" s="45"/>
      <c r="AZ8" s="46"/>
      <c r="BA8" s="46"/>
    </row>
    <row r="9" spans="1:53" ht="18">
      <c r="A9" s="47"/>
      <c r="B9" s="48"/>
      <c r="C9" s="49"/>
      <c r="D9" s="50"/>
      <c r="E9" s="51"/>
      <c r="F9" s="52"/>
      <c r="G9" s="53"/>
      <c r="H9" s="54"/>
      <c r="I9" s="53"/>
      <c r="J9" s="50"/>
      <c r="K9" s="55"/>
      <c r="L9" s="50"/>
      <c r="M9" s="54"/>
      <c r="O9" s="45"/>
      <c r="P9" s="45"/>
      <c r="Q9" s="45"/>
      <c r="R9" s="45"/>
      <c r="S9" s="45"/>
      <c r="T9" s="45"/>
      <c r="U9" s="45"/>
      <c r="V9" s="45"/>
      <c r="W9" s="45"/>
      <c r="X9" s="45"/>
      <c r="Y9" s="45"/>
      <c r="Z9" s="45"/>
      <c r="AA9" s="45"/>
      <c r="AZ9" s="46"/>
      <c r="BA9" s="46"/>
    </row>
    <row r="10" spans="1:53">
      <c r="A10" s="56" t="s">
        <v>19</v>
      </c>
      <c r="B10" s="57"/>
      <c r="C10" s="57"/>
      <c r="D10" s="57"/>
      <c r="E10" s="57"/>
      <c r="F10" s="57"/>
      <c r="G10" s="58"/>
      <c r="H10" s="57"/>
      <c r="I10" s="58"/>
      <c r="J10" s="57"/>
      <c r="K10" s="59"/>
      <c r="L10" s="60"/>
      <c r="M10" s="61" t="s">
        <v>20</v>
      </c>
      <c r="R10" s="62" t="str">
        <f>Invulblad!A10</f>
        <v>Groep A</v>
      </c>
      <c r="S10" s="63"/>
      <c r="T10" s="63" t="s">
        <v>21</v>
      </c>
      <c r="U10" s="64" t="s">
        <v>22</v>
      </c>
      <c r="V10" s="64" t="s">
        <v>23</v>
      </c>
      <c r="W10" s="64" t="s">
        <v>24</v>
      </c>
      <c r="X10" s="64" t="s">
        <v>25</v>
      </c>
      <c r="Y10" s="64" t="s">
        <v>26</v>
      </c>
      <c r="Z10" s="64" t="s">
        <v>27</v>
      </c>
      <c r="AA10" s="64" t="s">
        <v>28</v>
      </c>
      <c r="AD10" s="40" t="e">
        <f>#N/A</f>
        <v>#N/A</v>
      </c>
      <c r="AE10" s="41" t="e">
        <f>#N/A</f>
        <v>#N/A</v>
      </c>
    </row>
    <row r="11" spans="1:53">
      <c r="A11" s="65">
        <f>Toernooigegevens!B4</f>
        <v>1</v>
      </c>
      <c r="B11" s="66">
        <f>Toernooigegevens!C4</f>
        <v>40340.666666666664</v>
      </c>
      <c r="C11" s="67">
        <f>Toernooigegevens!D4</f>
        <v>40340.666666666664</v>
      </c>
      <c r="D11" s="68">
        <f>Toernooigegevens!E4</f>
        <v>40340.666666666664</v>
      </c>
      <c r="E11" s="69"/>
      <c r="F11" s="70" t="str">
        <f>Toernooigegevens!G4</f>
        <v>Zuid-Afrika</v>
      </c>
      <c r="G11" s="71">
        <v>1</v>
      </c>
      <c r="H11" s="72" t="s">
        <v>29</v>
      </c>
      <c r="I11" s="71">
        <v>1</v>
      </c>
      <c r="J11" s="70" t="str">
        <f>Toernooigegevens!I4</f>
        <v>Mexico</v>
      </c>
      <c r="K11" s="69"/>
      <c r="L11" s="60"/>
      <c r="M11" s="72">
        <f t="shared" ref="M11:M16" si="0">IF(AND(G11="",I11=""),"",IF(OR(G11="",I11=""),"FOUT",IF(G11&gt;I11,"1",IF(G11=I11,3,2))))</f>
        <v>3</v>
      </c>
      <c r="O11" s="39" t="str">
        <f>RIGHT(Q11)</f>
        <v>A</v>
      </c>
      <c r="P11" s="39">
        <f t="shared" ref="P11:P42" si="1">IF(T11=3,3,0)</f>
        <v>3</v>
      </c>
      <c r="Q11" s="39" t="str">
        <f>CONCATENATE(R11,RIGHT(R10,1))</f>
        <v>1A</v>
      </c>
      <c r="R11" s="73">
        <v>1</v>
      </c>
      <c r="S11" s="74" t="str">
        <f>INDEX('Poule berekeningen'!$C$17:$J$20,MATCH(R11,'Poule berekeningen'!$M$17:$M$20,0),1)</f>
        <v>Uruguay</v>
      </c>
      <c r="T11" s="74">
        <f>SUM(V11:X11)</f>
        <v>3</v>
      </c>
      <c r="U11" s="74">
        <f>INDEX('Poule berekeningen'!$C$17:$J$20,MATCH(R11,'Poule berekeningen'!$M$17:$M$20,0),2)</f>
        <v>7</v>
      </c>
      <c r="V11" s="74">
        <f>INDEX('Poule berekeningen'!$C$17:$J$20,MATCH(R11,'Poule berekeningen'!$M$17:$M$20,0),3)</f>
        <v>2</v>
      </c>
      <c r="W11" s="74">
        <f>INDEX('Poule berekeningen'!$C$17:$J$20,MATCH(R11,'Poule berekeningen'!$M$17:$M$20,0),4)</f>
        <v>1</v>
      </c>
      <c r="X11" s="74">
        <f>INDEX('Poule berekeningen'!$C$17:$J$20,MATCH(R11,'Poule berekeningen'!$M$17:$M$20,0),5)</f>
        <v>0</v>
      </c>
      <c r="Y11" s="74">
        <f>INDEX('Poule berekeningen'!$C$17:$J$20,MATCH(R11,'Poule berekeningen'!$M$17:$M$20,0),6)</f>
        <v>4</v>
      </c>
      <c r="Z11" s="74">
        <f>INDEX('Poule berekeningen'!$C$17:$J$20,MATCH(R11,'Poule berekeningen'!$M$17:$M$20,0),7)</f>
        <v>0</v>
      </c>
      <c r="AA11" s="74">
        <f>INDEX('Poule berekeningen'!$C$17:$J$20,MATCH(R11,'Poule berekeningen'!$M$17:$M$20,0),8)</f>
        <v>4</v>
      </c>
      <c r="AD11" s="40" t="str">
        <f t="shared" ref="AD11:AD16" si="2">CONCATENATE(G11," - ",I11)</f>
        <v>1 - 1</v>
      </c>
      <c r="AE11" s="41">
        <f t="shared" ref="AE11:AE16" si="3">M11</f>
        <v>3</v>
      </c>
      <c r="AM11" s="40">
        <f t="shared" ref="AM11:AM42" si="4">IF(OR(AND(M11&lt;&gt;"",M11&lt;&gt;"FOUT"),A11=""),0,"x")</f>
        <v>0</v>
      </c>
    </row>
    <row r="12" spans="1:53">
      <c r="A12" s="75">
        <f>Toernooigegevens!B5</f>
        <v>2</v>
      </c>
      <c r="B12" s="76">
        <f>Toernooigegevens!C5</f>
        <v>40340.854166666664</v>
      </c>
      <c r="C12" s="77">
        <f>Toernooigegevens!D5</f>
        <v>40340.854166666664</v>
      </c>
      <c r="D12" s="78">
        <f>Toernooigegevens!E5</f>
        <v>40340.854166666664</v>
      </c>
      <c r="E12" s="79"/>
      <c r="F12" s="80" t="str">
        <f>Toernooigegevens!G5</f>
        <v>Uruguay</v>
      </c>
      <c r="G12" s="81">
        <v>0</v>
      </c>
      <c r="H12" s="82" t="s">
        <v>29</v>
      </c>
      <c r="I12" s="81">
        <v>0</v>
      </c>
      <c r="J12" s="80" t="str">
        <f>Toernooigegevens!I5</f>
        <v>Frankrijk</v>
      </c>
      <c r="K12" s="79"/>
      <c r="L12" s="60"/>
      <c r="M12" s="82">
        <f t="shared" si="0"/>
        <v>3</v>
      </c>
      <c r="O12" s="39" t="str">
        <f>RIGHT(Q12)</f>
        <v>A</v>
      </c>
      <c r="P12" s="39">
        <f t="shared" si="1"/>
        <v>3</v>
      </c>
      <c r="Q12" s="39" t="str">
        <f>CONCATENATE(R12,RIGHT(R10,1))</f>
        <v>2A</v>
      </c>
      <c r="R12" s="83">
        <v>2</v>
      </c>
      <c r="S12" s="84" t="str">
        <f>INDEX('Poule berekeningen'!$C$17:$J$20,MATCH(R12,'Poule berekeningen'!$M$17:$M$20,0),1)</f>
        <v>Mexico</v>
      </c>
      <c r="T12" s="84">
        <f>SUM(V12:X12)</f>
        <v>3</v>
      </c>
      <c r="U12" s="84">
        <f>INDEX('Poule berekeningen'!$C$17:$J$20,MATCH(R12,'Poule berekeningen'!$M$17:$M$20,0),2)</f>
        <v>4</v>
      </c>
      <c r="V12" s="84">
        <f>INDEX('Poule berekeningen'!$C$17:$J$20,MATCH(R12,'Poule berekeningen'!$M$17:$M$20,0),3)</f>
        <v>1</v>
      </c>
      <c r="W12" s="84">
        <f>INDEX('Poule berekeningen'!$C$17:$J$20,MATCH(R12,'Poule berekeningen'!$M$17:$M$20,0),4)</f>
        <v>1</v>
      </c>
      <c r="X12" s="84">
        <f>INDEX('Poule berekeningen'!$C$17:$J$20,MATCH(R12,'Poule berekeningen'!$M$17:$M$20,0),5)</f>
        <v>1</v>
      </c>
      <c r="Y12" s="84">
        <f>INDEX('Poule berekeningen'!$C$17:$J$20,MATCH(R12,'Poule berekeningen'!$M$17:$M$20,0),6)</f>
        <v>3</v>
      </c>
      <c r="Z12" s="84">
        <f>INDEX('Poule berekeningen'!$C$17:$J$20,MATCH(R12,'Poule berekeningen'!$M$17:$M$20,0),7)</f>
        <v>2</v>
      </c>
      <c r="AA12" s="84">
        <f>INDEX('Poule berekeningen'!$C$17:$J$20,MATCH(R12,'Poule berekeningen'!$M$17:$M$20,0),8)</f>
        <v>1</v>
      </c>
      <c r="AD12" s="40" t="str">
        <f t="shared" si="2"/>
        <v>0 - 0</v>
      </c>
      <c r="AE12" s="41">
        <f t="shared" si="3"/>
        <v>3</v>
      </c>
      <c r="AM12" s="40">
        <f t="shared" si="4"/>
        <v>0</v>
      </c>
    </row>
    <row r="13" spans="1:53">
      <c r="A13" s="65">
        <f>Toernooigegevens!B6</f>
        <v>17</v>
      </c>
      <c r="B13" s="66">
        <f>Toernooigegevens!C6</f>
        <v>40345.854166666664</v>
      </c>
      <c r="C13" s="67">
        <f>Toernooigegevens!D6</f>
        <v>40345.854166666664</v>
      </c>
      <c r="D13" s="68">
        <f>Toernooigegevens!E6</f>
        <v>40345.854166666664</v>
      </c>
      <c r="E13" s="69"/>
      <c r="F13" s="70" t="str">
        <f>Toernooigegevens!G6</f>
        <v>Zuid-Afrika</v>
      </c>
      <c r="G13" s="71">
        <v>0</v>
      </c>
      <c r="H13" s="72" t="s">
        <v>29</v>
      </c>
      <c r="I13" s="71">
        <v>3</v>
      </c>
      <c r="J13" s="70" t="str">
        <f>Toernooigegevens!I6</f>
        <v>Uruguay</v>
      </c>
      <c r="K13" s="69"/>
      <c r="L13" s="60"/>
      <c r="M13" s="72">
        <f t="shared" si="0"/>
        <v>2</v>
      </c>
      <c r="O13" s="39" t="str">
        <f>RIGHT(Q13)</f>
        <v>A</v>
      </c>
      <c r="P13" s="39">
        <f t="shared" si="1"/>
        <v>3</v>
      </c>
      <c r="Q13" s="39" t="str">
        <f>CONCATENATE(R13,RIGHT(R10,1))</f>
        <v>3A</v>
      </c>
      <c r="R13" s="73">
        <v>3</v>
      </c>
      <c r="S13" s="74" t="str">
        <f>INDEX('Poule berekeningen'!$C$17:$J$20,MATCH(R13,'Poule berekeningen'!$M$17:$M$20,0),1)</f>
        <v>Zuid-Afrika</v>
      </c>
      <c r="T13" s="74">
        <f>SUM(V13:X13)</f>
        <v>3</v>
      </c>
      <c r="U13" s="74">
        <f>INDEX('Poule berekeningen'!$C$17:$J$20,MATCH(R13,'Poule berekeningen'!$M$17:$M$20,0),2)</f>
        <v>4</v>
      </c>
      <c r="V13" s="74">
        <f>INDEX('Poule berekeningen'!$C$17:$J$20,MATCH(R13,'Poule berekeningen'!$M$17:$M$20,0),3)</f>
        <v>1</v>
      </c>
      <c r="W13" s="74">
        <f>INDEX('Poule berekeningen'!$C$17:$J$20,MATCH(R13,'Poule berekeningen'!$M$17:$M$20,0),4)</f>
        <v>1</v>
      </c>
      <c r="X13" s="74">
        <f>INDEX('Poule berekeningen'!$C$17:$J$20,MATCH(R13,'Poule berekeningen'!$M$17:$M$20,0),5)</f>
        <v>1</v>
      </c>
      <c r="Y13" s="74">
        <f>INDEX('Poule berekeningen'!$C$17:$J$20,MATCH(R13,'Poule berekeningen'!$M$17:$M$20,0),6)</f>
        <v>3</v>
      </c>
      <c r="Z13" s="74">
        <f>INDEX('Poule berekeningen'!$C$17:$J$20,MATCH(R13,'Poule berekeningen'!$M$17:$M$20,0),7)</f>
        <v>5</v>
      </c>
      <c r="AA13" s="74">
        <f>INDEX('Poule berekeningen'!$C$17:$J$20,MATCH(R13,'Poule berekeningen'!$M$17:$M$20,0),8)</f>
        <v>-2</v>
      </c>
      <c r="AD13" s="40" t="str">
        <f t="shared" si="2"/>
        <v>0 - 3</v>
      </c>
      <c r="AE13" s="41">
        <f t="shared" si="3"/>
        <v>2</v>
      </c>
      <c r="AM13" s="40">
        <f t="shared" si="4"/>
        <v>0</v>
      </c>
    </row>
    <row r="14" spans="1:53">
      <c r="A14" s="75">
        <f>Toernooigegevens!B7</f>
        <v>18</v>
      </c>
      <c r="B14" s="76">
        <f>Toernooigegevens!C7</f>
        <v>40346.854166666664</v>
      </c>
      <c r="C14" s="77">
        <f>Toernooigegevens!D7</f>
        <v>40346.854166666664</v>
      </c>
      <c r="D14" s="78">
        <f>Toernooigegevens!E7</f>
        <v>40346.854166666664</v>
      </c>
      <c r="E14" s="79"/>
      <c r="F14" s="80" t="str">
        <f>Toernooigegevens!G7</f>
        <v>Frankrijk</v>
      </c>
      <c r="G14" s="81">
        <v>0</v>
      </c>
      <c r="H14" s="82" t="s">
        <v>29</v>
      </c>
      <c r="I14" s="81">
        <v>2</v>
      </c>
      <c r="J14" s="80" t="str">
        <f>Toernooigegevens!I7</f>
        <v>Mexico</v>
      </c>
      <c r="K14" s="79"/>
      <c r="L14" s="60"/>
      <c r="M14" s="82">
        <f t="shared" si="0"/>
        <v>2</v>
      </c>
      <c r="O14" s="39" t="str">
        <f>RIGHT(Q14)</f>
        <v>A</v>
      </c>
      <c r="P14" s="39">
        <f t="shared" si="1"/>
        <v>3</v>
      </c>
      <c r="Q14" s="39" t="str">
        <f>CONCATENATE(R14,RIGHT(R10,1))</f>
        <v>4A</v>
      </c>
      <c r="R14" s="83">
        <v>4</v>
      </c>
      <c r="S14" s="84" t="str">
        <f>INDEX('Poule berekeningen'!$C$17:$J$20,MATCH(R14,'Poule berekeningen'!$M$17:$M$20,0),1)</f>
        <v>Frankrijk</v>
      </c>
      <c r="T14" s="84">
        <f>SUM(V14:X14)</f>
        <v>3</v>
      </c>
      <c r="U14" s="84">
        <f>INDEX('Poule berekeningen'!$C$17:$J$20,MATCH(R14,'Poule berekeningen'!$M$17:$M$20,0),2)</f>
        <v>1</v>
      </c>
      <c r="V14" s="84">
        <f>INDEX('Poule berekeningen'!$C$17:$J$20,MATCH(R14,'Poule berekeningen'!$M$17:$M$20,0),3)</f>
        <v>0</v>
      </c>
      <c r="W14" s="84">
        <f>INDEX('Poule berekeningen'!$C$17:$J$20,MATCH(R14,'Poule berekeningen'!$M$17:$M$20,0),4)</f>
        <v>1</v>
      </c>
      <c r="X14" s="84">
        <f>INDEX('Poule berekeningen'!$C$17:$J$20,MATCH(R14,'Poule berekeningen'!$M$17:$M$20,0),5)</f>
        <v>2</v>
      </c>
      <c r="Y14" s="84">
        <f>INDEX('Poule berekeningen'!$C$17:$J$20,MATCH(R14,'Poule berekeningen'!$M$17:$M$20,0),6)</f>
        <v>1</v>
      </c>
      <c r="Z14" s="84">
        <f>INDEX('Poule berekeningen'!$C$17:$J$20,MATCH(R14,'Poule berekeningen'!$M$17:$M$20,0),7)</f>
        <v>4</v>
      </c>
      <c r="AA14" s="84">
        <f>INDEX('Poule berekeningen'!$C$17:$J$20,MATCH(R14,'Poule berekeningen'!$M$17:$M$20,0),8)</f>
        <v>-3</v>
      </c>
      <c r="AD14" s="40" t="str">
        <f t="shared" si="2"/>
        <v>0 - 2</v>
      </c>
      <c r="AE14" s="41">
        <f t="shared" si="3"/>
        <v>2</v>
      </c>
      <c r="AM14" s="40">
        <f t="shared" si="4"/>
        <v>0</v>
      </c>
    </row>
    <row r="15" spans="1:53">
      <c r="A15" s="65">
        <f>Toernooigegevens!B8</f>
        <v>33</v>
      </c>
      <c r="B15" s="66">
        <f>Toernooigegevens!C8</f>
        <v>40351.666666666664</v>
      </c>
      <c r="C15" s="67">
        <f>Toernooigegevens!D8</f>
        <v>40351.666666666664</v>
      </c>
      <c r="D15" s="68">
        <f>Toernooigegevens!E8</f>
        <v>40351.666666666664</v>
      </c>
      <c r="E15" s="69"/>
      <c r="F15" s="70" t="str">
        <f>Toernooigegevens!G8</f>
        <v>Mexico</v>
      </c>
      <c r="G15" s="71">
        <v>0</v>
      </c>
      <c r="H15" s="72" t="s">
        <v>29</v>
      </c>
      <c r="I15" s="71">
        <v>1</v>
      </c>
      <c r="J15" s="70" t="str">
        <f>Toernooigegevens!I8</f>
        <v>Uruguay</v>
      </c>
      <c r="K15" s="69"/>
      <c r="L15" s="60"/>
      <c r="M15" s="72">
        <f t="shared" si="0"/>
        <v>2</v>
      </c>
      <c r="P15" s="39">
        <f t="shared" si="1"/>
        <v>0</v>
      </c>
      <c r="R15" s="85" t="str">
        <f>IF(COUNT(G11:I16)=12,IF(COUNT(T11:T14)&lt;4,"Er is loting vereist in deze poule",""),"")</f>
        <v/>
      </c>
      <c r="S15" s="86"/>
      <c r="T15" s="86"/>
      <c r="U15" s="86"/>
      <c r="V15" s="86"/>
      <c r="W15" s="86"/>
      <c r="X15" s="86"/>
      <c r="Y15" s="86"/>
      <c r="Z15" s="86"/>
      <c r="AA15" s="86"/>
      <c r="AD15" s="40" t="str">
        <f t="shared" si="2"/>
        <v>0 - 1</v>
      </c>
      <c r="AE15" s="41">
        <f t="shared" si="3"/>
        <v>2</v>
      </c>
      <c r="AM15" s="40">
        <f t="shared" si="4"/>
        <v>0</v>
      </c>
    </row>
    <row r="16" spans="1:53">
      <c r="A16" s="75">
        <f>Toernooigegevens!B9</f>
        <v>34</v>
      </c>
      <c r="B16" s="76">
        <f>Toernooigegevens!C9</f>
        <v>40351.666666666664</v>
      </c>
      <c r="C16" s="77">
        <f>Toernooigegevens!D9</f>
        <v>40351.666666666664</v>
      </c>
      <c r="D16" s="78">
        <f>Toernooigegevens!E9</f>
        <v>40351.666666666664</v>
      </c>
      <c r="E16" s="79"/>
      <c r="F16" s="80" t="str">
        <f>Toernooigegevens!G9</f>
        <v>Frankrijk</v>
      </c>
      <c r="G16" s="81">
        <v>1</v>
      </c>
      <c r="H16" s="82" t="s">
        <v>29</v>
      </c>
      <c r="I16" s="81">
        <v>2</v>
      </c>
      <c r="J16" s="80" t="str">
        <f>Toernooigegevens!I9</f>
        <v>Zuid-Afrika</v>
      </c>
      <c r="K16" s="79"/>
      <c r="L16" s="60"/>
      <c r="M16" s="82">
        <f t="shared" si="0"/>
        <v>2</v>
      </c>
      <c r="P16" s="39">
        <f t="shared" si="1"/>
        <v>0</v>
      </c>
      <c r="R16" s="87"/>
      <c r="S16" s="86"/>
      <c r="T16" s="86"/>
      <c r="U16" s="86"/>
      <c r="V16" s="86"/>
      <c r="W16" s="86"/>
      <c r="X16" s="86"/>
      <c r="Y16" s="86"/>
      <c r="Z16" s="86"/>
      <c r="AA16" s="86"/>
      <c r="AD16" s="40" t="str">
        <f t="shared" si="2"/>
        <v>1 - 2</v>
      </c>
      <c r="AE16" s="41">
        <f t="shared" si="3"/>
        <v>2</v>
      </c>
      <c r="AM16" s="40">
        <f t="shared" si="4"/>
        <v>0</v>
      </c>
    </row>
    <row r="17" spans="1:39">
      <c r="A17" s="88"/>
      <c r="B17" s="60"/>
      <c r="C17" s="89"/>
      <c r="D17" s="90"/>
      <c r="E17" s="91"/>
      <c r="F17" s="60"/>
      <c r="G17" s="88"/>
      <c r="H17" s="92"/>
      <c r="I17" s="88"/>
      <c r="J17" s="60"/>
      <c r="K17" s="91"/>
      <c r="L17" s="60"/>
      <c r="M17" s="92"/>
      <c r="P17" s="39">
        <f t="shared" si="1"/>
        <v>0</v>
      </c>
      <c r="R17" s="87"/>
      <c r="S17" s="86"/>
      <c r="T17" s="86"/>
      <c r="U17" s="86"/>
      <c r="V17" s="86"/>
      <c r="W17" s="86"/>
      <c r="X17" s="86"/>
      <c r="Y17" s="86"/>
      <c r="Z17" s="86"/>
      <c r="AA17" s="86"/>
      <c r="AM17" s="40">
        <f t="shared" si="4"/>
        <v>0</v>
      </c>
    </row>
    <row r="18" spans="1:39">
      <c r="A18" s="56" t="s">
        <v>30</v>
      </c>
      <c r="B18" s="57"/>
      <c r="C18" s="57"/>
      <c r="D18" s="57"/>
      <c r="E18" s="57"/>
      <c r="F18" s="57"/>
      <c r="G18" s="58"/>
      <c r="H18" s="57"/>
      <c r="I18" s="58"/>
      <c r="J18" s="57"/>
      <c r="K18" s="59"/>
      <c r="L18" s="60"/>
      <c r="M18" s="61" t="s">
        <v>20</v>
      </c>
      <c r="P18" s="39">
        <f t="shared" si="1"/>
        <v>0</v>
      </c>
      <c r="R18" s="62" t="str">
        <f>Invulblad!A18</f>
        <v>Groep B</v>
      </c>
      <c r="S18" s="93"/>
      <c r="T18" s="63" t="s">
        <v>21</v>
      </c>
      <c r="U18" s="64" t="s">
        <v>22</v>
      </c>
      <c r="V18" s="64" t="s">
        <v>23</v>
      </c>
      <c r="W18" s="64" t="s">
        <v>24</v>
      </c>
      <c r="X18" s="64" t="s">
        <v>25</v>
      </c>
      <c r="Y18" s="64" t="s">
        <v>26</v>
      </c>
      <c r="Z18" s="64" t="s">
        <v>27</v>
      </c>
      <c r="AA18" s="64" t="s">
        <v>28</v>
      </c>
      <c r="AM18" s="40">
        <f t="shared" si="4"/>
        <v>0</v>
      </c>
    </row>
    <row r="19" spans="1:39">
      <c r="A19" s="65">
        <f>Toernooigegevens!B12</f>
        <v>3</v>
      </c>
      <c r="B19" s="66">
        <f>Toernooigegevens!C12</f>
        <v>40341.666666666664</v>
      </c>
      <c r="C19" s="67">
        <f>Toernooigegevens!D12</f>
        <v>40341.666666666664</v>
      </c>
      <c r="D19" s="68">
        <f>Toernooigegevens!E12</f>
        <v>40341.666666666664</v>
      </c>
      <c r="E19" s="69"/>
      <c r="F19" s="70" t="str">
        <f>Toernooigegevens!G12</f>
        <v>Argentinië</v>
      </c>
      <c r="G19" s="71">
        <v>1</v>
      </c>
      <c r="H19" s="72" t="s">
        <v>29</v>
      </c>
      <c r="I19" s="71">
        <v>0</v>
      </c>
      <c r="J19" s="70" t="str">
        <f>Toernooigegevens!I12</f>
        <v>Nigeria</v>
      </c>
      <c r="K19" s="69"/>
      <c r="L19" s="60"/>
      <c r="M19" s="72" t="str">
        <f t="shared" ref="M19:M24" si="5">IF(AND(G19="",I19=""),"",IF(OR(G19="",I19=""),"FOUT",IF(G19&gt;I19,"1",IF(G19=I19,3,2))))</f>
        <v>1</v>
      </c>
      <c r="O19" s="39" t="str">
        <f>RIGHT(Q19)</f>
        <v>B</v>
      </c>
      <c r="P19" s="39">
        <f t="shared" si="1"/>
        <v>3</v>
      </c>
      <c r="Q19" s="39" t="str">
        <f>CONCATENATE(R19,RIGHT(R18,1))</f>
        <v>1B</v>
      </c>
      <c r="R19" s="73">
        <v>1</v>
      </c>
      <c r="S19" s="74" t="str">
        <f>INDEX('Poule berekeningen'!$C$32:$J$35,MATCH(R19,'Poule berekeningen'!$M$32:$M$35,0),1)</f>
        <v>Argentinië</v>
      </c>
      <c r="T19" s="74">
        <f>SUM(V19:X19)</f>
        <v>3</v>
      </c>
      <c r="U19" s="74">
        <f>INDEX('Poule berekeningen'!$C$32:$J$35,MATCH(R19,'Poule berekeningen'!$M$32:$M$35,0),2)</f>
        <v>9</v>
      </c>
      <c r="V19" s="74">
        <f>INDEX('Poule berekeningen'!$C$32:$J$35,MATCH(R19,'Poule berekeningen'!$M$32:$M$35,0),3)</f>
        <v>3</v>
      </c>
      <c r="W19" s="74">
        <f>INDEX('Poule berekeningen'!$C$32:$J$35,MATCH(R19,'Poule berekeningen'!$M$32:$M$35,0),4)</f>
        <v>0</v>
      </c>
      <c r="X19" s="74">
        <f>INDEX('Poule berekeningen'!$C$32:$J$35,MATCH(R19,'Poule berekeningen'!$M$32:$M$35,0),5)</f>
        <v>0</v>
      </c>
      <c r="Y19" s="74">
        <f>INDEX('Poule berekeningen'!$C$32:$J$35,MATCH(R19,'Poule berekeningen'!$M$32:$M$35,0),6)</f>
        <v>7</v>
      </c>
      <c r="Z19" s="74">
        <f>INDEX('Poule berekeningen'!$C$32:$J$35,MATCH(R19,'Poule berekeningen'!$M$32:$M$35,0),7)</f>
        <v>1</v>
      </c>
      <c r="AA19" s="74">
        <f>INDEX('Poule berekeningen'!$C$32:$J$35,MATCH(R19,'Poule berekeningen'!$M$32:$M$35,0),8)</f>
        <v>6</v>
      </c>
      <c r="AD19" s="40" t="str">
        <f t="shared" ref="AD19:AD24" si="6">CONCATENATE(G19," - ",I19)</f>
        <v>1 - 0</v>
      </c>
      <c r="AE19" s="41" t="str">
        <f t="shared" ref="AE19:AE24" si="7">M19</f>
        <v>1</v>
      </c>
      <c r="AM19" s="40">
        <f t="shared" si="4"/>
        <v>0</v>
      </c>
    </row>
    <row r="20" spans="1:39">
      <c r="A20" s="75">
        <f>Toernooigegevens!B13</f>
        <v>4</v>
      </c>
      <c r="B20" s="76">
        <f>Toernooigegevens!C13</f>
        <v>40341.5625</v>
      </c>
      <c r="C20" s="77">
        <f>Toernooigegevens!D13</f>
        <v>40341.5625</v>
      </c>
      <c r="D20" s="78">
        <f>Toernooigegevens!E13</f>
        <v>40341.5625</v>
      </c>
      <c r="E20" s="79"/>
      <c r="F20" s="80" t="str">
        <f>Toernooigegevens!G13</f>
        <v>Zuid-Korea</v>
      </c>
      <c r="G20" s="81">
        <v>2</v>
      </c>
      <c r="H20" s="82" t="s">
        <v>29</v>
      </c>
      <c r="I20" s="81">
        <v>0</v>
      </c>
      <c r="J20" s="80" t="str">
        <f>Toernooigegevens!I13</f>
        <v>Griekenland</v>
      </c>
      <c r="K20" s="79"/>
      <c r="L20" s="60"/>
      <c r="M20" s="82" t="str">
        <f t="shared" si="5"/>
        <v>1</v>
      </c>
      <c r="O20" s="39" t="str">
        <f>RIGHT(Q20)</f>
        <v>B</v>
      </c>
      <c r="P20" s="39">
        <f t="shared" si="1"/>
        <v>3</v>
      </c>
      <c r="Q20" s="39" t="str">
        <f>CONCATENATE(R20,RIGHT(R18,1))</f>
        <v>2B</v>
      </c>
      <c r="R20" s="83">
        <v>2</v>
      </c>
      <c r="S20" s="84" t="str">
        <f>INDEX('Poule berekeningen'!$C$32:$J$35,MATCH(R20,'Poule berekeningen'!$M$32:$M$35,0),1)</f>
        <v>Zuid-Korea</v>
      </c>
      <c r="T20" s="84">
        <f>SUM(V20:X20)</f>
        <v>3</v>
      </c>
      <c r="U20" s="84">
        <f>INDEX('Poule berekeningen'!$C$32:$J$35,MATCH(R20,'Poule berekeningen'!$M$32:$M$35,0),2)</f>
        <v>4</v>
      </c>
      <c r="V20" s="84">
        <f>INDEX('Poule berekeningen'!$C$32:$J$35,MATCH(R20,'Poule berekeningen'!$M$32:$M$35,0),3)</f>
        <v>1</v>
      </c>
      <c r="W20" s="84">
        <f>INDEX('Poule berekeningen'!$C$32:$J$35,MATCH(R20,'Poule berekeningen'!$M$32:$M$35,0),4)</f>
        <v>1</v>
      </c>
      <c r="X20" s="84">
        <f>INDEX('Poule berekeningen'!$C$32:$J$35,MATCH(R20,'Poule berekeningen'!$M$32:$M$35,0),5)</f>
        <v>1</v>
      </c>
      <c r="Y20" s="84">
        <f>INDEX('Poule berekeningen'!$C$32:$J$35,MATCH(R20,'Poule berekeningen'!$M$32:$M$35,0),6)</f>
        <v>5</v>
      </c>
      <c r="Z20" s="84">
        <f>INDEX('Poule berekeningen'!$C$32:$J$35,MATCH(R20,'Poule berekeningen'!$M$32:$M$35,0),7)</f>
        <v>6</v>
      </c>
      <c r="AA20" s="84">
        <f>INDEX('Poule berekeningen'!$C$32:$J$35,MATCH(R20,'Poule berekeningen'!$M$32:$M$35,0),8)</f>
        <v>-1</v>
      </c>
      <c r="AD20" s="40" t="str">
        <f t="shared" si="6"/>
        <v>2 - 0</v>
      </c>
      <c r="AE20" s="41" t="str">
        <f t="shared" si="7"/>
        <v>1</v>
      </c>
      <c r="AM20" s="40">
        <f t="shared" si="4"/>
        <v>0</v>
      </c>
    </row>
    <row r="21" spans="1:39">
      <c r="A21" s="65">
        <f>Toernooigegevens!B14</f>
        <v>19</v>
      </c>
      <c r="B21" s="66">
        <f>Toernooigegevens!C14</f>
        <v>40346.666666666664</v>
      </c>
      <c r="C21" s="67">
        <f>Toernooigegevens!D14</f>
        <v>40346.666666666664</v>
      </c>
      <c r="D21" s="68">
        <f>Toernooigegevens!E14</f>
        <v>40346.666666666664</v>
      </c>
      <c r="E21" s="69"/>
      <c r="F21" s="70" t="str">
        <f>Toernooigegevens!G14</f>
        <v>Griekenland</v>
      </c>
      <c r="G21" s="71">
        <v>2</v>
      </c>
      <c r="H21" s="72" t="s">
        <v>29</v>
      </c>
      <c r="I21" s="71">
        <v>1</v>
      </c>
      <c r="J21" s="70" t="str">
        <f>Toernooigegevens!I14</f>
        <v>Nigeria</v>
      </c>
      <c r="K21" s="69"/>
      <c r="L21" s="60"/>
      <c r="M21" s="72" t="str">
        <f t="shared" si="5"/>
        <v>1</v>
      </c>
      <c r="O21" s="39" t="str">
        <f>RIGHT(Q21)</f>
        <v>B</v>
      </c>
      <c r="P21" s="39">
        <f t="shared" si="1"/>
        <v>3</v>
      </c>
      <c r="Q21" s="39" t="str">
        <f>CONCATENATE(R21,RIGHT(R18,1))</f>
        <v>3B</v>
      </c>
      <c r="R21" s="73">
        <v>3</v>
      </c>
      <c r="S21" s="74" t="str">
        <f>INDEX('Poule berekeningen'!$C$32:$J$35,MATCH(R21,'Poule berekeningen'!$M$32:$M$35,0),1)</f>
        <v>Griekenland</v>
      </c>
      <c r="T21" s="74">
        <f>SUM(V21:X21)</f>
        <v>3</v>
      </c>
      <c r="U21" s="74">
        <f>INDEX('Poule berekeningen'!$C$32:$J$35,MATCH(R21,'Poule berekeningen'!$M$32:$M$35,0),2)</f>
        <v>3</v>
      </c>
      <c r="V21" s="74">
        <f>INDEX('Poule berekeningen'!$C$32:$J$35,MATCH(R21,'Poule berekeningen'!$M$32:$M$35,0),3)</f>
        <v>1</v>
      </c>
      <c r="W21" s="74">
        <f>INDEX('Poule berekeningen'!$C$32:$J$35,MATCH(R21,'Poule berekeningen'!$M$32:$M$35,0),4)</f>
        <v>0</v>
      </c>
      <c r="X21" s="74">
        <f>INDEX('Poule berekeningen'!$C$32:$J$35,MATCH(R21,'Poule berekeningen'!$M$32:$M$35,0),5)</f>
        <v>2</v>
      </c>
      <c r="Y21" s="74">
        <f>INDEX('Poule berekeningen'!$C$32:$J$35,MATCH(R21,'Poule berekeningen'!$M$32:$M$35,0),6)</f>
        <v>2</v>
      </c>
      <c r="Z21" s="74">
        <f>INDEX('Poule berekeningen'!$C$32:$J$35,MATCH(R21,'Poule berekeningen'!$M$32:$M$35,0),7)</f>
        <v>5</v>
      </c>
      <c r="AA21" s="74">
        <f>INDEX('Poule berekeningen'!$C$32:$J$35,MATCH(R21,'Poule berekeningen'!$M$32:$M$35,0),8)</f>
        <v>-3</v>
      </c>
      <c r="AD21" s="40" t="str">
        <f t="shared" si="6"/>
        <v>2 - 1</v>
      </c>
      <c r="AE21" s="41" t="str">
        <f t="shared" si="7"/>
        <v>1</v>
      </c>
      <c r="AM21" s="40">
        <f t="shared" si="4"/>
        <v>0</v>
      </c>
    </row>
    <row r="22" spans="1:39">
      <c r="A22" s="75">
        <f>Toernooigegevens!B15</f>
        <v>20</v>
      </c>
      <c r="B22" s="76">
        <f>Toernooigegevens!C15</f>
        <v>40346.5625</v>
      </c>
      <c r="C22" s="77">
        <f>Toernooigegevens!D15</f>
        <v>40346.5625</v>
      </c>
      <c r="D22" s="78">
        <f>Toernooigegevens!E15</f>
        <v>40346.5625</v>
      </c>
      <c r="E22" s="79"/>
      <c r="F22" s="80" t="str">
        <f>Toernooigegevens!G15</f>
        <v>Argentinië</v>
      </c>
      <c r="G22" s="81">
        <v>4</v>
      </c>
      <c r="H22" s="82" t="s">
        <v>29</v>
      </c>
      <c r="I22" s="81">
        <v>1</v>
      </c>
      <c r="J22" s="80" t="str">
        <f>Toernooigegevens!I15</f>
        <v>Zuid-Korea</v>
      </c>
      <c r="K22" s="79"/>
      <c r="L22" s="60"/>
      <c r="M22" s="82" t="str">
        <f t="shared" si="5"/>
        <v>1</v>
      </c>
      <c r="O22" s="39" t="str">
        <f>RIGHT(Q22)</f>
        <v>B</v>
      </c>
      <c r="P22" s="39">
        <f t="shared" si="1"/>
        <v>3</v>
      </c>
      <c r="Q22" s="39" t="str">
        <f>CONCATENATE(R22,RIGHT(R18,1))</f>
        <v>4B</v>
      </c>
      <c r="R22" s="83">
        <v>4</v>
      </c>
      <c r="S22" s="84" t="str">
        <f>INDEX('Poule berekeningen'!$C$32:$J$35,MATCH(R22,'Poule berekeningen'!$M$32:$M$35,0),1)</f>
        <v>Nigeria</v>
      </c>
      <c r="T22" s="84">
        <f>SUM(V22:X22)</f>
        <v>3</v>
      </c>
      <c r="U22" s="84">
        <f>INDEX('Poule berekeningen'!$C$32:$J$35,MATCH(R22,'Poule berekeningen'!$M$32:$M$35,0),2)</f>
        <v>1</v>
      </c>
      <c r="V22" s="84">
        <f>INDEX('Poule berekeningen'!$C$32:$J$35,MATCH(R22,'Poule berekeningen'!$M$32:$M$35,0),3)</f>
        <v>0</v>
      </c>
      <c r="W22" s="84">
        <f>INDEX('Poule berekeningen'!$C$32:$J$35,MATCH(R22,'Poule berekeningen'!$M$32:$M$35,0),4)</f>
        <v>1</v>
      </c>
      <c r="X22" s="84">
        <f>INDEX('Poule berekeningen'!$C$32:$J$35,MATCH(R22,'Poule berekeningen'!$M$32:$M$35,0),5)</f>
        <v>2</v>
      </c>
      <c r="Y22" s="84">
        <f>INDEX('Poule berekeningen'!$C$32:$J$35,MATCH(R22,'Poule berekeningen'!$M$32:$M$35,0),6)</f>
        <v>3</v>
      </c>
      <c r="Z22" s="84">
        <f>INDEX('Poule berekeningen'!$C$32:$J$35,MATCH(R22,'Poule berekeningen'!$M$32:$M$35,0),7)</f>
        <v>5</v>
      </c>
      <c r="AA22" s="84">
        <f>INDEX('Poule berekeningen'!$C$32:$J$35,MATCH(R22,'Poule berekeningen'!$M$32:$M$35,0),8)</f>
        <v>-2</v>
      </c>
      <c r="AD22" s="40" t="str">
        <f t="shared" si="6"/>
        <v>4 - 1</v>
      </c>
      <c r="AE22" s="41" t="str">
        <f t="shared" si="7"/>
        <v>1</v>
      </c>
      <c r="AM22" s="40">
        <f t="shared" si="4"/>
        <v>0</v>
      </c>
    </row>
    <row r="23" spans="1:39">
      <c r="A23" s="65">
        <f>Toernooigegevens!B16</f>
        <v>35</v>
      </c>
      <c r="B23" s="66">
        <f>Toernooigegevens!C16</f>
        <v>40351.854166666664</v>
      </c>
      <c r="C23" s="67">
        <f>Toernooigegevens!D16</f>
        <v>40351.854166666664</v>
      </c>
      <c r="D23" s="68">
        <f>Toernooigegevens!E16</f>
        <v>40351.854166666664</v>
      </c>
      <c r="E23" s="69"/>
      <c r="F23" s="70" t="str">
        <f>Toernooigegevens!G16</f>
        <v>Nigeria</v>
      </c>
      <c r="G23" s="71">
        <v>2</v>
      </c>
      <c r="H23" s="72" t="s">
        <v>29</v>
      </c>
      <c r="I23" s="71">
        <v>2</v>
      </c>
      <c r="J23" s="70" t="str">
        <f>Toernooigegevens!I16</f>
        <v>Zuid-Korea</v>
      </c>
      <c r="K23" s="69"/>
      <c r="L23" s="60"/>
      <c r="M23" s="72">
        <f t="shared" si="5"/>
        <v>3</v>
      </c>
      <c r="P23" s="39">
        <f t="shared" si="1"/>
        <v>0</v>
      </c>
      <c r="R23" s="85" t="str">
        <f>IF(COUNT(G19:I24)=12,IF(COUNT(T19:T22)&lt;4,"Er is loting vereist in deze poule",""),"")</f>
        <v/>
      </c>
      <c r="S23" s="86"/>
      <c r="T23" s="86"/>
      <c r="U23" s="86"/>
      <c r="V23" s="86"/>
      <c r="W23" s="86"/>
      <c r="X23" s="86"/>
      <c r="Y23" s="86"/>
      <c r="Z23" s="86"/>
      <c r="AA23" s="86"/>
      <c r="AD23" s="40" t="str">
        <f t="shared" si="6"/>
        <v>2 - 2</v>
      </c>
      <c r="AE23" s="41">
        <f t="shared" si="7"/>
        <v>3</v>
      </c>
      <c r="AM23" s="40">
        <f t="shared" si="4"/>
        <v>0</v>
      </c>
    </row>
    <row r="24" spans="1:39">
      <c r="A24" s="75">
        <f>Toernooigegevens!B17</f>
        <v>36</v>
      </c>
      <c r="B24" s="76">
        <f>Toernooigegevens!C17</f>
        <v>40351.854166666664</v>
      </c>
      <c r="C24" s="77">
        <f>Toernooigegevens!D17</f>
        <v>40351.854166666664</v>
      </c>
      <c r="D24" s="78">
        <f>Toernooigegevens!E17</f>
        <v>40351.854166666664</v>
      </c>
      <c r="E24" s="79"/>
      <c r="F24" s="80" t="str">
        <f>Toernooigegevens!G17</f>
        <v>Griekenland</v>
      </c>
      <c r="G24" s="81">
        <v>0</v>
      </c>
      <c r="H24" s="82" t="s">
        <v>29</v>
      </c>
      <c r="I24" s="81">
        <v>2</v>
      </c>
      <c r="J24" s="80" t="str">
        <f>Toernooigegevens!I17</f>
        <v>Argentinië</v>
      </c>
      <c r="K24" s="79"/>
      <c r="L24" s="60"/>
      <c r="M24" s="82">
        <f t="shared" si="5"/>
        <v>2</v>
      </c>
      <c r="P24" s="39">
        <f t="shared" si="1"/>
        <v>0</v>
      </c>
      <c r="R24" s="87"/>
      <c r="S24" s="86"/>
      <c r="T24" s="86"/>
      <c r="U24" s="86"/>
      <c r="V24" s="86"/>
      <c r="W24" s="86"/>
      <c r="X24" s="86"/>
      <c r="Y24" s="86"/>
      <c r="Z24" s="86"/>
      <c r="AA24" s="86"/>
      <c r="AD24" s="40" t="str">
        <f t="shared" si="6"/>
        <v>0 - 2</v>
      </c>
      <c r="AE24" s="41">
        <f t="shared" si="7"/>
        <v>2</v>
      </c>
      <c r="AM24" s="40">
        <f t="shared" si="4"/>
        <v>0</v>
      </c>
    </row>
    <row r="25" spans="1:39">
      <c r="A25" s="88"/>
      <c r="B25" s="60"/>
      <c r="C25" s="89"/>
      <c r="D25" s="90"/>
      <c r="E25" s="91"/>
      <c r="F25" s="60"/>
      <c r="G25" s="88"/>
      <c r="H25" s="92"/>
      <c r="I25" s="88"/>
      <c r="J25" s="60"/>
      <c r="K25" s="91"/>
      <c r="L25" s="60"/>
      <c r="M25" s="92"/>
      <c r="P25" s="39">
        <f t="shared" si="1"/>
        <v>0</v>
      </c>
      <c r="R25" s="87"/>
      <c r="S25" s="86"/>
      <c r="T25" s="86"/>
      <c r="U25" s="86"/>
      <c r="V25" s="86"/>
      <c r="W25" s="86"/>
      <c r="X25" s="86"/>
      <c r="Y25" s="86"/>
      <c r="Z25" s="86"/>
      <c r="AA25" s="86"/>
      <c r="AM25" s="40">
        <f t="shared" si="4"/>
        <v>0</v>
      </c>
    </row>
    <row r="26" spans="1:39">
      <c r="A26" s="56" t="s">
        <v>31</v>
      </c>
      <c r="B26" s="57"/>
      <c r="C26" s="57"/>
      <c r="D26" s="57"/>
      <c r="E26" s="57"/>
      <c r="F26" s="57"/>
      <c r="G26" s="58"/>
      <c r="H26" s="57"/>
      <c r="I26" s="58"/>
      <c r="J26" s="57"/>
      <c r="K26" s="59"/>
      <c r="L26" s="60"/>
      <c r="M26" s="61" t="s">
        <v>20</v>
      </c>
      <c r="P26" s="39">
        <f t="shared" si="1"/>
        <v>0</v>
      </c>
      <c r="R26" s="62" t="str">
        <f>Invulblad!A26</f>
        <v>Groep C</v>
      </c>
      <c r="S26" s="63"/>
      <c r="T26" s="63" t="s">
        <v>21</v>
      </c>
      <c r="U26" s="64" t="s">
        <v>22</v>
      </c>
      <c r="V26" s="64" t="s">
        <v>23</v>
      </c>
      <c r="W26" s="64" t="s">
        <v>24</v>
      </c>
      <c r="X26" s="64" t="s">
        <v>25</v>
      </c>
      <c r="Y26" s="64" t="s">
        <v>26</v>
      </c>
      <c r="Z26" s="64" t="s">
        <v>27</v>
      </c>
      <c r="AA26" s="64" t="s">
        <v>28</v>
      </c>
      <c r="AM26" s="40">
        <f t="shared" si="4"/>
        <v>0</v>
      </c>
    </row>
    <row r="27" spans="1:39">
      <c r="A27" s="65">
        <f>Toernooigegevens!B20</f>
        <v>5</v>
      </c>
      <c r="B27" s="66">
        <f>Toernooigegevens!C20</f>
        <v>40341.854166666664</v>
      </c>
      <c r="C27" s="67">
        <f>Toernooigegevens!D20</f>
        <v>40341.854166666664</v>
      </c>
      <c r="D27" s="68">
        <f>Toernooigegevens!E20</f>
        <v>40341.854166666664</v>
      </c>
      <c r="E27" s="69"/>
      <c r="F27" s="70" t="str">
        <f>Toernooigegevens!G20</f>
        <v>Engeland</v>
      </c>
      <c r="G27" s="71">
        <v>1</v>
      </c>
      <c r="H27" s="72" t="s">
        <v>29</v>
      </c>
      <c r="I27" s="71">
        <v>1</v>
      </c>
      <c r="J27" s="70" t="s">
        <v>32</v>
      </c>
      <c r="K27" s="69"/>
      <c r="L27" s="60"/>
      <c r="M27" s="72">
        <f t="shared" ref="M27:M33" si="8">IF(AND(G27="",I27=""),"",IF(OR(G27="",I27=""),"FOUT",IF(G27&gt;I27,"1",IF(G27=I27,3,2))))</f>
        <v>3</v>
      </c>
      <c r="O27" s="39" t="str">
        <f>RIGHT(Q27)</f>
        <v>C</v>
      </c>
      <c r="P27" s="39">
        <f t="shared" si="1"/>
        <v>3</v>
      </c>
      <c r="Q27" s="39" t="str">
        <f>CONCATENATE(R27,RIGHT(R26,1))</f>
        <v>1C</v>
      </c>
      <c r="R27" s="73">
        <v>1</v>
      </c>
      <c r="S27" s="74" t="str">
        <f>INDEX('Poule berekeningen'!$C$47:$J$50,MATCH($R27,'Poule berekeningen'!$M$47:$M$50,0),1)</f>
        <v>USA</v>
      </c>
      <c r="T27" s="74">
        <f>SUM(V27:X27)</f>
        <v>3</v>
      </c>
      <c r="U27" s="74">
        <f>INDEX('Poule berekeningen'!$C$47:$J$50,MATCH($R27,'Poule berekeningen'!$M$47:$M$50,0),2)</f>
        <v>5</v>
      </c>
      <c r="V27" s="74">
        <f>INDEX('Poule berekeningen'!$C$47:$J$50,MATCH($R27,'Poule berekeningen'!$M$47:$M$50,0),3)</f>
        <v>1</v>
      </c>
      <c r="W27" s="74">
        <f>INDEX('Poule berekeningen'!$C$47:$J$50,MATCH($R27,'Poule berekeningen'!$M$47:$M$50,0),4)</f>
        <v>2</v>
      </c>
      <c r="X27" s="74">
        <f>INDEX('Poule berekeningen'!$C$47:$J$50,MATCH($R27,'Poule berekeningen'!$M$47:$M$50,0),5)</f>
        <v>0</v>
      </c>
      <c r="Y27" s="74">
        <f>INDEX('Poule berekeningen'!$C$47:$J$50,MATCH($R27,'Poule berekeningen'!$M$47:$M$50,0),6)</f>
        <v>4</v>
      </c>
      <c r="Z27" s="74">
        <f>INDEX('Poule berekeningen'!$C$47:$J$50,MATCH($R27,'Poule berekeningen'!$M$47:$M$50,0),7)</f>
        <v>3</v>
      </c>
      <c r="AA27" s="74">
        <f>INDEX('Poule berekeningen'!$C$47:$J$50,MATCH($R27,'Poule berekeningen'!$M$47:$M$50,0),8)</f>
        <v>1</v>
      </c>
      <c r="AD27" s="40" t="str">
        <f t="shared" ref="AD27:AD33" si="9">CONCATENATE(G27," - ",I27)</f>
        <v>1 - 1</v>
      </c>
      <c r="AE27" s="41">
        <f t="shared" ref="AE27:AE33" si="10">M27</f>
        <v>3</v>
      </c>
      <c r="AM27" s="40">
        <f t="shared" si="4"/>
        <v>0</v>
      </c>
    </row>
    <row r="28" spans="1:39">
      <c r="A28" s="75">
        <f>Toernooigegevens!B21</f>
        <v>6</v>
      </c>
      <c r="B28" s="76">
        <f>Toernooigegevens!C21</f>
        <v>40342.5625</v>
      </c>
      <c r="C28" s="77">
        <f>Toernooigegevens!D21</f>
        <v>40342.5625</v>
      </c>
      <c r="D28" s="78">
        <f>Toernooigegevens!E21</f>
        <v>40342.5625</v>
      </c>
      <c r="E28" s="79"/>
      <c r="F28" s="80" t="str">
        <f>Toernooigegevens!G21</f>
        <v>Algerije</v>
      </c>
      <c r="G28" s="81">
        <v>0</v>
      </c>
      <c r="H28" s="82" t="s">
        <v>29</v>
      </c>
      <c r="I28" s="81">
        <v>1</v>
      </c>
      <c r="J28" s="80" t="str">
        <f>Toernooigegevens!I21</f>
        <v>Slovenië</v>
      </c>
      <c r="K28" s="79"/>
      <c r="L28" s="60"/>
      <c r="M28" s="82">
        <f t="shared" si="8"/>
        <v>2</v>
      </c>
      <c r="O28" s="39" t="str">
        <f>RIGHT(Q28)</f>
        <v>C</v>
      </c>
      <c r="P28" s="39">
        <f t="shared" si="1"/>
        <v>3</v>
      </c>
      <c r="Q28" s="39" t="str">
        <f>CONCATENATE(R28,RIGHT(R26,1))</f>
        <v>2C</v>
      </c>
      <c r="R28" s="83">
        <v>2</v>
      </c>
      <c r="S28" s="84" t="str">
        <f>INDEX('Poule berekeningen'!$C$47:$J$50,MATCH($R28,'Poule berekeningen'!$M$47:$M$50,0),1)</f>
        <v>Engeland</v>
      </c>
      <c r="T28" s="84">
        <f>SUM(V28:X28)</f>
        <v>3</v>
      </c>
      <c r="U28" s="84">
        <f>INDEX('Poule berekeningen'!$C$47:$J$50,MATCH($R28,'Poule berekeningen'!$M$47:$M$50,0),2)</f>
        <v>5</v>
      </c>
      <c r="V28" s="84">
        <f>INDEX('Poule berekeningen'!$C$47:$J$50,MATCH($R28,'Poule berekeningen'!$M$47:$M$50,0),3)</f>
        <v>1</v>
      </c>
      <c r="W28" s="84">
        <f>INDEX('Poule berekeningen'!$C$47:$J$50,MATCH($R28,'Poule berekeningen'!$M$47:$M$50,0),4)</f>
        <v>2</v>
      </c>
      <c r="X28" s="84">
        <f>INDEX('Poule berekeningen'!$C$47:$J$50,MATCH($R28,'Poule berekeningen'!$M$47:$M$50,0),5)</f>
        <v>0</v>
      </c>
      <c r="Y28" s="84">
        <f>INDEX('Poule berekeningen'!$C$47:$J$50,MATCH($R28,'Poule berekeningen'!$M$47:$M$50,0),6)</f>
        <v>2</v>
      </c>
      <c r="Z28" s="84">
        <f>INDEX('Poule berekeningen'!$C$47:$J$50,MATCH($R28,'Poule berekeningen'!$M$47:$M$50,0),7)</f>
        <v>1</v>
      </c>
      <c r="AA28" s="84">
        <f>INDEX('Poule berekeningen'!$C$47:$J$50,MATCH($R28,'Poule berekeningen'!$M$47:$M$50,0),8)</f>
        <v>1</v>
      </c>
      <c r="AD28" s="40" t="str">
        <f t="shared" si="9"/>
        <v>0 - 1</v>
      </c>
      <c r="AE28" s="41">
        <f t="shared" si="10"/>
        <v>2</v>
      </c>
      <c r="AM28" s="40">
        <f t="shared" si="4"/>
        <v>0</v>
      </c>
    </row>
    <row r="29" spans="1:39">
      <c r="A29" s="65">
        <f>Toernooigegevens!B22</f>
        <v>22</v>
      </c>
      <c r="B29" s="66">
        <f>Toernooigegevens!C22</f>
        <v>40347.666666666664</v>
      </c>
      <c r="C29" s="67">
        <f>Toernooigegevens!D22</f>
        <v>40347.666666666664</v>
      </c>
      <c r="D29" s="68">
        <f>Toernooigegevens!E22</f>
        <v>40347.666666666664</v>
      </c>
      <c r="E29" s="69"/>
      <c r="F29" s="70" t="str">
        <f>Toernooigegevens!G22</f>
        <v>Slovenië</v>
      </c>
      <c r="G29" s="71">
        <v>2</v>
      </c>
      <c r="H29" s="72" t="s">
        <v>29</v>
      </c>
      <c r="I29" s="71">
        <v>2</v>
      </c>
      <c r="J29" s="70" t="s">
        <v>32</v>
      </c>
      <c r="K29" s="69"/>
      <c r="L29" s="60"/>
      <c r="M29" s="72">
        <f t="shared" si="8"/>
        <v>3</v>
      </c>
      <c r="O29" s="39" t="str">
        <f>RIGHT(Q29)</f>
        <v>C</v>
      </c>
      <c r="P29" s="39">
        <f t="shared" si="1"/>
        <v>3</v>
      </c>
      <c r="Q29" s="39" t="str">
        <f>CONCATENATE(R29,RIGHT(R26,1))</f>
        <v>3C</v>
      </c>
      <c r="R29" s="73">
        <v>3</v>
      </c>
      <c r="S29" s="74" t="str">
        <f>INDEX('Poule berekeningen'!$C$47:$J$50,MATCH($R29,'Poule berekeningen'!$M$47:$M$50,0),1)</f>
        <v>Slovenië</v>
      </c>
      <c r="T29" s="74">
        <f>SUM(V29:X29)</f>
        <v>3</v>
      </c>
      <c r="U29" s="74">
        <f>INDEX('Poule berekeningen'!$C$47:$J$50,MATCH($R29,'Poule berekeningen'!$M$47:$M$50,0),2)</f>
        <v>4</v>
      </c>
      <c r="V29" s="74">
        <f>INDEX('Poule berekeningen'!$C$47:$J$50,MATCH($R29,'Poule berekeningen'!$M$47:$M$50,0),3)</f>
        <v>1</v>
      </c>
      <c r="W29" s="74">
        <f>INDEX('Poule berekeningen'!$C$47:$J$50,MATCH($R29,'Poule berekeningen'!$M$47:$M$50,0),4)</f>
        <v>1</v>
      </c>
      <c r="X29" s="74">
        <f>INDEX('Poule berekeningen'!$C$47:$J$50,MATCH($R29,'Poule berekeningen'!$M$47:$M$50,0),5)</f>
        <v>1</v>
      </c>
      <c r="Y29" s="74">
        <f>INDEX('Poule berekeningen'!$C$47:$J$50,MATCH($R29,'Poule berekeningen'!$M$47:$M$50,0),6)</f>
        <v>3</v>
      </c>
      <c r="Z29" s="74">
        <f>INDEX('Poule berekeningen'!$C$47:$J$50,MATCH($R29,'Poule berekeningen'!$M$47:$M$50,0),7)</f>
        <v>3</v>
      </c>
      <c r="AA29" s="74">
        <f>INDEX('Poule berekeningen'!$C$47:$J$50,MATCH($R29,'Poule berekeningen'!$M$47:$M$50,0),8)</f>
        <v>0</v>
      </c>
      <c r="AD29" s="40" t="str">
        <f t="shared" si="9"/>
        <v>2 - 2</v>
      </c>
      <c r="AE29" s="41">
        <f t="shared" si="10"/>
        <v>3</v>
      </c>
      <c r="AM29" s="40">
        <f t="shared" si="4"/>
        <v>0</v>
      </c>
    </row>
    <row r="30" spans="1:39">
      <c r="A30" s="75">
        <f>Toernooigegevens!B23</f>
        <v>23</v>
      </c>
      <c r="B30" s="76">
        <f>Toernooigegevens!C23</f>
        <v>40347.854166666664</v>
      </c>
      <c r="C30" s="77">
        <f>Toernooigegevens!D23</f>
        <v>40347.854166666664</v>
      </c>
      <c r="D30" s="78">
        <f>Toernooigegevens!E23</f>
        <v>40347.854166666664</v>
      </c>
      <c r="E30" s="79"/>
      <c r="F30" s="80" t="str">
        <f>Toernooigegevens!G23</f>
        <v>Engeland</v>
      </c>
      <c r="G30" s="81">
        <v>0</v>
      </c>
      <c r="H30" s="82" t="s">
        <v>29</v>
      </c>
      <c r="I30" s="81">
        <v>0</v>
      </c>
      <c r="J30" s="80" t="str">
        <f>Toernooigegevens!I23</f>
        <v>Algerije</v>
      </c>
      <c r="K30" s="79"/>
      <c r="L30" s="60"/>
      <c r="M30" s="82">
        <f t="shared" si="8"/>
        <v>3</v>
      </c>
      <c r="O30" s="39" t="str">
        <f>RIGHT(Q30)</f>
        <v>C</v>
      </c>
      <c r="P30" s="39">
        <f t="shared" si="1"/>
        <v>3</v>
      </c>
      <c r="Q30" s="39" t="str">
        <f>CONCATENATE(R30,RIGHT(R26,1))</f>
        <v>4C</v>
      </c>
      <c r="R30" s="83">
        <v>4</v>
      </c>
      <c r="S30" s="84" t="s">
        <v>32</v>
      </c>
      <c r="T30" s="84">
        <f>SUM(V30:X30)</f>
        <v>3</v>
      </c>
      <c r="U30" s="84">
        <f>INDEX('Poule berekeningen'!$C$47:$J$50,MATCH($R30,'Poule berekeningen'!$M$47:$M$50,0),2)</f>
        <v>1</v>
      </c>
      <c r="V30" s="84">
        <f>INDEX('Poule berekeningen'!$C$47:$J$50,MATCH($R30,'Poule berekeningen'!$M$47:$M$50,0),3)</f>
        <v>0</v>
      </c>
      <c r="W30" s="84">
        <f>INDEX('Poule berekeningen'!$C$47:$J$50,MATCH($R30,'Poule berekeningen'!$M$47:$M$50,0),4)</f>
        <v>1</v>
      </c>
      <c r="X30" s="84">
        <f>INDEX('Poule berekeningen'!$C$47:$J$50,MATCH($R30,'Poule berekeningen'!$M$47:$M$50,0),5)</f>
        <v>2</v>
      </c>
      <c r="Y30" s="84">
        <f>INDEX('Poule berekeningen'!$C$47:$J$50,MATCH($R30,'Poule berekeningen'!$M$47:$M$50,0),6)</f>
        <v>0</v>
      </c>
      <c r="Z30" s="84">
        <f>INDEX('Poule berekeningen'!$C$47:$J$50,MATCH($R30,'Poule berekeningen'!$M$47:$M$50,0),7)</f>
        <v>2</v>
      </c>
      <c r="AA30" s="84">
        <f>INDEX('Poule berekeningen'!$C$47:$J$50,MATCH($R30,'Poule berekeningen'!$M$47:$M$50,0),8)</f>
        <v>-2</v>
      </c>
      <c r="AD30" s="40" t="str">
        <f t="shared" si="9"/>
        <v>0 - 0</v>
      </c>
      <c r="AE30" s="41">
        <f t="shared" si="10"/>
        <v>3</v>
      </c>
      <c r="AM30" s="40">
        <f t="shared" si="4"/>
        <v>0</v>
      </c>
    </row>
    <row r="31" spans="1:39">
      <c r="A31" s="65">
        <f>Toernooigegevens!B24</f>
        <v>37</v>
      </c>
      <c r="B31" s="66">
        <f>Toernooigegevens!C24</f>
        <v>40352.666666666664</v>
      </c>
      <c r="C31" s="67">
        <f>Toernooigegevens!D24</f>
        <v>40352.666666666664</v>
      </c>
      <c r="D31" s="68">
        <f>Toernooigegevens!E24</f>
        <v>40352.666666666664</v>
      </c>
      <c r="E31" s="69"/>
      <c r="F31" s="70" t="str">
        <f>Toernooigegevens!G24</f>
        <v>Slovenië</v>
      </c>
      <c r="G31" s="71">
        <v>0</v>
      </c>
      <c r="H31" s="72" t="s">
        <v>29</v>
      </c>
      <c r="I31" s="71">
        <v>1</v>
      </c>
      <c r="J31" s="70" t="str">
        <f>Toernooigegevens!I24</f>
        <v>Engeland</v>
      </c>
      <c r="K31" s="69"/>
      <c r="L31" s="60"/>
      <c r="M31" s="72">
        <f t="shared" si="8"/>
        <v>2</v>
      </c>
      <c r="P31" s="39">
        <f t="shared" si="1"/>
        <v>0</v>
      </c>
      <c r="R31" s="85" t="str">
        <f>IF(COUNT(G27:I32)=12,IF(COUNT(T27:T30)&lt;4,"Er is loting vereist in deze poule",""),"")</f>
        <v/>
      </c>
      <c r="S31" s="86"/>
      <c r="T31" s="86"/>
      <c r="U31" s="86"/>
      <c r="V31" s="86"/>
      <c r="W31" s="86"/>
      <c r="X31" s="86"/>
      <c r="Y31" s="86"/>
      <c r="Z31" s="86"/>
      <c r="AA31" s="86"/>
      <c r="AD31" s="40" t="str">
        <f t="shared" si="9"/>
        <v>0 - 1</v>
      </c>
      <c r="AE31" s="41">
        <f t="shared" si="10"/>
        <v>2</v>
      </c>
      <c r="AM31" s="40">
        <f t="shared" si="4"/>
        <v>0</v>
      </c>
    </row>
    <row r="32" spans="1:39">
      <c r="A32" s="75">
        <f>Toernooigegevens!B25</f>
        <v>38</v>
      </c>
      <c r="B32" s="76">
        <f>Toernooigegevens!C25</f>
        <v>40352.666666666664</v>
      </c>
      <c r="C32" s="77">
        <f>Toernooigegevens!D25</f>
        <v>40352.666666666664</v>
      </c>
      <c r="D32" s="78">
        <f>Toernooigegevens!E25</f>
        <v>40352.666666666664</v>
      </c>
      <c r="E32" s="79"/>
      <c r="F32" s="80" t="s">
        <v>32</v>
      </c>
      <c r="G32" s="81">
        <v>1</v>
      </c>
      <c r="H32" s="82" t="s">
        <v>29</v>
      </c>
      <c r="I32" s="81">
        <v>0</v>
      </c>
      <c r="J32" s="80" t="str">
        <f>Toernooigegevens!I25</f>
        <v>Algerije</v>
      </c>
      <c r="K32" s="79"/>
      <c r="L32" s="60"/>
      <c r="M32" s="82" t="str">
        <f t="shared" si="8"/>
        <v>1</v>
      </c>
      <c r="P32" s="39">
        <f t="shared" si="1"/>
        <v>0</v>
      </c>
      <c r="R32" s="87"/>
      <c r="S32" s="86"/>
      <c r="T32" s="86"/>
      <c r="U32" s="86"/>
      <c r="V32" s="86"/>
      <c r="W32" s="86"/>
      <c r="X32" s="86"/>
      <c r="Y32" s="86"/>
      <c r="Z32" s="86"/>
      <c r="AA32" s="86"/>
      <c r="AD32" s="40" t="str">
        <f t="shared" si="9"/>
        <v>1 - 0</v>
      </c>
      <c r="AE32" s="41" t="str">
        <f t="shared" si="10"/>
        <v>1</v>
      </c>
      <c r="AM32" s="40">
        <f t="shared" si="4"/>
        <v>0</v>
      </c>
    </row>
    <row r="33" spans="1:39">
      <c r="A33" s="88"/>
      <c r="B33" s="60"/>
      <c r="C33" s="89"/>
      <c r="D33" s="90"/>
      <c r="E33" s="91"/>
      <c r="F33" s="60"/>
      <c r="G33" s="88"/>
      <c r="H33" s="92"/>
      <c r="I33" s="88"/>
      <c r="J33" s="60"/>
      <c r="K33" s="91"/>
      <c r="L33" s="60"/>
      <c r="M33" s="92" t="str">
        <f t="shared" si="8"/>
        <v/>
      </c>
      <c r="P33" s="39">
        <f t="shared" si="1"/>
        <v>0</v>
      </c>
      <c r="R33" s="87"/>
      <c r="S33" s="86"/>
      <c r="T33" s="86"/>
      <c r="U33" s="86"/>
      <c r="V33" s="86"/>
      <c r="W33" s="86"/>
      <c r="X33" s="86"/>
      <c r="Y33" s="86"/>
      <c r="Z33" s="86"/>
      <c r="AA33" s="86"/>
      <c r="AD33" s="40" t="str">
        <f t="shared" si="9"/>
        <v xml:space="preserve"> - </v>
      </c>
      <c r="AE33" s="41" t="str">
        <f t="shared" si="10"/>
        <v/>
      </c>
      <c r="AM33" s="40">
        <f t="shared" si="4"/>
        <v>0</v>
      </c>
    </row>
    <row r="34" spans="1:39">
      <c r="A34" s="56" t="s">
        <v>33</v>
      </c>
      <c r="B34" s="57"/>
      <c r="C34" s="57"/>
      <c r="D34" s="57"/>
      <c r="E34" s="57"/>
      <c r="F34" s="57"/>
      <c r="G34" s="58"/>
      <c r="H34" s="57"/>
      <c r="I34" s="58"/>
      <c r="J34" s="57"/>
      <c r="K34" s="59"/>
      <c r="L34" s="60"/>
      <c r="M34" s="61" t="s">
        <v>20</v>
      </c>
      <c r="P34" s="39">
        <f t="shared" si="1"/>
        <v>0</v>
      </c>
      <c r="R34" s="62" t="str">
        <f>Invulblad!A34</f>
        <v>Groep D</v>
      </c>
      <c r="S34" s="63"/>
      <c r="T34" s="63" t="s">
        <v>21</v>
      </c>
      <c r="U34" s="64" t="s">
        <v>22</v>
      </c>
      <c r="V34" s="64" t="s">
        <v>23</v>
      </c>
      <c r="W34" s="64" t="s">
        <v>24</v>
      </c>
      <c r="X34" s="64" t="s">
        <v>25</v>
      </c>
      <c r="Y34" s="64" t="s">
        <v>26</v>
      </c>
      <c r="Z34" s="64" t="s">
        <v>27</v>
      </c>
      <c r="AA34" s="64" t="s">
        <v>28</v>
      </c>
      <c r="AM34" s="40">
        <f t="shared" si="4"/>
        <v>0</v>
      </c>
    </row>
    <row r="35" spans="1:39">
      <c r="A35" s="65">
        <f>Toernooigegevens!B28</f>
        <v>7</v>
      </c>
      <c r="B35" s="66">
        <f>Toernooigegevens!C28</f>
        <v>40342.854166666664</v>
      </c>
      <c r="C35" s="67">
        <f>Toernooigegevens!D28</f>
        <v>40342.854166666664</v>
      </c>
      <c r="D35" s="68">
        <f>Toernooigegevens!E28</f>
        <v>40342.854166666664</v>
      </c>
      <c r="E35" s="69"/>
      <c r="F35" s="70" t="str">
        <f>Toernooigegevens!G28</f>
        <v>Duitsland</v>
      </c>
      <c r="G35" s="71">
        <v>4</v>
      </c>
      <c r="H35" s="72" t="s">
        <v>29</v>
      </c>
      <c r="I35" s="94">
        <v>0</v>
      </c>
      <c r="J35" s="70" t="str">
        <f>Toernooigegevens!I28</f>
        <v>Australië</v>
      </c>
      <c r="K35" s="69"/>
      <c r="L35" s="60"/>
      <c r="M35" s="72" t="str">
        <f t="shared" ref="M35:M41" si="11">IF(AND(G35="",I35=""),"",IF(OR(G35="",I35=""),"FOUT",IF(G35&gt;I35,"1",IF(G35=I35,3,2))))</f>
        <v>1</v>
      </c>
      <c r="O35" s="39" t="str">
        <f>RIGHT(Q35)</f>
        <v>D</v>
      </c>
      <c r="P35" s="39">
        <f t="shared" si="1"/>
        <v>3</v>
      </c>
      <c r="Q35" s="39" t="str">
        <f>CONCATENATE(R35,RIGHT(R34,1))</f>
        <v>1D</v>
      </c>
      <c r="R35" s="73">
        <v>1</v>
      </c>
      <c r="S35" s="74" t="str">
        <f>INDEX('Poule berekeningen'!$C$62:$J$65,MATCH($R35,'Poule berekeningen'!$M$62:$M$65,0),1)</f>
        <v>Duitsland</v>
      </c>
      <c r="T35" s="74">
        <f>SUM(V35:X35)</f>
        <v>3</v>
      </c>
      <c r="U35" s="74">
        <f>INDEX('Poule berekeningen'!$C$62:$J$65,MATCH($R35,'Poule berekeningen'!$M$62:$M$65,0),2)</f>
        <v>6</v>
      </c>
      <c r="V35" s="74">
        <f>INDEX('Poule berekeningen'!$C$62:$J$65,MATCH($R35,'Poule berekeningen'!$M$62:$M$65,0),3)</f>
        <v>2</v>
      </c>
      <c r="W35" s="74">
        <f>INDEX('Poule berekeningen'!$C$62:$J$65,MATCH($R35,'Poule berekeningen'!$M$62:$M$65,0),4)</f>
        <v>0</v>
      </c>
      <c r="X35" s="74">
        <f>INDEX('Poule berekeningen'!$C$62:$J$65,MATCH($R35,'Poule berekeningen'!$M$62:$M$65,0),5)</f>
        <v>1</v>
      </c>
      <c r="Y35" s="74">
        <f>INDEX('Poule berekeningen'!$C$62:$J$65,MATCH($R35,'Poule berekeningen'!$M$62:$M$65,0),6)</f>
        <v>5</v>
      </c>
      <c r="Z35" s="74">
        <f>INDEX('Poule berekeningen'!$C$62:$J$65,MATCH($R35,'Poule berekeningen'!$M$62:$M$65,0),7)</f>
        <v>1</v>
      </c>
      <c r="AA35" s="74">
        <f>INDEX('Poule berekeningen'!$C$62:$J$65,MATCH($R35,'Poule berekeningen'!$M$62:$M$65,0),8)</f>
        <v>4</v>
      </c>
      <c r="AD35" s="40" t="str">
        <f t="shared" ref="AD35:AD41" si="12">CONCATENATE(G35," - ",I35)</f>
        <v>4 - 0</v>
      </c>
      <c r="AE35" s="41" t="str">
        <f t="shared" ref="AE35:AE41" si="13">M35</f>
        <v>1</v>
      </c>
      <c r="AM35" s="40">
        <f t="shared" si="4"/>
        <v>0</v>
      </c>
    </row>
    <row r="36" spans="1:39">
      <c r="A36" s="75">
        <f>Toernooigegevens!B29</f>
        <v>8</v>
      </c>
      <c r="B36" s="76">
        <f>Toernooigegevens!C29</f>
        <v>40342.666666666664</v>
      </c>
      <c r="C36" s="77">
        <f>Toernooigegevens!D29</f>
        <v>40342.666666666664</v>
      </c>
      <c r="D36" s="78">
        <f>Toernooigegevens!E29</f>
        <v>40342.666666666664</v>
      </c>
      <c r="E36" s="79"/>
      <c r="F36" s="80" t="str">
        <f>Toernooigegevens!G29</f>
        <v>Servië</v>
      </c>
      <c r="G36" s="81">
        <v>0</v>
      </c>
      <c r="H36" s="82" t="s">
        <v>29</v>
      </c>
      <c r="I36" s="95">
        <v>1</v>
      </c>
      <c r="J36" s="80" t="str">
        <f>Toernooigegevens!I29</f>
        <v>Ghana</v>
      </c>
      <c r="K36" s="79"/>
      <c r="L36" s="60"/>
      <c r="M36" s="82">
        <f t="shared" si="11"/>
        <v>2</v>
      </c>
      <c r="O36" s="39" t="str">
        <f>RIGHT(Q36)</f>
        <v>D</v>
      </c>
      <c r="P36" s="39">
        <f t="shared" si="1"/>
        <v>3</v>
      </c>
      <c r="Q36" s="39" t="str">
        <f>CONCATENATE(R36,RIGHT(R34,1))</f>
        <v>2D</v>
      </c>
      <c r="R36" s="83">
        <v>2</v>
      </c>
      <c r="S36" s="84" t="str">
        <f>INDEX('Poule berekeningen'!$C$62:$J$65,MATCH($R36,'Poule berekeningen'!$M$62:$M$65,0),1)</f>
        <v>Ghana</v>
      </c>
      <c r="T36" s="84">
        <f>SUM(V36:X36)</f>
        <v>3</v>
      </c>
      <c r="U36" s="84">
        <f>INDEX('Poule berekeningen'!$C$62:$J$65,MATCH($R36,'Poule berekeningen'!$M$62:$M$65,0),2)</f>
        <v>4</v>
      </c>
      <c r="V36" s="84">
        <f>INDEX('Poule berekeningen'!$C$62:$J$65,MATCH($R36,'Poule berekeningen'!$M$62:$M$65,0),3)</f>
        <v>1</v>
      </c>
      <c r="W36" s="84">
        <f>INDEX('Poule berekeningen'!$C$62:$J$65,MATCH($R36,'Poule berekeningen'!$M$62:$M$65,0),4)</f>
        <v>1</v>
      </c>
      <c r="X36" s="84">
        <f>INDEX('Poule berekeningen'!$C$62:$J$65,MATCH($R36,'Poule berekeningen'!$M$62:$M$65,0),5)</f>
        <v>1</v>
      </c>
      <c r="Y36" s="84">
        <f>INDEX('Poule berekeningen'!$C$62:$J$65,MATCH($R36,'Poule berekeningen'!$M$62:$M$65,0),6)</f>
        <v>2</v>
      </c>
      <c r="Z36" s="84">
        <f>INDEX('Poule berekeningen'!$C$62:$J$65,MATCH($R36,'Poule berekeningen'!$M$62:$M$65,0),7)</f>
        <v>2</v>
      </c>
      <c r="AA36" s="84">
        <f>INDEX('Poule berekeningen'!$C$62:$J$65,MATCH($R36,'Poule berekeningen'!$M$62:$M$65,0),8)</f>
        <v>0</v>
      </c>
      <c r="AD36" s="40" t="str">
        <f t="shared" si="12"/>
        <v>0 - 1</v>
      </c>
      <c r="AE36" s="41">
        <f t="shared" si="13"/>
        <v>2</v>
      </c>
      <c r="AM36" s="40">
        <f t="shared" si="4"/>
        <v>0</v>
      </c>
    </row>
    <row r="37" spans="1:39">
      <c r="A37" s="65">
        <f>Toernooigegevens!B30</f>
        <v>21</v>
      </c>
      <c r="B37" s="66">
        <f>Toernooigegevens!C30</f>
        <v>40347.5625</v>
      </c>
      <c r="C37" s="67">
        <f>Toernooigegevens!D30</f>
        <v>40347.5625</v>
      </c>
      <c r="D37" s="68">
        <f>Toernooigegevens!E30</f>
        <v>40347.5625</v>
      </c>
      <c r="E37" s="69"/>
      <c r="F37" s="70" t="str">
        <f>Toernooigegevens!G30</f>
        <v>Duitsland</v>
      </c>
      <c r="G37" s="71">
        <v>0</v>
      </c>
      <c r="H37" s="72" t="s">
        <v>29</v>
      </c>
      <c r="I37" s="94">
        <v>1</v>
      </c>
      <c r="J37" s="70" t="str">
        <f>Toernooigegevens!I30</f>
        <v>Servië</v>
      </c>
      <c r="K37" s="69"/>
      <c r="L37" s="60"/>
      <c r="M37" s="72">
        <f t="shared" si="11"/>
        <v>2</v>
      </c>
      <c r="O37" s="39" t="str">
        <f>RIGHT(Q37)</f>
        <v>D</v>
      </c>
      <c r="P37" s="39">
        <f t="shared" si="1"/>
        <v>3</v>
      </c>
      <c r="Q37" s="39" t="str">
        <f>CONCATENATE(R37,RIGHT(R34,1))</f>
        <v>3D</v>
      </c>
      <c r="R37" s="73">
        <v>3</v>
      </c>
      <c r="S37" s="74" t="str">
        <f>INDEX('Poule berekeningen'!$C$62:$J$65,MATCH($R37,'Poule berekeningen'!$M$62:$M$65,0),1)</f>
        <v>Australië</v>
      </c>
      <c r="T37" s="74">
        <f>SUM(V37:X37)</f>
        <v>3</v>
      </c>
      <c r="U37" s="74">
        <f>INDEX('Poule berekeningen'!$C$62:$J$65,MATCH($R37,'Poule berekeningen'!$M$62:$M$65,0),2)</f>
        <v>4</v>
      </c>
      <c r="V37" s="74">
        <f>INDEX('Poule berekeningen'!$C$62:$J$65,MATCH($R37,'Poule berekeningen'!$M$62:$M$65,0),3)</f>
        <v>1</v>
      </c>
      <c r="W37" s="74">
        <f>INDEX('Poule berekeningen'!$C$62:$J$65,MATCH($R37,'Poule berekeningen'!$M$62:$M$65,0),4)</f>
        <v>1</v>
      </c>
      <c r="X37" s="74">
        <f>INDEX('Poule berekeningen'!$C$62:$J$65,MATCH($R37,'Poule berekeningen'!$M$62:$M$65,0),5)</f>
        <v>1</v>
      </c>
      <c r="Y37" s="74">
        <f>INDEX('Poule berekeningen'!$C$62:$J$65,MATCH($R37,'Poule berekeningen'!$M$62:$M$65,0),6)</f>
        <v>3</v>
      </c>
      <c r="Z37" s="74">
        <f>INDEX('Poule berekeningen'!$C$62:$J$65,MATCH($R37,'Poule berekeningen'!$M$62:$M$65,0),7)</f>
        <v>6</v>
      </c>
      <c r="AA37" s="74">
        <f>INDEX('Poule berekeningen'!$C$62:$J$65,MATCH($R37,'Poule berekeningen'!$M$62:$M$65,0),8)</f>
        <v>-3</v>
      </c>
      <c r="AD37" s="40" t="str">
        <f t="shared" si="12"/>
        <v>0 - 1</v>
      </c>
      <c r="AE37" s="41">
        <f t="shared" si="13"/>
        <v>2</v>
      </c>
      <c r="AM37" s="40">
        <f t="shared" si="4"/>
        <v>0</v>
      </c>
    </row>
    <row r="38" spans="1:39">
      <c r="A38" s="75">
        <f>Toernooigegevens!B31</f>
        <v>24</v>
      </c>
      <c r="B38" s="76">
        <f>Toernooigegevens!C31</f>
        <v>40348.666666666664</v>
      </c>
      <c r="C38" s="77">
        <f>Toernooigegevens!D31</f>
        <v>40348.666666666664</v>
      </c>
      <c r="D38" s="78">
        <f>Toernooigegevens!E31</f>
        <v>40348.666666666664</v>
      </c>
      <c r="E38" s="79"/>
      <c r="F38" s="80" t="str">
        <f>Toernooigegevens!G31</f>
        <v>Ghana</v>
      </c>
      <c r="G38" s="81">
        <v>1</v>
      </c>
      <c r="H38" s="82" t="s">
        <v>29</v>
      </c>
      <c r="I38" s="95">
        <v>1</v>
      </c>
      <c r="J38" s="80" t="str">
        <f>Toernooigegevens!I31</f>
        <v>Australië</v>
      </c>
      <c r="K38" s="79"/>
      <c r="L38" s="60"/>
      <c r="M38" s="82">
        <f t="shared" si="11"/>
        <v>3</v>
      </c>
      <c r="O38" s="39" t="str">
        <f>RIGHT(Q38)</f>
        <v>D</v>
      </c>
      <c r="P38" s="39">
        <f t="shared" si="1"/>
        <v>3</v>
      </c>
      <c r="Q38" s="39" t="str">
        <f>CONCATENATE(R38,RIGHT(R34,1))</f>
        <v>4D</v>
      </c>
      <c r="R38" s="83">
        <v>4</v>
      </c>
      <c r="S38" s="84" t="str">
        <f>INDEX('Poule berekeningen'!$C$62:$J$65,MATCH($R38,'Poule berekeningen'!$M$62:$M$65,0),1)</f>
        <v>Servië</v>
      </c>
      <c r="T38" s="84">
        <f>SUM(V38:X38)</f>
        <v>3</v>
      </c>
      <c r="U38" s="84">
        <f>INDEX('Poule berekeningen'!$C$62:$J$65,MATCH($R38,'Poule berekeningen'!$M$62:$M$65,0),2)</f>
        <v>3</v>
      </c>
      <c r="V38" s="84">
        <f>INDEX('Poule berekeningen'!$C$62:$J$65,MATCH($R38,'Poule berekeningen'!$M$62:$M$65,0),3)</f>
        <v>1</v>
      </c>
      <c r="W38" s="84">
        <f>INDEX('Poule berekeningen'!$C$62:$J$65,MATCH($R38,'Poule berekeningen'!$M$62:$M$65,0),4)</f>
        <v>0</v>
      </c>
      <c r="X38" s="84">
        <f>INDEX('Poule berekeningen'!$C$62:$J$65,MATCH($R38,'Poule berekeningen'!$M$62:$M$65,0),5)</f>
        <v>2</v>
      </c>
      <c r="Y38" s="84">
        <f>INDEX('Poule berekeningen'!$C$62:$J$65,MATCH($R38,'Poule berekeningen'!$M$62:$M$65,0),6)</f>
        <v>2</v>
      </c>
      <c r="Z38" s="84">
        <f>INDEX('Poule berekeningen'!$C$62:$J$65,MATCH($R38,'Poule berekeningen'!$M$62:$M$65,0),7)</f>
        <v>3</v>
      </c>
      <c r="AA38" s="84">
        <f>INDEX('Poule berekeningen'!$C$62:$J$65,MATCH($R38,'Poule berekeningen'!$M$62:$M$65,0),8)</f>
        <v>-1</v>
      </c>
      <c r="AD38" s="40" t="str">
        <f t="shared" si="12"/>
        <v>1 - 1</v>
      </c>
      <c r="AE38" s="41">
        <f t="shared" si="13"/>
        <v>3</v>
      </c>
      <c r="AM38" s="40">
        <f t="shared" si="4"/>
        <v>0</v>
      </c>
    </row>
    <row r="39" spans="1:39">
      <c r="A39" s="65">
        <f>Toernooigegevens!B32</f>
        <v>39</v>
      </c>
      <c r="B39" s="66">
        <f>Toernooigegevens!C32</f>
        <v>40352.854166666664</v>
      </c>
      <c r="C39" s="67">
        <f>Toernooigegevens!D32</f>
        <v>40352.854166666664</v>
      </c>
      <c r="D39" s="68">
        <f>Toernooigegevens!E32</f>
        <v>40352.854166666664</v>
      </c>
      <c r="E39" s="69"/>
      <c r="F39" s="70" t="str">
        <f>Toernooigegevens!G32</f>
        <v>Ghana</v>
      </c>
      <c r="G39" s="71">
        <v>0</v>
      </c>
      <c r="H39" s="72" t="s">
        <v>29</v>
      </c>
      <c r="I39" s="94">
        <v>1</v>
      </c>
      <c r="J39" s="70" t="str">
        <f>Toernooigegevens!I32</f>
        <v>Duitsland</v>
      </c>
      <c r="K39" s="69"/>
      <c r="L39" s="60"/>
      <c r="M39" s="72">
        <f t="shared" si="11"/>
        <v>2</v>
      </c>
      <c r="P39" s="39">
        <f t="shared" si="1"/>
        <v>0</v>
      </c>
      <c r="R39" s="85" t="str">
        <f>IF(COUNT(G35:I40)=12,IF(COUNT(T35:T38)&lt;4,"Er is loting vereist in deze poule",""),"")</f>
        <v/>
      </c>
      <c r="S39" s="86"/>
      <c r="T39" s="86"/>
      <c r="U39" s="86"/>
      <c r="V39" s="86"/>
      <c r="W39" s="86"/>
      <c r="X39" s="86"/>
      <c r="Y39" s="86"/>
      <c r="Z39" s="86"/>
      <c r="AA39" s="86"/>
      <c r="AD39" s="40" t="str">
        <f t="shared" si="12"/>
        <v>0 - 1</v>
      </c>
      <c r="AE39" s="41">
        <f t="shared" si="13"/>
        <v>2</v>
      </c>
      <c r="AM39" s="40">
        <f t="shared" si="4"/>
        <v>0</v>
      </c>
    </row>
    <row r="40" spans="1:39">
      <c r="A40" s="75">
        <f>Toernooigegevens!B33</f>
        <v>40</v>
      </c>
      <c r="B40" s="76">
        <f>Toernooigegevens!C33</f>
        <v>40352.854166666664</v>
      </c>
      <c r="C40" s="77">
        <f>Toernooigegevens!D33</f>
        <v>40352.854166666664</v>
      </c>
      <c r="D40" s="78">
        <f>Toernooigegevens!E33</f>
        <v>40352.854166666664</v>
      </c>
      <c r="E40" s="79"/>
      <c r="F40" s="80" t="str">
        <f>Toernooigegevens!G33</f>
        <v>Australië</v>
      </c>
      <c r="G40" s="81">
        <v>2</v>
      </c>
      <c r="H40" s="82" t="s">
        <v>29</v>
      </c>
      <c r="I40" s="95">
        <v>1</v>
      </c>
      <c r="J40" s="80" t="str">
        <f>Toernooigegevens!I33</f>
        <v>Servië</v>
      </c>
      <c r="K40" s="79"/>
      <c r="L40" s="60"/>
      <c r="M40" s="82" t="str">
        <f t="shared" si="11"/>
        <v>1</v>
      </c>
      <c r="P40" s="39">
        <f t="shared" si="1"/>
        <v>0</v>
      </c>
      <c r="R40" s="87"/>
      <c r="S40" s="86"/>
      <c r="T40" s="86"/>
      <c r="U40" s="86"/>
      <c r="V40" s="86"/>
      <c r="W40" s="86"/>
      <c r="X40" s="86"/>
      <c r="Y40" s="86"/>
      <c r="Z40" s="86"/>
      <c r="AA40" s="86"/>
      <c r="AD40" s="40" t="str">
        <f t="shared" si="12"/>
        <v>2 - 1</v>
      </c>
      <c r="AE40" s="41" t="str">
        <f t="shared" si="13"/>
        <v>1</v>
      </c>
      <c r="AM40" s="40">
        <f t="shared" si="4"/>
        <v>0</v>
      </c>
    </row>
    <row r="41" spans="1:39">
      <c r="A41" s="88"/>
      <c r="B41" s="60"/>
      <c r="C41" s="96"/>
      <c r="D41" s="90"/>
      <c r="E41" s="91"/>
      <c r="F41" s="60"/>
      <c r="G41" s="88"/>
      <c r="H41" s="92"/>
      <c r="I41" s="88"/>
      <c r="J41" s="60"/>
      <c r="K41" s="91"/>
      <c r="L41" s="60"/>
      <c r="M41" s="92" t="str">
        <f t="shared" si="11"/>
        <v/>
      </c>
      <c r="P41" s="39">
        <f t="shared" si="1"/>
        <v>0</v>
      </c>
      <c r="R41" s="87"/>
      <c r="S41" s="86"/>
      <c r="T41" s="86"/>
      <c r="U41" s="86"/>
      <c r="V41" s="86"/>
      <c r="W41" s="86"/>
      <c r="X41" s="86"/>
      <c r="Y41" s="86"/>
      <c r="Z41" s="86"/>
      <c r="AA41" s="86"/>
      <c r="AD41" s="40" t="str">
        <f t="shared" si="12"/>
        <v xml:space="preserve"> - </v>
      </c>
      <c r="AE41" s="41" t="str">
        <f t="shared" si="13"/>
        <v/>
      </c>
      <c r="AM41" s="40">
        <f t="shared" si="4"/>
        <v>0</v>
      </c>
    </row>
    <row r="42" spans="1:39">
      <c r="A42" s="56" t="s">
        <v>34</v>
      </c>
      <c r="B42" s="57"/>
      <c r="C42" s="57"/>
      <c r="D42" s="57"/>
      <c r="E42" s="57"/>
      <c r="F42" s="57"/>
      <c r="G42" s="58"/>
      <c r="H42" s="57"/>
      <c r="I42" s="58"/>
      <c r="J42" s="57"/>
      <c r="K42" s="59"/>
      <c r="L42" s="60"/>
      <c r="M42" s="61" t="s">
        <v>20</v>
      </c>
      <c r="P42" s="39">
        <f t="shared" si="1"/>
        <v>0</v>
      </c>
      <c r="R42" s="62" t="str">
        <f>Invulblad!A42</f>
        <v>Groep E</v>
      </c>
      <c r="S42" s="63"/>
      <c r="T42" s="63" t="s">
        <v>21</v>
      </c>
      <c r="U42" s="64" t="s">
        <v>22</v>
      </c>
      <c r="V42" s="64" t="s">
        <v>23</v>
      </c>
      <c r="W42" s="64" t="s">
        <v>24</v>
      </c>
      <c r="X42" s="64" t="s">
        <v>25</v>
      </c>
      <c r="Y42" s="64" t="s">
        <v>26</v>
      </c>
      <c r="Z42" s="64" t="s">
        <v>27</v>
      </c>
      <c r="AA42" s="64" t="s">
        <v>28</v>
      </c>
      <c r="AM42" s="40">
        <f t="shared" si="4"/>
        <v>0</v>
      </c>
    </row>
    <row r="43" spans="1:39">
      <c r="A43" s="65">
        <f>Toernooigegevens!B36</f>
        <v>9</v>
      </c>
      <c r="B43" s="66">
        <f>Toernooigegevens!C36</f>
        <v>40343.5625</v>
      </c>
      <c r="C43" s="67">
        <f>Toernooigegevens!D36</f>
        <v>40343.5625</v>
      </c>
      <c r="D43" s="68">
        <f>Toernooigegevens!E36</f>
        <v>40343.5625</v>
      </c>
      <c r="E43" s="69"/>
      <c r="F43" s="70" t="str">
        <f>Toernooigegevens!G36</f>
        <v>Nederland</v>
      </c>
      <c r="G43" s="71">
        <v>2</v>
      </c>
      <c r="H43" s="72" t="s">
        <v>29</v>
      </c>
      <c r="I43" s="71">
        <v>0</v>
      </c>
      <c r="J43" s="70" t="str">
        <f>Toernooigegevens!I36</f>
        <v>Denemarken</v>
      </c>
      <c r="K43" s="69"/>
      <c r="L43" s="60"/>
      <c r="M43" s="72" t="str">
        <f t="shared" ref="M43:M49" si="14">IF(AND(G43="",I43=""),"",IF(OR(G43="",I43=""),"FOUT",IF(G43&gt;I43,"1",IF(G43=I43,3,2))))</f>
        <v>1</v>
      </c>
      <c r="O43" s="39" t="str">
        <f>RIGHT(Q43)</f>
        <v>E</v>
      </c>
      <c r="P43" s="39">
        <f t="shared" ref="P43:P70" si="15">IF(T43=3,3,0)</f>
        <v>3</v>
      </c>
      <c r="Q43" s="39" t="str">
        <f>CONCATENATE(R43,RIGHT(R42,1))</f>
        <v>1E</v>
      </c>
      <c r="R43" s="73">
        <v>1</v>
      </c>
      <c r="S43" s="74" t="str">
        <f>INDEX('Poule berekeningen'!$C$77:$J$80,MATCH($R43,'Poule berekeningen'!$M$77:$M$80,0),1)</f>
        <v>Nederland</v>
      </c>
      <c r="T43" s="74">
        <f>SUM(V43:X43)</f>
        <v>3</v>
      </c>
      <c r="U43" s="74">
        <f>INDEX('Poule berekeningen'!$C$77:$J$80,MATCH($R43,'Poule berekeningen'!$M$77:$M$80,0),2)</f>
        <v>9</v>
      </c>
      <c r="V43" s="74">
        <f>INDEX('Poule berekeningen'!$C$77:$J$80,MATCH($R43,'Poule berekeningen'!$M$77:$M$80,0),3)</f>
        <v>3</v>
      </c>
      <c r="W43" s="74">
        <f>INDEX('Poule berekeningen'!$C$77:$J$80,MATCH($R43,'Poule berekeningen'!$M$77:$M$80,0),4)</f>
        <v>0</v>
      </c>
      <c r="X43" s="74">
        <f>INDEX('Poule berekeningen'!$C$77:$J$80,MATCH($R43,'Poule berekeningen'!$M$77:$M$80,0),5)</f>
        <v>0</v>
      </c>
      <c r="Y43" s="74">
        <f>INDEX('Poule berekeningen'!$C$77:$J$80,MATCH($R43,'Poule berekeningen'!$M$77:$M$80,0),6)</f>
        <v>5</v>
      </c>
      <c r="Z43" s="74">
        <f>INDEX('Poule berekeningen'!$C$77:$J$80,MATCH($R43,'Poule berekeningen'!$M$77:$M$80,0),7)</f>
        <v>1</v>
      </c>
      <c r="AA43" s="74">
        <f>INDEX('Poule berekeningen'!$C$77:$J$80,MATCH($R43,'Poule berekeningen'!$M$77:$M$80,0),8)</f>
        <v>4</v>
      </c>
      <c r="AD43" s="40" t="str">
        <f t="shared" ref="AD43:AD49" si="16">CONCATENATE(G43," - ",I43)</f>
        <v>2 - 0</v>
      </c>
      <c r="AE43" s="41" t="str">
        <f t="shared" ref="AE43:AE49" si="17">M43</f>
        <v>1</v>
      </c>
      <c r="AM43" s="40">
        <f t="shared" ref="AM43:AM72" si="18">IF(OR(AND(M43&lt;&gt;"",M43&lt;&gt;"FOUT"),A43=""),0,"x")</f>
        <v>0</v>
      </c>
    </row>
    <row r="44" spans="1:39">
      <c r="A44" s="75">
        <f>Toernooigegevens!B37</f>
        <v>10</v>
      </c>
      <c r="B44" s="76">
        <f>Toernooigegevens!C37</f>
        <v>40343.666666666664</v>
      </c>
      <c r="C44" s="77">
        <f>Toernooigegevens!D37</f>
        <v>40343.666666666664</v>
      </c>
      <c r="D44" s="78">
        <f>Toernooigegevens!E37</f>
        <v>40343.666666666664</v>
      </c>
      <c r="E44" s="79"/>
      <c r="F44" s="80" t="str">
        <f>Toernooigegevens!G37</f>
        <v>Japan</v>
      </c>
      <c r="G44" s="81">
        <v>1</v>
      </c>
      <c r="H44" s="82" t="s">
        <v>29</v>
      </c>
      <c r="I44" s="81">
        <v>0</v>
      </c>
      <c r="J44" s="80" t="str">
        <f>Toernooigegevens!I37</f>
        <v>Kameroen</v>
      </c>
      <c r="K44" s="79"/>
      <c r="L44" s="60"/>
      <c r="M44" s="82" t="str">
        <f t="shared" si="14"/>
        <v>1</v>
      </c>
      <c r="O44" s="39" t="str">
        <f>RIGHT(Q44)</f>
        <v>E</v>
      </c>
      <c r="P44" s="39">
        <f t="shared" si="15"/>
        <v>3</v>
      </c>
      <c r="Q44" s="39" t="str">
        <f>CONCATENATE(R44,RIGHT(R42,1))</f>
        <v>2E</v>
      </c>
      <c r="R44" s="83">
        <v>2</v>
      </c>
      <c r="S44" s="84" t="str">
        <f>INDEX('Poule berekeningen'!$C$77:$J$80,MATCH($R44,'Poule berekeningen'!$M$77:$M$80,0),1)</f>
        <v>Japan</v>
      </c>
      <c r="T44" s="84">
        <f>SUM(V44:X44)</f>
        <v>3</v>
      </c>
      <c r="U44" s="84">
        <f>INDEX('Poule berekeningen'!$C$77:$J$80,MATCH($R44,'Poule berekeningen'!$M$77:$M$80,0),2)</f>
        <v>6</v>
      </c>
      <c r="V44" s="84">
        <f>INDEX('Poule berekeningen'!$C$77:$J$80,MATCH($R44,'Poule berekeningen'!$M$77:$M$80,0),3)</f>
        <v>2</v>
      </c>
      <c r="W44" s="84">
        <f>INDEX('Poule berekeningen'!$C$77:$J$80,MATCH($R44,'Poule berekeningen'!$M$77:$M$80,0),4)</f>
        <v>0</v>
      </c>
      <c r="X44" s="84">
        <f>INDEX('Poule berekeningen'!$C$77:$J$80,MATCH($R44,'Poule berekeningen'!$M$77:$M$80,0),5)</f>
        <v>1</v>
      </c>
      <c r="Y44" s="84">
        <f>INDEX('Poule berekeningen'!$C$77:$J$80,MATCH($R44,'Poule berekeningen'!$M$77:$M$80,0),6)</f>
        <v>4</v>
      </c>
      <c r="Z44" s="84">
        <f>INDEX('Poule berekeningen'!$C$77:$J$80,MATCH($R44,'Poule berekeningen'!$M$77:$M$80,0),7)</f>
        <v>2</v>
      </c>
      <c r="AA44" s="84">
        <f>INDEX('Poule berekeningen'!$C$77:$J$80,MATCH($R44,'Poule berekeningen'!$M$77:$M$80,0),8)</f>
        <v>2</v>
      </c>
      <c r="AD44" s="40" t="str">
        <f t="shared" si="16"/>
        <v>1 - 0</v>
      </c>
      <c r="AE44" s="41" t="str">
        <f t="shared" si="17"/>
        <v>1</v>
      </c>
      <c r="AM44" s="40">
        <f t="shared" si="18"/>
        <v>0</v>
      </c>
    </row>
    <row r="45" spans="1:39">
      <c r="A45" s="65">
        <f>Toernooigegevens!B38</f>
        <v>25</v>
      </c>
      <c r="B45" s="66">
        <f>Toernooigegevens!C38</f>
        <v>40348.5625</v>
      </c>
      <c r="C45" s="67">
        <f>Toernooigegevens!D38</f>
        <v>40348.5625</v>
      </c>
      <c r="D45" s="68">
        <f>Toernooigegevens!E38</f>
        <v>40348.5625</v>
      </c>
      <c r="E45" s="69"/>
      <c r="F45" s="70" t="str">
        <f>Toernooigegevens!G38</f>
        <v>Nederland</v>
      </c>
      <c r="G45" s="71">
        <v>1</v>
      </c>
      <c r="H45" s="72" t="s">
        <v>29</v>
      </c>
      <c r="I45" s="71">
        <v>0</v>
      </c>
      <c r="J45" s="70" t="str">
        <f>Toernooigegevens!I38</f>
        <v>Japan</v>
      </c>
      <c r="K45" s="69"/>
      <c r="L45" s="60"/>
      <c r="M45" s="72" t="str">
        <f t="shared" si="14"/>
        <v>1</v>
      </c>
      <c r="O45" s="39" t="str">
        <f>RIGHT(Q45)</f>
        <v>E</v>
      </c>
      <c r="P45" s="39">
        <f t="shared" si="15"/>
        <v>3</v>
      </c>
      <c r="Q45" s="39" t="str">
        <f>CONCATENATE(R45,RIGHT(R42,1))</f>
        <v>3E</v>
      </c>
      <c r="R45" s="73">
        <v>3</v>
      </c>
      <c r="S45" s="74" t="str">
        <f>INDEX('Poule berekeningen'!$C$77:$J$80,MATCH($R45,'Poule berekeningen'!$M$77:$M$80,0),1)</f>
        <v>Denemarken</v>
      </c>
      <c r="T45" s="74">
        <f>SUM(V45:X45)</f>
        <v>3</v>
      </c>
      <c r="U45" s="74">
        <f>INDEX('Poule berekeningen'!$C$77:$J$80,MATCH($R45,'Poule berekeningen'!$M$77:$M$80,0),2)</f>
        <v>3</v>
      </c>
      <c r="V45" s="74">
        <f>INDEX('Poule berekeningen'!$C$77:$J$80,MATCH($R45,'Poule berekeningen'!$M$77:$M$80,0),3)</f>
        <v>1</v>
      </c>
      <c r="W45" s="74">
        <f>INDEX('Poule berekeningen'!$C$77:$J$80,MATCH($R45,'Poule berekeningen'!$M$77:$M$80,0),4)</f>
        <v>0</v>
      </c>
      <c r="X45" s="74">
        <f>INDEX('Poule berekeningen'!$C$77:$J$80,MATCH($R45,'Poule berekeningen'!$M$77:$M$80,0),5)</f>
        <v>2</v>
      </c>
      <c r="Y45" s="74">
        <f>INDEX('Poule berekeningen'!$C$77:$J$80,MATCH($R45,'Poule berekeningen'!$M$77:$M$80,0),6)</f>
        <v>3</v>
      </c>
      <c r="Z45" s="74">
        <f>INDEX('Poule berekeningen'!$C$77:$J$80,MATCH($R45,'Poule berekeningen'!$M$77:$M$80,0),7)</f>
        <v>6</v>
      </c>
      <c r="AA45" s="74">
        <f>INDEX('Poule berekeningen'!$C$77:$J$80,MATCH($R45,'Poule berekeningen'!$M$77:$M$80,0),8)</f>
        <v>-3</v>
      </c>
      <c r="AD45" s="40" t="str">
        <f t="shared" si="16"/>
        <v>1 - 0</v>
      </c>
      <c r="AE45" s="41" t="str">
        <f t="shared" si="17"/>
        <v>1</v>
      </c>
      <c r="AM45" s="40">
        <f t="shared" si="18"/>
        <v>0</v>
      </c>
    </row>
    <row r="46" spans="1:39">
      <c r="A46" s="75">
        <f>Toernooigegevens!B39</f>
        <v>26</v>
      </c>
      <c r="B46" s="76">
        <f>Toernooigegevens!C39</f>
        <v>40348.854166666664</v>
      </c>
      <c r="C46" s="77">
        <f>Toernooigegevens!D39</f>
        <v>40348.854166666664</v>
      </c>
      <c r="D46" s="78">
        <f>Toernooigegevens!E39</f>
        <v>40348.854166666664</v>
      </c>
      <c r="E46" s="79"/>
      <c r="F46" s="80" t="str">
        <f>Toernooigegevens!G39</f>
        <v>Kameroen</v>
      </c>
      <c r="G46" s="81">
        <v>1</v>
      </c>
      <c r="H46" s="82" t="s">
        <v>29</v>
      </c>
      <c r="I46" s="81">
        <v>2</v>
      </c>
      <c r="J46" s="80" t="str">
        <f>Toernooigegevens!I39</f>
        <v>Denemarken</v>
      </c>
      <c r="K46" s="79"/>
      <c r="L46" s="60"/>
      <c r="M46" s="82">
        <f t="shared" si="14"/>
        <v>2</v>
      </c>
      <c r="O46" s="39" t="str">
        <f>RIGHT(Q46)</f>
        <v>E</v>
      </c>
      <c r="P46" s="39">
        <f t="shared" si="15"/>
        <v>3</v>
      </c>
      <c r="Q46" s="39" t="str">
        <f>CONCATENATE(R46,RIGHT(R42,1))</f>
        <v>4E</v>
      </c>
      <c r="R46" s="83">
        <v>4</v>
      </c>
      <c r="S46" s="84" t="str">
        <f>INDEX('Poule berekeningen'!$C$77:$J$80,MATCH($R46,'Poule berekeningen'!$M$77:$M$80,0),1)</f>
        <v>Kameroen</v>
      </c>
      <c r="T46" s="84">
        <f>SUM(V46:X46)</f>
        <v>3</v>
      </c>
      <c r="U46" s="84">
        <f>INDEX('Poule berekeningen'!$C$77:$J$80,MATCH($R46,'Poule berekeningen'!$M$77:$M$80,0),2)</f>
        <v>0</v>
      </c>
      <c r="V46" s="84">
        <f>INDEX('Poule berekeningen'!$C$77:$J$80,MATCH($R46,'Poule berekeningen'!$M$77:$M$80,0),3)</f>
        <v>0</v>
      </c>
      <c r="W46" s="84">
        <f>INDEX('Poule berekeningen'!$C$77:$J$80,MATCH($R46,'Poule berekeningen'!$M$77:$M$80,0),4)</f>
        <v>0</v>
      </c>
      <c r="X46" s="84">
        <f>INDEX('Poule berekeningen'!$C$77:$J$80,MATCH($R46,'Poule berekeningen'!$M$77:$M$80,0),5)</f>
        <v>3</v>
      </c>
      <c r="Y46" s="84">
        <f>INDEX('Poule berekeningen'!$C$77:$J$80,MATCH($R46,'Poule berekeningen'!$M$77:$M$80,0),6)</f>
        <v>2</v>
      </c>
      <c r="Z46" s="84">
        <f>INDEX('Poule berekeningen'!$C$77:$J$80,MATCH($R46,'Poule berekeningen'!$M$77:$M$80,0),7)</f>
        <v>5</v>
      </c>
      <c r="AA46" s="84">
        <f>INDEX('Poule berekeningen'!$C$77:$J$80,MATCH($R46,'Poule berekeningen'!$M$77:$M$80,0),8)</f>
        <v>-3</v>
      </c>
      <c r="AD46" s="40" t="str">
        <f t="shared" si="16"/>
        <v>1 - 2</v>
      </c>
      <c r="AE46" s="41">
        <f t="shared" si="17"/>
        <v>2</v>
      </c>
      <c r="AM46" s="40">
        <f t="shared" si="18"/>
        <v>0</v>
      </c>
    </row>
    <row r="47" spans="1:39">
      <c r="A47" s="65">
        <f>Toernooigegevens!B40</f>
        <v>43</v>
      </c>
      <c r="B47" s="66">
        <f>Toernooigegevens!C40</f>
        <v>40353.854166666664</v>
      </c>
      <c r="C47" s="67">
        <f>Toernooigegevens!D40</f>
        <v>40353.854166666664</v>
      </c>
      <c r="D47" s="68">
        <f>Toernooigegevens!E40</f>
        <v>40353.854166666664</v>
      </c>
      <c r="E47" s="69"/>
      <c r="F47" s="70" t="str">
        <f>Toernooigegevens!G40</f>
        <v>Denemarken</v>
      </c>
      <c r="G47" s="71">
        <v>1</v>
      </c>
      <c r="H47" s="72" t="s">
        <v>29</v>
      </c>
      <c r="I47" s="71">
        <v>3</v>
      </c>
      <c r="J47" s="70" t="str">
        <f>Toernooigegevens!I40</f>
        <v>Japan</v>
      </c>
      <c r="K47" s="69"/>
      <c r="L47" s="60"/>
      <c r="M47" s="72">
        <f t="shared" si="14"/>
        <v>2</v>
      </c>
      <c r="P47" s="39">
        <f t="shared" si="15"/>
        <v>0</v>
      </c>
      <c r="R47" s="85" t="str">
        <f>IF(COUNT(G43:I48)=12,IF(COUNT(T43:T46)&lt;4,"Er is loting vereist in deze poule",""),"")</f>
        <v/>
      </c>
      <c r="S47" s="86"/>
      <c r="T47" s="86"/>
      <c r="U47" s="86"/>
      <c r="V47" s="86"/>
      <c r="W47" s="86"/>
      <c r="X47" s="86"/>
      <c r="Y47" s="86"/>
      <c r="Z47" s="86"/>
      <c r="AA47" s="86"/>
      <c r="AD47" s="40" t="str">
        <f t="shared" si="16"/>
        <v>1 - 3</v>
      </c>
      <c r="AE47" s="41">
        <f t="shared" si="17"/>
        <v>2</v>
      </c>
      <c r="AM47" s="40">
        <f t="shared" si="18"/>
        <v>0</v>
      </c>
    </row>
    <row r="48" spans="1:39">
      <c r="A48" s="75">
        <f>Toernooigegevens!B41</f>
        <v>44</v>
      </c>
      <c r="B48" s="76">
        <f>Toernooigegevens!C41</f>
        <v>40353.854166666664</v>
      </c>
      <c r="C48" s="77">
        <f>Toernooigegevens!D41</f>
        <v>40353.854166666664</v>
      </c>
      <c r="D48" s="78">
        <f>Toernooigegevens!E41</f>
        <v>40353.854166666664</v>
      </c>
      <c r="E48" s="79"/>
      <c r="F48" s="80" t="str">
        <f>Toernooigegevens!G41</f>
        <v>Kameroen</v>
      </c>
      <c r="G48" s="81">
        <v>1</v>
      </c>
      <c r="H48" s="82" t="s">
        <v>29</v>
      </c>
      <c r="I48" s="81">
        <v>2</v>
      </c>
      <c r="J48" s="80" t="str">
        <f>Toernooigegevens!I41</f>
        <v>Nederland</v>
      </c>
      <c r="K48" s="79"/>
      <c r="L48" s="60"/>
      <c r="M48" s="82">
        <f t="shared" si="14"/>
        <v>2</v>
      </c>
      <c r="P48" s="39">
        <f t="shared" si="15"/>
        <v>0</v>
      </c>
      <c r="R48" s="87"/>
      <c r="S48" s="86"/>
      <c r="T48" s="86"/>
      <c r="U48" s="86"/>
      <c r="V48" s="86"/>
      <c r="W48" s="86"/>
      <c r="X48" s="86"/>
      <c r="Y48" s="86"/>
      <c r="Z48" s="86"/>
      <c r="AA48" s="86"/>
      <c r="AD48" s="40" t="str">
        <f t="shared" si="16"/>
        <v>1 - 2</v>
      </c>
      <c r="AE48" s="41">
        <f t="shared" si="17"/>
        <v>2</v>
      </c>
      <c r="AM48" s="40">
        <f t="shared" si="18"/>
        <v>0</v>
      </c>
    </row>
    <row r="49" spans="1:39">
      <c r="A49" s="88"/>
      <c r="B49" s="60"/>
      <c r="C49" s="89"/>
      <c r="D49" s="90"/>
      <c r="E49" s="91"/>
      <c r="F49" s="60"/>
      <c r="G49" s="88"/>
      <c r="H49" s="92"/>
      <c r="I49" s="88"/>
      <c r="J49" s="60"/>
      <c r="K49" s="91"/>
      <c r="L49" s="60"/>
      <c r="M49" s="92" t="str">
        <f t="shared" si="14"/>
        <v/>
      </c>
      <c r="P49" s="39">
        <f t="shared" si="15"/>
        <v>0</v>
      </c>
      <c r="R49" s="87"/>
      <c r="S49" s="86"/>
      <c r="T49" s="86"/>
      <c r="U49" s="86"/>
      <c r="V49" s="86"/>
      <c r="W49" s="86"/>
      <c r="X49" s="86"/>
      <c r="Y49" s="86"/>
      <c r="Z49" s="86"/>
      <c r="AA49" s="86"/>
      <c r="AD49" s="40" t="str">
        <f t="shared" si="16"/>
        <v xml:space="preserve"> - </v>
      </c>
      <c r="AE49" s="41" t="str">
        <f t="shared" si="17"/>
        <v/>
      </c>
      <c r="AM49" s="40">
        <f t="shared" si="18"/>
        <v>0</v>
      </c>
    </row>
    <row r="50" spans="1:39">
      <c r="A50" s="56" t="s">
        <v>35</v>
      </c>
      <c r="B50" s="57"/>
      <c r="C50" s="57"/>
      <c r="D50" s="57"/>
      <c r="E50" s="57"/>
      <c r="F50" s="57"/>
      <c r="G50" s="58"/>
      <c r="H50" s="57"/>
      <c r="I50" s="58"/>
      <c r="J50" s="57"/>
      <c r="K50" s="59"/>
      <c r="L50" s="60"/>
      <c r="M50" s="61" t="s">
        <v>20</v>
      </c>
      <c r="P50" s="39">
        <f t="shared" si="15"/>
        <v>0</v>
      </c>
      <c r="R50" s="62" t="str">
        <f>Invulblad!A50</f>
        <v>Groep F</v>
      </c>
      <c r="S50" s="63"/>
      <c r="T50" s="63" t="s">
        <v>21</v>
      </c>
      <c r="U50" s="64" t="s">
        <v>22</v>
      </c>
      <c r="V50" s="64" t="s">
        <v>23</v>
      </c>
      <c r="W50" s="64" t="s">
        <v>24</v>
      </c>
      <c r="X50" s="64" t="s">
        <v>25</v>
      </c>
      <c r="Y50" s="64" t="s">
        <v>26</v>
      </c>
      <c r="Z50" s="64" t="s">
        <v>27</v>
      </c>
      <c r="AA50" s="64" t="s">
        <v>28</v>
      </c>
      <c r="AM50" s="40">
        <f t="shared" si="18"/>
        <v>0</v>
      </c>
    </row>
    <row r="51" spans="1:39">
      <c r="A51" s="65">
        <f>Toernooigegevens!B44</f>
        <v>11</v>
      </c>
      <c r="B51" s="66">
        <f>Toernooigegevens!C44</f>
        <v>40343.854166666664</v>
      </c>
      <c r="C51" s="67">
        <f>Toernooigegevens!D44</f>
        <v>40343.854166666664</v>
      </c>
      <c r="D51" s="68">
        <f>Toernooigegevens!E44</f>
        <v>40343.854166666664</v>
      </c>
      <c r="E51" s="69"/>
      <c r="F51" s="70" t="str">
        <f>Toernooigegevens!G44</f>
        <v>Italië</v>
      </c>
      <c r="G51" s="71">
        <v>1</v>
      </c>
      <c r="H51" s="72" t="s">
        <v>29</v>
      </c>
      <c r="I51" s="71">
        <v>1</v>
      </c>
      <c r="J51" s="70" t="str">
        <f>Toernooigegevens!I44</f>
        <v>Paraguay</v>
      </c>
      <c r="K51" s="69"/>
      <c r="L51" s="60"/>
      <c r="M51" s="72">
        <f t="shared" ref="M51:M57" si="19">IF(AND(G51="",I51=""),"",IF(OR(G51="",I51=""),"FOUT",IF(G51&gt;I51,"1",IF(G51=I51,3,2))))</f>
        <v>3</v>
      </c>
      <c r="O51" s="39" t="str">
        <f>RIGHT(Q51)</f>
        <v>F</v>
      </c>
      <c r="P51" s="39">
        <f t="shared" si="15"/>
        <v>3</v>
      </c>
      <c r="Q51" s="39" t="str">
        <f>CONCATENATE(R51,RIGHT(R50,1))</f>
        <v>1F</v>
      </c>
      <c r="R51" s="73">
        <v>1</v>
      </c>
      <c r="S51" s="74" t="str">
        <f>INDEX('Poule berekeningen'!$C$92:$J$95,MATCH($R51,'Poule berekeningen'!$M$92:$M$95,0),1)</f>
        <v>Paraguay</v>
      </c>
      <c r="T51" s="74">
        <f>SUM(V51:X51)</f>
        <v>3</v>
      </c>
      <c r="U51" s="74">
        <f>INDEX('Poule berekeningen'!$C$92:$J$95,MATCH($R51,'Poule berekeningen'!$M$92:$M$95,0),2)</f>
        <v>5</v>
      </c>
      <c r="V51" s="74">
        <f>INDEX('Poule berekeningen'!$C$92:$J$95,MATCH($R51,'Poule berekeningen'!$M$92:$M$95,0),3)</f>
        <v>1</v>
      </c>
      <c r="W51" s="74">
        <f>INDEX('Poule berekeningen'!$C$92:$J$95,MATCH($R51,'Poule berekeningen'!$M$92:$M$95,0),4)</f>
        <v>2</v>
      </c>
      <c r="X51" s="74">
        <f>INDEX('Poule berekeningen'!$C$92:$J$95,MATCH($R51,'Poule berekeningen'!$M$92:$M$95,0),5)</f>
        <v>0</v>
      </c>
      <c r="Y51" s="74">
        <f>INDEX('Poule berekeningen'!$C$92:$J$95,MATCH($R51,'Poule berekeningen'!$M$92:$M$95,0),6)</f>
        <v>3</v>
      </c>
      <c r="Z51" s="74">
        <f>INDEX('Poule berekeningen'!$C$92:$J$95,MATCH($R51,'Poule berekeningen'!$M$92:$M$95,0),7)</f>
        <v>1</v>
      </c>
      <c r="AA51" s="74">
        <f>INDEX('Poule berekeningen'!$C$92:$J$95,MATCH($R51,'Poule berekeningen'!$M$92:$M$95,0),8)</f>
        <v>2</v>
      </c>
      <c r="AD51" s="40" t="str">
        <f t="shared" ref="AD51:AD57" si="20">CONCATENATE(G51," - ",I51)</f>
        <v>1 - 1</v>
      </c>
      <c r="AE51" s="41">
        <f t="shared" ref="AE51:AE57" si="21">M51</f>
        <v>3</v>
      </c>
      <c r="AM51" s="40">
        <f t="shared" si="18"/>
        <v>0</v>
      </c>
    </row>
    <row r="52" spans="1:39">
      <c r="A52" s="75">
        <f>Toernooigegevens!B45</f>
        <v>12</v>
      </c>
      <c r="B52" s="76">
        <f>Toernooigegevens!C45</f>
        <v>40344.5625</v>
      </c>
      <c r="C52" s="77">
        <f>Toernooigegevens!D45</f>
        <v>40344.5625</v>
      </c>
      <c r="D52" s="78">
        <f>Toernooigegevens!E45</f>
        <v>40344.5625</v>
      </c>
      <c r="E52" s="79"/>
      <c r="F52" s="80" t="str">
        <f>Toernooigegevens!G45</f>
        <v>Nieuw-Zeeland</v>
      </c>
      <c r="G52" s="81">
        <v>1</v>
      </c>
      <c r="H52" s="82" t="s">
        <v>29</v>
      </c>
      <c r="I52" s="81">
        <v>1</v>
      </c>
      <c r="J52" s="80" t="str">
        <f>Toernooigegevens!I45</f>
        <v>Slowakije</v>
      </c>
      <c r="K52" s="79"/>
      <c r="L52" s="60"/>
      <c r="M52" s="82">
        <f t="shared" si="19"/>
        <v>3</v>
      </c>
      <c r="O52" s="39" t="str">
        <f>RIGHT(Q52)</f>
        <v>F</v>
      </c>
      <c r="P52" s="39">
        <f t="shared" si="15"/>
        <v>3</v>
      </c>
      <c r="Q52" s="39" t="str">
        <f>CONCATENATE(R52,RIGHT(R50,1))</f>
        <v>2F</v>
      </c>
      <c r="R52" s="83">
        <v>2</v>
      </c>
      <c r="S52" s="84" t="str">
        <f>INDEX('Poule berekeningen'!$C$92:$J$95,MATCH($R52,'Poule berekeningen'!$M$92:$M$95,0),1)</f>
        <v>Slowakije</v>
      </c>
      <c r="T52" s="84">
        <f>SUM(V52:X52)</f>
        <v>3</v>
      </c>
      <c r="U52" s="84">
        <f>INDEX('Poule berekeningen'!$C$92:$J$95,MATCH($R52,'Poule berekeningen'!$M$92:$M$95,0),2)</f>
        <v>4</v>
      </c>
      <c r="V52" s="84">
        <f>INDEX('Poule berekeningen'!$C$92:$J$95,MATCH($R52,'Poule berekeningen'!$M$92:$M$95,0),3)</f>
        <v>1</v>
      </c>
      <c r="W52" s="84">
        <f>INDEX('Poule berekeningen'!$C$92:$J$95,MATCH($R52,'Poule berekeningen'!$M$92:$M$95,0),4)</f>
        <v>1</v>
      </c>
      <c r="X52" s="84">
        <f>INDEX('Poule berekeningen'!$C$92:$J$95,MATCH($R52,'Poule berekeningen'!$M$92:$M$95,0),5)</f>
        <v>1</v>
      </c>
      <c r="Y52" s="84">
        <f>INDEX('Poule berekeningen'!$C$92:$J$95,MATCH($R52,'Poule berekeningen'!$M$92:$M$95,0),6)</f>
        <v>4</v>
      </c>
      <c r="Z52" s="84">
        <f>INDEX('Poule berekeningen'!$C$92:$J$95,MATCH($R52,'Poule berekeningen'!$M$92:$M$95,0),7)</f>
        <v>5</v>
      </c>
      <c r="AA52" s="84">
        <f>INDEX('Poule berekeningen'!$C$92:$J$95,MATCH($R52,'Poule berekeningen'!$M$92:$M$95,0),8)</f>
        <v>-1</v>
      </c>
      <c r="AD52" s="40" t="str">
        <f t="shared" si="20"/>
        <v>1 - 1</v>
      </c>
      <c r="AE52" s="41">
        <f t="shared" si="21"/>
        <v>3</v>
      </c>
      <c r="AM52" s="40">
        <f t="shared" si="18"/>
        <v>0</v>
      </c>
    </row>
    <row r="53" spans="1:39">
      <c r="A53" s="65">
        <f>Toernooigegevens!B46</f>
        <v>27</v>
      </c>
      <c r="B53" s="66">
        <f>Toernooigegevens!C46</f>
        <v>40349.5625</v>
      </c>
      <c r="C53" s="67">
        <f>Toernooigegevens!D46</f>
        <v>40349.5625</v>
      </c>
      <c r="D53" s="68">
        <f>Toernooigegevens!E46</f>
        <v>40349.5625</v>
      </c>
      <c r="E53" s="69"/>
      <c r="F53" s="70" t="str">
        <f>Toernooigegevens!G46</f>
        <v>Slowakije</v>
      </c>
      <c r="G53" s="71">
        <v>0</v>
      </c>
      <c r="H53" s="72" t="s">
        <v>29</v>
      </c>
      <c r="I53" s="71">
        <v>2</v>
      </c>
      <c r="J53" s="70" t="str">
        <f>Toernooigegevens!I46</f>
        <v>Paraguay</v>
      </c>
      <c r="K53" s="69"/>
      <c r="L53" s="60"/>
      <c r="M53" s="72">
        <f t="shared" si="19"/>
        <v>2</v>
      </c>
      <c r="O53" s="39" t="str">
        <f>RIGHT(Q53)</f>
        <v>F</v>
      </c>
      <c r="P53" s="39">
        <f t="shared" si="15"/>
        <v>3</v>
      </c>
      <c r="Q53" s="39" t="str">
        <f>CONCATENATE(R53,RIGHT(R50,1))</f>
        <v>3F</v>
      </c>
      <c r="R53" s="73">
        <v>3</v>
      </c>
      <c r="S53" s="74" t="str">
        <f>INDEX('Poule berekeningen'!$C$92:$J$95,MATCH($R53,'Poule berekeningen'!$M$92:$M$95,0),1)</f>
        <v>Nieuw-Zeeland</v>
      </c>
      <c r="T53" s="74">
        <f>SUM(V53:X53)</f>
        <v>3</v>
      </c>
      <c r="U53" s="74">
        <f>INDEX('Poule berekeningen'!$C$92:$J$95,MATCH($R53,'Poule berekeningen'!$M$92:$M$95,0),2)</f>
        <v>3</v>
      </c>
      <c r="V53" s="74">
        <f>INDEX('Poule berekeningen'!$C$92:$J$95,MATCH($R53,'Poule berekeningen'!$M$92:$M$95,0),3)</f>
        <v>0</v>
      </c>
      <c r="W53" s="74">
        <f>INDEX('Poule berekeningen'!$C$92:$J$95,MATCH($R53,'Poule berekeningen'!$M$92:$M$95,0),4)</f>
        <v>3</v>
      </c>
      <c r="X53" s="74">
        <f>INDEX('Poule berekeningen'!$C$92:$J$95,MATCH($R53,'Poule berekeningen'!$M$92:$M$95,0),5)</f>
        <v>0</v>
      </c>
      <c r="Y53" s="74">
        <f>INDEX('Poule berekeningen'!$C$92:$J$95,MATCH($R53,'Poule berekeningen'!$M$92:$M$95,0),6)</f>
        <v>2</v>
      </c>
      <c r="Z53" s="74">
        <f>INDEX('Poule berekeningen'!$C$92:$J$95,MATCH($R53,'Poule berekeningen'!$M$92:$M$95,0),7)</f>
        <v>2</v>
      </c>
      <c r="AA53" s="74">
        <f>INDEX('Poule berekeningen'!$C$92:$J$95,MATCH($R53,'Poule berekeningen'!$M$92:$M$95,0),8)</f>
        <v>0</v>
      </c>
      <c r="AD53" s="40" t="str">
        <f t="shared" si="20"/>
        <v>0 - 2</v>
      </c>
      <c r="AE53" s="41">
        <f t="shared" si="21"/>
        <v>2</v>
      </c>
      <c r="AM53" s="40">
        <f t="shared" si="18"/>
        <v>0</v>
      </c>
    </row>
    <row r="54" spans="1:39">
      <c r="A54" s="75">
        <f>Toernooigegevens!B47</f>
        <v>28</v>
      </c>
      <c r="B54" s="76">
        <f>Toernooigegevens!C47</f>
        <v>40349.666666666664</v>
      </c>
      <c r="C54" s="77">
        <f>Toernooigegevens!D47</f>
        <v>40349.666666666664</v>
      </c>
      <c r="D54" s="78">
        <f>Toernooigegevens!E47</f>
        <v>40349.666666666664</v>
      </c>
      <c r="E54" s="79"/>
      <c r="F54" s="80" t="str">
        <f>Toernooigegevens!G47</f>
        <v>Italië</v>
      </c>
      <c r="G54" s="81">
        <v>1</v>
      </c>
      <c r="H54" s="82" t="s">
        <v>29</v>
      </c>
      <c r="I54" s="81">
        <v>1</v>
      </c>
      <c r="J54" s="80" t="str">
        <f>Toernooigegevens!I47</f>
        <v>Nieuw-Zeeland</v>
      </c>
      <c r="K54" s="79"/>
      <c r="L54" s="60"/>
      <c r="M54" s="82">
        <f t="shared" si="19"/>
        <v>3</v>
      </c>
      <c r="O54" s="39" t="str">
        <f>RIGHT(Q54)</f>
        <v>F</v>
      </c>
      <c r="P54" s="39">
        <f t="shared" si="15"/>
        <v>3</v>
      </c>
      <c r="Q54" s="39" t="str">
        <f>CONCATENATE(R54,RIGHT(R50,1))</f>
        <v>4F</v>
      </c>
      <c r="R54" s="83">
        <v>4</v>
      </c>
      <c r="S54" s="84" t="str">
        <f>INDEX('Poule berekeningen'!$C$92:$J$95,MATCH($R54,'Poule berekeningen'!$M$92:$M$95,0),1)</f>
        <v>Italië</v>
      </c>
      <c r="T54" s="84">
        <f>SUM(V54:X54)</f>
        <v>3</v>
      </c>
      <c r="U54" s="84">
        <f>INDEX('Poule berekeningen'!$C$92:$J$95,MATCH($R54,'Poule berekeningen'!$M$92:$M$95,0),2)</f>
        <v>2</v>
      </c>
      <c r="V54" s="84">
        <f>INDEX('Poule berekeningen'!$C$92:$J$95,MATCH($R54,'Poule berekeningen'!$M$92:$M$95,0),3)</f>
        <v>0</v>
      </c>
      <c r="W54" s="84">
        <f>INDEX('Poule berekeningen'!$C$92:$J$95,MATCH($R54,'Poule berekeningen'!$M$92:$M$95,0),4)</f>
        <v>2</v>
      </c>
      <c r="X54" s="84">
        <f>INDEX('Poule berekeningen'!$C$92:$J$95,MATCH($R54,'Poule berekeningen'!$M$92:$M$95,0),5)</f>
        <v>1</v>
      </c>
      <c r="Y54" s="84">
        <f>INDEX('Poule berekeningen'!$C$92:$J$95,MATCH($R54,'Poule berekeningen'!$M$92:$M$95,0),6)</f>
        <v>4</v>
      </c>
      <c r="Z54" s="84">
        <f>INDEX('Poule berekeningen'!$C$92:$J$95,MATCH($R54,'Poule berekeningen'!$M$92:$M$95,0),7)</f>
        <v>5</v>
      </c>
      <c r="AA54" s="84">
        <f>INDEX('Poule berekeningen'!$C$92:$J$95,MATCH($R54,'Poule berekeningen'!$M$92:$M$95,0),8)</f>
        <v>-1</v>
      </c>
      <c r="AD54" s="40" t="str">
        <f t="shared" si="20"/>
        <v>1 - 1</v>
      </c>
      <c r="AE54" s="41">
        <f t="shared" si="21"/>
        <v>3</v>
      </c>
      <c r="AM54" s="40">
        <f t="shared" si="18"/>
        <v>0</v>
      </c>
    </row>
    <row r="55" spans="1:39">
      <c r="A55" s="65">
        <f>Toernooigegevens!B48</f>
        <v>41</v>
      </c>
      <c r="B55" s="66">
        <f>Toernooigegevens!C48</f>
        <v>40353.666666666664</v>
      </c>
      <c r="C55" s="67">
        <f>Toernooigegevens!D48</f>
        <v>40353.666666666664</v>
      </c>
      <c r="D55" s="68">
        <f>Toernooigegevens!E48</f>
        <v>40353.666666666664</v>
      </c>
      <c r="E55" s="69"/>
      <c r="F55" s="70" t="str">
        <f>Toernooigegevens!G48</f>
        <v>Slowakije</v>
      </c>
      <c r="G55" s="71">
        <v>3</v>
      </c>
      <c r="H55" s="72" t="s">
        <v>29</v>
      </c>
      <c r="I55" s="71">
        <v>2</v>
      </c>
      <c r="J55" s="70" t="str">
        <f>Toernooigegevens!I48</f>
        <v>Italië</v>
      </c>
      <c r="K55" s="69"/>
      <c r="L55" s="60"/>
      <c r="M55" s="72" t="str">
        <f t="shared" si="19"/>
        <v>1</v>
      </c>
      <c r="P55" s="39">
        <f t="shared" si="15"/>
        <v>0</v>
      </c>
      <c r="R55" s="85" t="str">
        <f>IF(COUNT(G51:I56)=12,IF(COUNT(T51:T54)&lt;4,"Er is loting vereist in deze poule",""),"")</f>
        <v/>
      </c>
      <c r="S55" s="86"/>
      <c r="T55" s="86"/>
      <c r="U55" s="86"/>
      <c r="V55" s="86"/>
      <c r="W55" s="86"/>
      <c r="X55" s="86"/>
      <c r="Y55" s="86"/>
      <c r="Z55" s="86"/>
      <c r="AA55" s="86"/>
      <c r="AD55" s="40" t="str">
        <f t="shared" si="20"/>
        <v>3 - 2</v>
      </c>
      <c r="AE55" s="41" t="str">
        <f t="shared" si="21"/>
        <v>1</v>
      </c>
      <c r="AM55" s="40">
        <f t="shared" si="18"/>
        <v>0</v>
      </c>
    </row>
    <row r="56" spans="1:39">
      <c r="A56" s="75">
        <f>Toernooigegevens!B49</f>
        <v>42</v>
      </c>
      <c r="B56" s="76">
        <f>Toernooigegevens!C49</f>
        <v>40353.666666666664</v>
      </c>
      <c r="C56" s="77">
        <f>Toernooigegevens!D49</f>
        <v>40353.666666666664</v>
      </c>
      <c r="D56" s="78">
        <f>Toernooigegevens!E49</f>
        <v>40353.666666666664</v>
      </c>
      <c r="E56" s="79"/>
      <c r="F56" s="80" t="str">
        <f>Toernooigegevens!G49</f>
        <v>Paraguay</v>
      </c>
      <c r="G56" s="81">
        <v>0</v>
      </c>
      <c r="H56" s="82" t="s">
        <v>29</v>
      </c>
      <c r="I56" s="81">
        <v>0</v>
      </c>
      <c r="J56" s="80" t="str">
        <f>Toernooigegevens!I49</f>
        <v>Nieuw-Zeeland</v>
      </c>
      <c r="K56" s="79"/>
      <c r="L56" s="60"/>
      <c r="M56" s="82">
        <f t="shared" si="19"/>
        <v>3</v>
      </c>
      <c r="P56" s="39">
        <f t="shared" si="15"/>
        <v>0</v>
      </c>
      <c r="R56" s="87"/>
      <c r="S56" s="86"/>
      <c r="T56" s="86"/>
      <c r="U56" s="86"/>
      <c r="V56" s="86"/>
      <c r="W56" s="86"/>
      <c r="X56" s="86"/>
      <c r="Y56" s="86"/>
      <c r="Z56" s="86"/>
      <c r="AA56" s="86"/>
      <c r="AD56" s="40" t="str">
        <f t="shared" si="20"/>
        <v>0 - 0</v>
      </c>
      <c r="AE56" s="41">
        <f t="shared" si="21"/>
        <v>3</v>
      </c>
      <c r="AM56" s="40">
        <f t="shared" si="18"/>
        <v>0</v>
      </c>
    </row>
    <row r="57" spans="1:39">
      <c r="A57" s="88"/>
      <c r="B57" s="60"/>
      <c r="C57" s="89"/>
      <c r="D57" s="90"/>
      <c r="E57" s="91"/>
      <c r="F57" s="60"/>
      <c r="G57" s="88"/>
      <c r="H57" s="92"/>
      <c r="I57" s="88"/>
      <c r="J57" s="60"/>
      <c r="K57" s="91"/>
      <c r="L57" s="60"/>
      <c r="M57" s="92" t="str">
        <f t="shared" si="19"/>
        <v/>
      </c>
      <c r="P57" s="39">
        <f t="shared" si="15"/>
        <v>0</v>
      </c>
      <c r="R57" s="87"/>
      <c r="S57" s="86"/>
      <c r="T57" s="86"/>
      <c r="U57" s="86"/>
      <c r="V57" s="86"/>
      <c r="W57" s="86"/>
      <c r="X57" s="86"/>
      <c r="Y57" s="86"/>
      <c r="Z57" s="86"/>
      <c r="AA57" s="86"/>
      <c r="AD57" s="40" t="str">
        <f t="shared" si="20"/>
        <v xml:space="preserve"> - </v>
      </c>
      <c r="AE57" s="41" t="str">
        <f t="shared" si="21"/>
        <v/>
      </c>
      <c r="AM57" s="40">
        <f t="shared" si="18"/>
        <v>0</v>
      </c>
    </row>
    <row r="58" spans="1:39">
      <c r="A58" s="56" t="s">
        <v>36</v>
      </c>
      <c r="B58" s="57"/>
      <c r="C58" s="57"/>
      <c r="D58" s="57"/>
      <c r="E58" s="57"/>
      <c r="F58" s="57"/>
      <c r="G58" s="58"/>
      <c r="H58" s="57"/>
      <c r="I58" s="58"/>
      <c r="J58" s="57"/>
      <c r="K58" s="59"/>
      <c r="L58" s="60"/>
      <c r="M58" s="61" t="s">
        <v>20</v>
      </c>
      <c r="P58" s="39">
        <f t="shared" si="15"/>
        <v>0</v>
      </c>
      <c r="R58" s="62" t="str">
        <f>Invulblad!A58</f>
        <v>Groep G</v>
      </c>
      <c r="S58" s="63"/>
      <c r="T58" s="63" t="s">
        <v>21</v>
      </c>
      <c r="U58" s="64" t="s">
        <v>22</v>
      </c>
      <c r="V58" s="64" t="s">
        <v>23</v>
      </c>
      <c r="W58" s="64" t="s">
        <v>24</v>
      </c>
      <c r="X58" s="64" t="s">
        <v>25</v>
      </c>
      <c r="Y58" s="64" t="s">
        <v>26</v>
      </c>
      <c r="Z58" s="64" t="s">
        <v>27</v>
      </c>
      <c r="AA58" s="64" t="s">
        <v>28</v>
      </c>
      <c r="AM58" s="40">
        <f t="shared" si="18"/>
        <v>0</v>
      </c>
    </row>
    <row r="59" spans="1:39">
      <c r="A59" s="65">
        <f>Toernooigegevens!B52</f>
        <v>13</v>
      </c>
      <c r="B59" s="66">
        <f>Toernooigegevens!C52</f>
        <v>40344.666666666664</v>
      </c>
      <c r="C59" s="67">
        <f>Toernooigegevens!D52</f>
        <v>40344.666666666664</v>
      </c>
      <c r="D59" s="68">
        <f>Toernooigegevens!E52</f>
        <v>40344.666666666664</v>
      </c>
      <c r="E59" s="69"/>
      <c r="F59" s="70" t="str">
        <f>Toernooigegevens!G52</f>
        <v>Ivoorkust</v>
      </c>
      <c r="G59" s="71">
        <v>0</v>
      </c>
      <c r="H59" s="72" t="s">
        <v>29</v>
      </c>
      <c r="I59" s="71">
        <v>0</v>
      </c>
      <c r="J59" s="70" t="str">
        <f>Toernooigegevens!I52</f>
        <v>Portugal</v>
      </c>
      <c r="K59" s="69"/>
      <c r="L59" s="60"/>
      <c r="M59" s="72">
        <f t="shared" ref="M59:M64" si="22">IF(AND(G59="",I59=""),"",IF(OR(G59="",I59=""),"FOUT",IF(G59&gt;I59,"1",IF(G59=I59,3,2))))</f>
        <v>3</v>
      </c>
      <c r="O59" s="39" t="str">
        <f>RIGHT(Q59)</f>
        <v>G</v>
      </c>
      <c r="P59" s="39">
        <f t="shared" si="15"/>
        <v>3</v>
      </c>
      <c r="Q59" s="39" t="str">
        <f>CONCATENATE(R59,RIGHT(R58,1))</f>
        <v>1G</v>
      </c>
      <c r="R59" s="73">
        <v>1</v>
      </c>
      <c r="S59" s="74" t="str">
        <f>INDEX('Poule berekeningen'!$C$107:$J$110,MATCH($R59,'Poule berekeningen'!$M$107:$M$110,0),1)</f>
        <v>Brazilië</v>
      </c>
      <c r="T59" s="74">
        <f>SUM(V59:X59)</f>
        <v>3</v>
      </c>
      <c r="U59" s="74">
        <f>INDEX('Poule berekeningen'!$C$107:$J$110,MATCH($R59,'Poule berekeningen'!$M$107:$M$110,0),2)</f>
        <v>7</v>
      </c>
      <c r="V59" s="74">
        <f>INDEX('Poule berekeningen'!$C$107:$J$110,MATCH($R59,'Poule berekeningen'!$M$107:$M$110,0),3)</f>
        <v>2</v>
      </c>
      <c r="W59" s="74">
        <f>INDEX('Poule berekeningen'!$C$107:$J$110,MATCH($R59,'Poule berekeningen'!$M$107:$M$110,0),4)</f>
        <v>1</v>
      </c>
      <c r="X59" s="74">
        <f>INDEX('Poule berekeningen'!$C$107:$J$110,MATCH($R59,'Poule berekeningen'!$M$107:$M$110,0),5)</f>
        <v>0</v>
      </c>
      <c r="Y59" s="74">
        <f>INDEX('Poule berekeningen'!$C$107:$J$110,MATCH($R59,'Poule berekeningen'!$M$107:$M$110,0),6)</f>
        <v>5</v>
      </c>
      <c r="Z59" s="74">
        <f>INDEX('Poule berekeningen'!$C$107:$J$110,MATCH($R59,'Poule berekeningen'!$M$107:$M$110,0),7)</f>
        <v>2</v>
      </c>
      <c r="AA59" s="74">
        <f>INDEX('Poule berekeningen'!$C$107:$J$110,MATCH($R59,'Poule berekeningen'!$M$107:$M$110,0),8)</f>
        <v>3</v>
      </c>
      <c r="AD59" s="40" t="str">
        <f t="shared" ref="AD59:AD64" si="23">CONCATENATE(G59," - ",I59)</f>
        <v>0 - 0</v>
      </c>
      <c r="AE59" s="41">
        <f t="shared" ref="AE59:AE64" si="24">M59</f>
        <v>3</v>
      </c>
      <c r="AM59" s="40">
        <f t="shared" si="18"/>
        <v>0</v>
      </c>
    </row>
    <row r="60" spans="1:39">
      <c r="A60" s="75">
        <f>Toernooigegevens!B53</f>
        <v>14</v>
      </c>
      <c r="B60" s="76">
        <f>Toernooigegevens!C53</f>
        <v>40344.854166666664</v>
      </c>
      <c r="C60" s="77">
        <f>Toernooigegevens!D53</f>
        <v>40344.854166666664</v>
      </c>
      <c r="D60" s="78">
        <f>Toernooigegevens!E53</f>
        <v>40344.854166666664</v>
      </c>
      <c r="E60" s="79"/>
      <c r="F60" s="80" t="str">
        <f>Toernooigegevens!G53</f>
        <v>Brazilië</v>
      </c>
      <c r="G60" s="81">
        <v>2</v>
      </c>
      <c r="H60" s="82" t="s">
        <v>29</v>
      </c>
      <c r="I60" s="81">
        <v>1</v>
      </c>
      <c r="J60" s="80" t="str">
        <f>Toernooigegevens!I53</f>
        <v>Noord-Korea</v>
      </c>
      <c r="K60" s="79"/>
      <c r="L60" s="60"/>
      <c r="M60" s="82" t="str">
        <f t="shared" si="22"/>
        <v>1</v>
      </c>
      <c r="O60" s="39" t="str">
        <f>RIGHT(Q60)</f>
        <v>G</v>
      </c>
      <c r="P60" s="39">
        <f t="shared" si="15"/>
        <v>3</v>
      </c>
      <c r="Q60" s="39" t="str">
        <f>CONCATENATE(R60,RIGHT(R58,1))</f>
        <v>2G</v>
      </c>
      <c r="R60" s="83">
        <v>2</v>
      </c>
      <c r="S60" s="84" t="str">
        <f>INDEX('Poule berekeningen'!$C$107:$J$110,MATCH($R60,'Poule berekeningen'!$M$107:$M$110,0),1)</f>
        <v>Portugal</v>
      </c>
      <c r="T60" s="84">
        <f>SUM(V60:X60)</f>
        <v>3</v>
      </c>
      <c r="U60" s="84">
        <f>INDEX('Poule berekeningen'!$C$107:$J$110,MATCH($R60,'Poule berekeningen'!$M$107:$M$110,0),2)</f>
        <v>5</v>
      </c>
      <c r="V60" s="84">
        <f>INDEX('Poule berekeningen'!$C$107:$J$110,MATCH($R60,'Poule berekeningen'!$M$107:$M$110,0),3)</f>
        <v>1</v>
      </c>
      <c r="W60" s="84">
        <f>INDEX('Poule berekeningen'!$C$107:$J$110,MATCH($R60,'Poule berekeningen'!$M$107:$M$110,0),4)</f>
        <v>2</v>
      </c>
      <c r="X60" s="84">
        <f>INDEX('Poule berekeningen'!$C$107:$J$110,MATCH($R60,'Poule berekeningen'!$M$107:$M$110,0),5)</f>
        <v>0</v>
      </c>
      <c r="Y60" s="84">
        <f>INDEX('Poule berekeningen'!$C$107:$J$110,MATCH($R60,'Poule berekeningen'!$M$107:$M$110,0),6)</f>
        <v>7</v>
      </c>
      <c r="Z60" s="84">
        <f>INDEX('Poule berekeningen'!$C$107:$J$110,MATCH($R60,'Poule berekeningen'!$M$107:$M$110,0),7)</f>
        <v>0</v>
      </c>
      <c r="AA60" s="84">
        <f>INDEX('Poule berekeningen'!$C$107:$J$110,MATCH($R60,'Poule berekeningen'!$M$107:$M$110,0),8)</f>
        <v>7</v>
      </c>
      <c r="AD60" s="40" t="str">
        <f t="shared" si="23"/>
        <v>2 - 1</v>
      </c>
      <c r="AE60" s="41" t="str">
        <f t="shared" si="24"/>
        <v>1</v>
      </c>
      <c r="AM60" s="40">
        <f t="shared" si="18"/>
        <v>0</v>
      </c>
    </row>
    <row r="61" spans="1:39">
      <c r="A61" s="65">
        <f>Toernooigegevens!B54</f>
        <v>29</v>
      </c>
      <c r="B61" s="66">
        <f>Toernooigegevens!C54</f>
        <v>40349.854166666664</v>
      </c>
      <c r="C61" s="67">
        <f>Toernooigegevens!D54</f>
        <v>40349.854166666664</v>
      </c>
      <c r="D61" s="68">
        <f>Toernooigegevens!E54</f>
        <v>40349.854166666664</v>
      </c>
      <c r="E61" s="69"/>
      <c r="F61" s="70" t="str">
        <f>Toernooigegevens!G54</f>
        <v>Brazilië</v>
      </c>
      <c r="G61" s="71">
        <v>3</v>
      </c>
      <c r="H61" s="72" t="s">
        <v>29</v>
      </c>
      <c r="I61" s="71">
        <v>1</v>
      </c>
      <c r="J61" s="70" t="str">
        <f>Toernooigegevens!I54</f>
        <v>Ivoorkust</v>
      </c>
      <c r="K61" s="69"/>
      <c r="L61" s="60"/>
      <c r="M61" s="72" t="str">
        <f t="shared" si="22"/>
        <v>1</v>
      </c>
      <c r="O61" s="39" t="str">
        <f>RIGHT(Q61)</f>
        <v>G</v>
      </c>
      <c r="P61" s="39">
        <f t="shared" si="15"/>
        <v>3</v>
      </c>
      <c r="Q61" s="39" t="str">
        <f>CONCATENATE(R61,RIGHT(R58,1))</f>
        <v>3G</v>
      </c>
      <c r="R61" s="73">
        <v>3</v>
      </c>
      <c r="S61" s="74" t="str">
        <f>INDEX('Poule berekeningen'!$C$107:$J$110,MATCH($R61,'Poule berekeningen'!$M$107:$M$110,0),1)</f>
        <v>Ivoorkust</v>
      </c>
      <c r="T61" s="74">
        <f>SUM(V61:X61)</f>
        <v>3</v>
      </c>
      <c r="U61" s="74">
        <f>INDEX('Poule berekeningen'!$C$107:$J$110,MATCH($R61,'Poule berekeningen'!$M$107:$M$110,0),2)</f>
        <v>4</v>
      </c>
      <c r="V61" s="74">
        <f>INDEX('Poule berekeningen'!$C$107:$J$110,MATCH($R61,'Poule berekeningen'!$M$107:$M$110,0),3)</f>
        <v>1</v>
      </c>
      <c r="W61" s="74">
        <f>INDEX('Poule berekeningen'!$C$107:$J$110,MATCH($R61,'Poule berekeningen'!$M$107:$M$110,0),4)</f>
        <v>1</v>
      </c>
      <c r="X61" s="74">
        <f>INDEX('Poule berekeningen'!$C$107:$J$110,MATCH($R61,'Poule berekeningen'!$M$107:$M$110,0),5)</f>
        <v>1</v>
      </c>
      <c r="Y61" s="74">
        <f>INDEX('Poule berekeningen'!$C$107:$J$110,MATCH($R61,'Poule berekeningen'!$M$107:$M$110,0),6)</f>
        <v>4</v>
      </c>
      <c r="Z61" s="74">
        <f>INDEX('Poule berekeningen'!$C$107:$J$110,MATCH($R61,'Poule berekeningen'!$M$107:$M$110,0),7)</f>
        <v>3</v>
      </c>
      <c r="AA61" s="74">
        <f>INDEX('Poule berekeningen'!$C$107:$J$110,MATCH($R61,'Poule berekeningen'!$M$107:$M$110,0),8)</f>
        <v>1</v>
      </c>
      <c r="AD61" s="40" t="str">
        <f t="shared" si="23"/>
        <v>3 - 1</v>
      </c>
      <c r="AE61" s="41" t="str">
        <f t="shared" si="24"/>
        <v>1</v>
      </c>
      <c r="AM61" s="40">
        <f t="shared" si="18"/>
        <v>0</v>
      </c>
    </row>
    <row r="62" spans="1:39">
      <c r="A62" s="75">
        <f>Toernooigegevens!B55</f>
        <v>30</v>
      </c>
      <c r="B62" s="76">
        <f>Toernooigegevens!C55</f>
        <v>40350.5625</v>
      </c>
      <c r="C62" s="77">
        <f>Toernooigegevens!D55</f>
        <v>40350.5625</v>
      </c>
      <c r="D62" s="78">
        <f>Toernooigegevens!E55</f>
        <v>40350.5625</v>
      </c>
      <c r="E62" s="79"/>
      <c r="F62" s="80" t="str">
        <f>Toernooigegevens!G55</f>
        <v>Portugal</v>
      </c>
      <c r="G62" s="81">
        <v>7</v>
      </c>
      <c r="H62" s="82" t="s">
        <v>29</v>
      </c>
      <c r="I62" s="81">
        <v>0</v>
      </c>
      <c r="J62" s="80" t="str">
        <f>Toernooigegevens!I55</f>
        <v>Noord-Korea</v>
      </c>
      <c r="K62" s="79"/>
      <c r="L62" s="60"/>
      <c r="M62" s="82" t="str">
        <f t="shared" si="22"/>
        <v>1</v>
      </c>
      <c r="O62" s="39" t="str">
        <f>RIGHT(Q62)</f>
        <v>G</v>
      </c>
      <c r="P62" s="39">
        <f t="shared" si="15"/>
        <v>3</v>
      </c>
      <c r="Q62" s="39" t="str">
        <f>CONCATENATE(R62,RIGHT(R58,1))</f>
        <v>4G</v>
      </c>
      <c r="R62" s="83">
        <v>4</v>
      </c>
      <c r="S62" s="84" t="str">
        <f>INDEX('Poule berekeningen'!$C$107:$J$110,MATCH($R62,'Poule berekeningen'!$M$107:$M$110,0),1)</f>
        <v>Noord-Korea</v>
      </c>
      <c r="T62" s="84">
        <f>SUM(V62:X62)</f>
        <v>3</v>
      </c>
      <c r="U62" s="84">
        <f>INDEX('Poule berekeningen'!$C$107:$J$110,MATCH($R62,'Poule berekeningen'!$M$107:$M$110,0),2)</f>
        <v>0</v>
      </c>
      <c r="V62" s="84">
        <f>INDEX('Poule berekeningen'!$C$107:$J$110,MATCH($R62,'Poule berekeningen'!$M$107:$M$110,0),3)</f>
        <v>0</v>
      </c>
      <c r="W62" s="84">
        <f>INDEX('Poule berekeningen'!$C$107:$J$110,MATCH($R62,'Poule berekeningen'!$M$107:$M$110,0),4)</f>
        <v>0</v>
      </c>
      <c r="X62" s="84">
        <f>INDEX('Poule berekeningen'!$C$107:$J$110,MATCH($R62,'Poule berekeningen'!$M$107:$M$110,0),5)</f>
        <v>3</v>
      </c>
      <c r="Y62" s="84">
        <f>INDEX('Poule berekeningen'!$C$107:$J$110,MATCH($R62,'Poule berekeningen'!$M$107:$M$110,0),6)</f>
        <v>1</v>
      </c>
      <c r="Z62" s="84">
        <f>INDEX('Poule berekeningen'!$C$107:$J$110,MATCH($R62,'Poule berekeningen'!$M$107:$M$110,0),7)</f>
        <v>12</v>
      </c>
      <c r="AA62" s="84">
        <f>INDEX('Poule berekeningen'!$C$107:$J$110,MATCH($R62,'Poule berekeningen'!$M$107:$M$110,0),8)</f>
        <v>-11</v>
      </c>
      <c r="AD62" s="40" t="str">
        <f t="shared" si="23"/>
        <v>7 - 0</v>
      </c>
      <c r="AE62" s="41" t="str">
        <f t="shared" si="24"/>
        <v>1</v>
      </c>
      <c r="AM62" s="40">
        <f t="shared" si="18"/>
        <v>0</v>
      </c>
    </row>
    <row r="63" spans="1:39">
      <c r="A63" s="65">
        <f>Toernooigegevens!B56</f>
        <v>45</v>
      </c>
      <c r="B63" s="66">
        <f>Toernooigegevens!C56</f>
        <v>40354.666666666664</v>
      </c>
      <c r="C63" s="67">
        <f>Toernooigegevens!D56</f>
        <v>40354.666666666664</v>
      </c>
      <c r="D63" s="68">
        <f>Toernooigegevens!E56</f>
        <v>40354.666666666664</v>
      </c>
      <c r="E63" s="69"/>
      <c r="F63" s="70" t="str">
        <f>Toernooigegevens!G56</f>
        <v>Portugal</v>
      </c>
      <c r="G63" s="71">
        <v>0</v>
      </c>
      <c r="H63" s="72" t="s">
        <v>29</v>
      </c>
      <c r="I63" s="71">
        <v>0</v>
      </c>
      <c r="J63" s="70" t="str">
        <f>Toernooigegevens!I56</f>
        <v>Brazilië</v>
      </c>
      <c r="K63" s="69"/>
      <c r="L63" s="60"/>
      <c r="M63" s="72">
        <f t="shared" si="22"/>
        <v>3</v>
      </c>
      <c r="P63" s="39">
        <f t="shared" si="15"/>
        <v>0</v>
      </c>
      <c r="R63" s="85" t="str">
        <f>IF(COUNT(G59:I64)=12,IF(COUNT(T59:T62)&lt;4,"Er is loting vereist in deze poule",""),"")</f>
        <v/>
      </c>
      <c r="S63" s="86"/>
      <c r="T63" s="86"/>
      <c r="U63" s="86"/>
      <c r="V63" s="86"/>
      <c r="W63" s="86"/>
      <c r="X63" s="86"/>
      <c r="Y63" s="86"/>
      <c r="Z63" s="86"/>
      <c r="AA63" s="86"/>
      <c r="AD63" s="40" t="str">
        <f t="shared" si="23"/>
        <v>0 - 0</v>
      </c>
      <c r="AE63" s="41">
        <f t="shared" si="24"/>
        <v>3</v>
      </c>
      <c r="AM63" s="40">
        <f t="shared" si="18"/>
        <v>0</v>
      </c>
    </row>
    <row r="64" spans="1:39">
      <c r="A64" s="75">
        <f>Toernooigegevens!B57</f>
        <v>46</v>
      </c>
      <c r="B64" s="76">
        <f>Toernooigegevens!C57</f>
        <v>40354.666666666664</v>
      </c>
      <c r="C64" s="77">
        <f>Toernooigegevens!D57</f>
        <v>40354.666666666664</v>
      </c>
      <c r="D64" s="78">
        <f>Toernooigegevens!E57</f>
        <v>40354.666666666664</v>
      </c>
      <c r="E64" s="79"/>
      <c r="F64" s="80" t="str">
        <f>Toernooigegevens!G57</f>
        <v>Noord-Korea</v>
      </c>
      <c r="G64" s="81">
        <v>0</v>
      </c>
      <c r="H64" s="82" t="s">
        <v>29</v>
      </c>
      <c r="I64" s="81">
        <v>3</v>
      </c>
      <c r="J64" s="80" t="str">
        <f>Toernooigegevens!I57</f>
        <v>Ivoorkust</v>
      </c>
      <c r="K64" s="79"/>
      <c r="L64" s="60"/>
      <c r="M64" s="82">
        <f t="shared" si="22"/>
        <v>2</v>
      </c>
      <c r="P64" s="39">
        <f t="shared" si="15"/>
        <v>0</v>
      </c>
      <c r="R64" s="87"/>
      <c r="S64" s="86"/>
      <c r="T64" s="86"/>
      <c r="U64" s="86"/>
      <c r="V64" s="86"/>
      <c r="W64" s="86"/>
      <c r="X64" s="86"/>
      <c r="Y64" s="86"/>
      <c r="Z64" s="86"/>
      <c r="AA64" s="86"/>
      <c r="AD64" s="40" t="str">
        <f t="shared" si="23"/>
        <v>0 - 3</v>
      </c>
      <c r="AE64" s="41">
        <f t="shared" si="24"/>
        <v>2</v>
      </c>
      <c r="AM64" s="40">
        <f t="shared" si="18"/>
        <v>0</v>
      </c>
    </row>
    <row r="65" spans="1:39">
      <c r="A65" s="88"/>
      <c r="B65" s="60"/>
      <c r="C65" s="89"/>
      <c r="D65" s="90"/>
      <c r="E65" s="91"/>
      <c r="F65" s="60"/>
      <c r="G65" s="88"/>
      <c r="H65" s="92"/>
      <c r="I65" s="88"/>
      <c r="J65" s="60"/>
      <c r="K65" s="91"/>
      <c r="L65" s="60"/>
      <c r="M65" s="92"/>
      <c r="P65" s="39">
        <f t="shared" si="15"/>
        <v>0</v>
      </c>
      <c r="R65" s="87"/>
      <c r="S65" s="86"/>
      <c r="T65" s="86"/>
      <c r="U65" s="86"/>
      <c r="V65" s="86"/>
      <c r="W65" s="86"/>
      <c r="X65" s="86"/>
      <c r="Y65" s="86"/>
      <c r="Z65" s="86"/>
      <c r="AA65" s="86"/>
      <c r="AM65" s="40">
        <f t="shared" si="18"/>
        <v>0</v>
      </c>
    </row>
    <row r="66" spans="1:39">
      <c r="A66" s="56" t="s">
        <v>37</v>
      </c>
      <c r="B66" s="57"/>
      <c r="C66" s="57"/>
      <c r="D66" s="57"/>
      <c r="E66" s="57"/>
      <c r="F66" s="57"/>
      <c r="G66" s="58"/>
      <c r="H66" s="57"/>
      <c r="I66" s="58"/>
      <c r="J66" s="57"/>
      <c r="K66" s="59"/>
      <c r="L66" s="60"/>
      <c r="M66" s="61" t="s">
        <v>20</v>
      </c>
      <c r="P66" s="39">
        <f t="shared" si="15"/>
        <v>0</v>
      </c>
      <c r="R66" s="62" t="str">
        <f>Invulblad!A66</f>
        <v>Groep H</v>
      </c>
      <c r="S66" s="63"/>
      <c r="T66" s="63" t="s">
        <v>21</v>
      </c>
      <c r="U66" s="64" t="s">
        <v>22</v>
      </c>
      <c r="V66" s="64" t="s">
        <v>23</v>
      </c>
      <c r="W66" s="64" t="s">
        <v>24</v>
      </c>
      <c r="X66" s="64" t="s">
        <v>25</v>
      </c>
      <c r="Y66" s="64" t="s">
        <v>26</v>
      </c>
      <c r="Z66" s="64" t="s">
        <v>27</v>
      </c>
      <c r="AA66" s="64" t="s">
        <v>28</v>
      </c>
      <c r="AM66" s="40">
        <f t="shared" si="18"/>
        <v>0</v>
      </c>
    </row>
    <row r="67" spans="1:39">
      <c r="A67" s="65">
        <f>Toernooigegevens!B60</f>
        <v>15</v>
      </c>
      <c r="B67" s="66">
        <f>Toernooigegevens!C60</f>
        <v>40345.5625</v>
      </c>
      <c r="C67" s="67">
        <f>Toernooigegevens!D60</f>
        <v>40345.5625</v>
      </c>
      <c r="D67" s="68">
        <f>Toernooigegevens!E60</f>
        <v>40345.5625</v>
      </c>
      <c r="E67" s="69"/>
      <c r="F67" s="70" t="str">
        <f>Toernooigegevens!G60</f>
        <v>Honduras</v>
      </c>
      <c r="G67" s="71">
        <v>0</v>
      </c>
      <c r="H67" s="72" t="s">
        <v>29</v>
      </c>
      <c r="I67" s="71">
        <v>1</v>
      </c>
      <c r="J67" s="70" t="str">
        <f>Toernooigegevens!I60</f>
        <v>Chili</v>
      </c>
      <c r="K67" s="69"/>
      <c r="L67" s="60"/>
      <c r="M67" s="72">
        <f t="shared" ref="M67:M72" si="25">IF(AND(G67="",I67=""),"",IF(OR(G67="",I67=""),"FOUT",IF(G67&gt;I67,"1",IF(G67=I67,3,2))))</f>
        <v>2</v>
      </c>
      <c r="O67" s="39" t="str">
        <f>RIGHT(Q67)</f>
        <v>H</v>
      </c>
      <c r="P67" s="39">
        <f t="shared" si="15"/>
        <v>3</v>
      </c>
      <c r="Q67" s="39" t="str">
        <f>CONCATENATE(R67,RIGHT(R66,1))</f>
        <v>1H</v>
      </c>
      <c r="R67" s="73">
        <v>1</v>
      </c>
      <c r="S67" s="74" t="str">
        <f>INDEX('Poule berekeningen'!$C$122:$J$125,MATCH($R67,'Poule berekeningen'!$M$122:$M$125,0),1)</f>
        <v>Spanje</v>
      </c>
      <c r="T67" s="74">
        <f>SUM(V67:X67)</f>
        <v>3</v>
      </c>
      <c r="U67" s="74">
        <f>INDEX('Poule berekeningen'!$C$122:$J$125,MATCH($R67,'Poule berekeningen'!$M$122:$M$125,0),2)</f>
        <v>6</v>
      </c>
      <c r="V67" s="74">
        <f>INDEX('Poule berekeningen'!$C$122:$J$125,MATCH($R67,'Poule berekeningen'!$M$122:$M$125,0),3)</f>
        <v>2</v>
      </c>
      <c r="W67" s="74">
        <f>INDEX('Poule berekeningen'!$C$122:$J$125,MATCH($R67,'Poule berekeningen'!$M$122:$M$125,0),4)</f>
        <v>0</v>
      </c>
      <c r="X67" s="74">
        <f>INDEX('Poule berekeningen'!$C$122:$J$125,MATCH($R67,'Poule berekeningen'!$M$122:$M$125,0),5)</f>
        <v>1</v>
      </c>
      <c r="Y67" s="74">
        <f>INDEX('Poule berekeningen'!$C$122:$J$125,MATCH($R67,'Poule berekeningen'!$M$122:$M$125,0),6)</f>
        <v>4</v>
      </c>
      <c r="Z67" s="74">
        <f>INDEX('Poule berekeningen'!$C$122:$J$125,MATCH($R67,'Poule berekeningen'!$M$122:$M$125,0),7)</f>
        <v>2</v>
      </c>
      <c r="AA67" s="74">
        <f>INDEX('Poule berekeningen'!$C$122:$J$125,MATCH($R67,'Poule berekeningen'!$M$122:$M$125,0),8)</f>
        <v>2</v>
      </c>
      <c r="AD67" s="40" t="str">
        <f t="shared" ref="AD67:AD72" si="26">CONCATENATE(G67," - ",I67)</f>
        <v>0 - 1</v>
      </c>
      <c r="AE67" s="41">
        <f t="shared" ref="AE67:AE72" si="27">M67</f>
        <v>2</v>
      </c>
      <c r="AM67" s="40">
        <f t="shared" si="18"/>
        <v>0</v>
      </c>
    </row>
    <row r="68" spans="1:39">
      <c r="A68" s="75">
        <f>Toernooigegevens!B61</f>
        <v>16</v>
      </c>
      <c r="B68" s="76">
        <f>Toernooigegevens!C61</f>
        <v>40345.666666666664</v>
      </c>
      <c r="C68" s="77">
        <f>Toernooigegevens!D61</f>
        <v>40345.666666666664</v>
      </c>
      <c r="D68" s="78">
        <f>Toernooigegevens!E61</f>
        <v>40345.666666666664</v>
      </c>
      <c r="E68" s="79"/>
      <c r="F68" s="80" t="str">
        <f>Toernooigegevens!G61</f>
        <v>Spanje</v>
      </c>
      <c r="G68" s="81">
        <v>0</v>
      </c>
      <c r="H68" s="82" t="s">
        <v>29</v>
      </c>
      <c r="I68" s="81">
        <v>1</v>
      </c>
      <c r="J68" s="80" t="str">
        <f>Toernooigegevens!I61</f>
        <v>Zwitserland</v>
      </c>
      <c r="K68" s="79"/>
      <c r="L68" s="60"/>
      <c r="M68" s="82">
        <f t="shared" si="25"/>
        <v>2</v>
      </c>
      <c r="O68" s="39" t="str">
        <f>RIGHT(Q68)</f>
        <v>H</v>
      </c>
      <c r="P68" s="39">
        <f t="shared" si="15"/>
        <v>3</v>
      </c>
      <c r="Q68" s="39" t="str">
        <f>CONCATENATE(R68,RIGHT(R66,1))</f>
        <v>2H</v>
      </c>
      <c r="R68" s="83">
        <v>2</v>
      </c>
      <c r="S68" s="84" t="str">
        <f>INDEX('Poule berekeningen'!$C$122:$J$125,MATCH($R68,'Poule berekeningen'!$M$122:$M$125,0),1)</f>
        <v>Chili</v>
      </c>
      <c r="T68" s="84">
        <f>SUM(V68:X68)</f>
        <v>3</v>
      </c>
      <c r="U68" s="84">
        <f>INDEX('Poule berekeningen'!$C$122:$J$125,MATCH($R68,'Poule berekeningen'!$M$122:$M$125,0),2)</f>
        <v>6</v>
      </c>
      <c r="V68" s="84">
        <f>INDEX('Poule berekeningen'!$C$122:$J$125,MATCH($R68,'Poule berekeningen'!$M$122:$M$125,0),3)</f>
        <v>2</v>
      </c>
      <c r="W68" s="84">
        <f>INDEX('Poule berekeningen'!$C$122:$J$125,MATCH($R68,'Poule berekeningen'!$M$122:$M$125,0),4)</f>
        <v>0</v>
      </c>
      <c r="X68" s="84">
        <f>INDEX('Poule berekeningen'!$C$122:$J$125,MATCH($R68,'Poule berekeningen'!$M$122:$M$125,0),5)</f>
        <v>1</v>
      </c>
      <c r="Y68" s="84">
        <f>INDEX('Poule berekeningen'!$C$122:$J$125,MATCH($R68,'Poule berekeningen'!$M$122:$M$125,0),6)</f>
        <v>3</v>
      </c>
      <c r="Z68" s="84">
        <f>INDEX('Poule berekeningen'!$C$122:$J$125,MATCH($R68,'Poule berekeningen'!$M$122:$M$125,0),7)</f>
        <v>2</v>
      </c>
      <c r="AA68" s="84">
        <f>INDEX('Poule berekeningen'!$C$122:$J$125,MATCH($R68,'Poule berekeningen'!$M$122:$M$125,0),8)</f>
        <v>1</v>
      </c>
      <c r="AD68" s="40" t="str">
        <f t="shared" si="26"/>
        <v>0 - 1</v>
      </c>
      <c r="AE68" s="41">
        <f t="shared" si="27"/>
        <v>2</v>
      </c>
      <c r="AM68" s="40">
        <f t="shared" si="18"/>
        <v>0</v>
      </c>
    </row>
    <row r="69" spans="1:39">
      <c r="A69" s="65">
        <f>Toernooigegevens!B62</f>
        <v>31</v>
      </c>
      <c r="B69" s="66">
        <f>Toernooigegevens!C62</f>
        <v>40350.666666666664</v>
      </c>
      <c r="C69" s="67">
        <f>Toernooigegevens!D62</f>
        <v>40350.666666666664</v>
      </c>
      <c r="D69" s="68">
        <f>Toernooigegevens!E62</f>
        <v>40350.666666666664</v>
      </c>
      <c r="E69" s="69"/>
      <c r="F69" s="70" t="str">
        <f>Toernooigegevens!G62</f>
        <v>Chili</v>
      </c>
      <c r="G69" s="71">
        <v>1</v>
      </c>
      <c r="H69" s="72" t="s">
        <v>29</v>
      </c>
      <c r="I69" s="71">
        <v>0</v>
      </c>
      <c r="J69" s="70" t="str">
        <f>Toernooigegevens!I62</f>
        <v>Zwitserland</v>
      </c>
      <c r="K69" s="69"/>
      <c r="L69" s="60"/>
      <c r="M69" s="72" t="str">
        <f t="shared" si="25"/>
        <v>1</v>
      </c>
      <c r="O69" s="39" t="str">
        <f>RIGHT(Q69)</f>
        <v>H</v>
      </c>
      <c r="P69" s="39">
        <f t="shared" si="15"/>
        <v>3</v>
      </c>
      <c r="Q69" s="39" t="str">
        <f>CONCATENATE(R69,RIGHT(R66,1))</f>
        <v>3H</v>
      </c>
      <c r="R69" s="73">
        <v>3</v>
      </c>
      <c r="S69" s="74" t="str">
        <f>INDEX('Poule berekeningen'!$C$122:$J$125,MATCH($R69,'Poule berekeningen'!$M$122:$M$125,0),1)</f>
        <v>Zwitserland</v>
      </c>
      <c r="T69" s="74">
        <f>SUM(V69:X69)</f>
        <v>3</v>
      </c>
      <c r="U69" s="74">
        <f>INDEX('Poule berekeningen'!$C$122:$J$125,MATCH($R69,'Poule berekeningen'!$M$122:$M$125,0),2)</f>
        <v>4</v>
      </c>
      <c r="V69" s="74">
        <f>INDEX('Poule berekeningen'!$C$122:$J$125,MATCH($R69,'Poule berekeningen'!$M$122:$M$125,0),3)</f>
        <v>1</v>
      </c>
      <c r="W69" s="74">
        <f>INDEX('Poule berekeningen'!$C$122:$J$125,MATCH($R69,'Poule berekeningen'!$M$122:$M$125,0),4)</f>
        <v>1</v>
      </c>
      <c r="X69" s="74">
        <f>INDEX('Poule berekeningen'!$C$122:$J$125,MATCH($R69,'Poule berekeningen'!$M$122:$M$125,0),5)</f>
        <v>1</v>
      </c>
      <c r="Y69" s="74">
        <f>INDEX('Poule berekeningen'!$C$122:$J$125,MATCH($R69,'Poule berekeningen'!$M$122:$M$125,0),6)</f>
        <v>1</v>
      </c>
      <c r="Z69" s="74">
        <f>INDEX('Poule berekeningen'!$C$122:$J$125,MATCH($R69,'Poule berekeningen'!$M$122:$M$125,0),7)</f>
        <v>1</v>
      </c>
      <c r="AA69" s="74">
        <f>INDEX('Poule berekeningen'!$C$122:$J$125,MATCH($R69,'Poule berekeningen'!$M$122:$M$125,0),8)</f>
        <v>0</v>
      </c>
      <c r="AD69" s="40" t="str">
        <f t="shared" si="26"/>
        <v>1 - 0</v>
      </c>
      <c r="AE69" s="41" t="str">
        <f t="shared" si="27"/>
        <v>1</v>
      </c>
      <c r="AM69" s="40">
        <f t="shared" si="18"/>
        <v>0</v>
      </c>
    </row>
    <row r="70" spans="1:39">
      <c r="A70" s="75">
        <f>Toernooigegevens!B63</f>
        <v>32</v>
      </c>
      <c r="B70" s="76">
        <f>Toernooigegevens!C63</f>
        <v>40350.854166666664</v>
      </c>
      <c r="C70" s="77">
        <f>Toernooigegevens!D63</f>
        <v>40350.854166666664</v>
      </c>
      <c r="D70" s="78">
        <f>Toernooigegevens!E63</f>
        <v>40350.854166666664</v>
      </c>
      <c r="E70" s="79"/>
      <c r="F70" s="80" t="str">
        <f>Toernooigegevens!G63</f>
        <v>Spanje</v>
      </c>
      <c r="G70" s="81">
        <v>2</v>
      </c>
      <c r="H70" s="82" t="s">
        <v>29</v>
      </c>
      <c r="I70" s="81">
        <v>0</v>
      </c>
      <c r="J70" s="80" t="str">
        <f>Toernooigegevens!I63</f>
        <v>Honduras</v>
      </c>
      <c r="K70" s="79"/>
      <c r="L70" s="60"/>
      <c r="M70" s="82" t="str">
        <f t="shared" si="25"/>
        <v>1</v>
      </c>
      <c r="O70" s="39" t="str">
        <f>RIGHT(Q70)</f>
        <v>H</v>
      </c>
      <c r="P70" s="39">
        <f t="shared" si="15"/>
        <v>3</v>
      </c>
      <c r="Q70" s="39" t="str">
        <f>CONCATENATE(R70,RIGHT(R66,1))</f>
        <v>4H</v>
      </c>
      <c r="R70" s="83">
        <v>4</v>
      </c>
      <c r="S70" s="84" t="str">
        <f>INDEX('Poule berekeningen'!$C$122:$J$125,MATCH($R70,'Poule berekeningen'!$M$122:$M$125,0),1)</f>
        <v>Honduras</v>
      </c>
      <c r="T70" s="84">
        <f>SUM(V70:X70)</f>
        <v>3</v>
      </c>
      <c r="U70" s="84">
        <f>INDEX('Poule berekeningen'!$C$122:$J$125,MATCH($R70,'Poule berekeningen'!$M$122:$M$125,0),2)</f>
        <v>1</v>
      </c>
      <c r="V70" s="84">
        <f>INDEX('Poule berekeningen'!$C$122:$J$125,MATCH($R70,'Poule berekeningen'!$M$122:$M$125,0),3)</f>
        <v>0</v>
      </c>
      <c r="W70" s="84">
        <f>INDEX('Poule berekeningen'!$C$122:$J$125,MATCH($R70,'Poule berekeningen'!$M$122:$M$125,0),4)</f>
        <v>1</v>
      </c>
      <c r="X70" s="84">
        <f>INDEX('Poule berekeningen'!$C$122:$J$125,MATCH($R70,'Poule berekeningen'!$M$122:$M$125,0),5)</f>
        <v>2</v>
      </c>
      <c r="Y70" s="84">
        <f>INDEX('Poule berekeningen'!$C$122:$J$125,MATCH($R70,'Poule berekeningen'!$M$122:$M$125,0),6)</f>
        <v>0</v>
      </c>
      <c r="Z70" s="84">
        <f>INDEX('Poule berekeningen'!$C$122:$J$125,MATCH($R70,'Poule berekeningen'!$M$122:$M$125,0),7)</f>
        <v>3</v>
      </c>
      <c r="AA70" s="84">
        <f>INDEX('Poule berekeningen'!$C$122:$J$125,MATCH($R70,'Poule berekeningen'!$M$122:$M$125,0),8)</f>
        <v>-3</v>
      </c>
      <c r="AD70" s="40" t="str">
        <f t="shared" si="26"/>
        <v>2 - 0</v>
      </c>
      <c r="AE70" s="41" t="str">
        <f t="shared" si="27"/>
        <v>1</v>
      </c>
      <c r="AM70" s="40">
        <f t="shared" si="18"/>
        <v>0</v>
      </c>
    </row>
    <row r="71" spans="1:39">
      <c r="A71" s="97">
        <f>Toernooigegevens!B64</f>
        <v>47</v>
      </c>
      <c r="B71" s="98">
        <f>Toernooigegevens!C64</f>
        <v>40354.854166666664</v>
      </c>
      <c r="C71" s="99">
        <f>Toernooigegevens!D64</f>
        <v>40354.854166666664</v>
      </c>
      <c r="D71" s="100">
        <f>Toernooigegevens!E64</f>
        <v>40354.854166666664</v>
      </c>
      <c r="E71" s="101"/>
      <c r="F71" s="74" t="str">
        <f>Toernooigegevens!G64</f>
        <v>Chili</v>
      </c>
      <c r="G71" s="71">
        <v>1</v>
      </c>
      <c r="H71" s="102" t="s">
        <v>29</v>
      </c>
      <c r="I71" s="71">
        <v>2</v>
      </c>
      <c r="J71" s="74" t="str">
        <f>Toernooigegevens!I64</f>
        <v>Spanje</v>
      </c>
      <c r="K71" s="101"/>
      <c r="L71" s="86"/>
      <c r="M71" s="102">
        <f t="shared" si="25"/>
        <v>2</v>
      </c>
      <c r="O71" s="45"/>
      <c r="P71" s="45"/>
      <c r="Q71" s="45"/>
      <c r="R71" s="85" t="str">
        <f>IF(COUNT(G67:I72)=12,IF(COUNT(T67:T70)&lt;4,"Er is loting vereist in deze poule",""),"")</f>
        <v/>
      </c>
      <c r="S71" s="45"/>
      <c r="T71" s="45"/>
      <c r="U71" s="45"/>
      <c r="V71" s="45"/>
      <c r="W71" s="45"/>
      <c r="X71" s="45"/>
      <c r="Y71" s="45"/>
      <c r="Z71" s="45"/>
      <c r="AA71" s="45"/>
      <c r="AD71" s="40" t="str">
        <f t="shared" si="26"/>
        <v>1 - 2</v>
      </c>
      <c r="AE71" s="41">
        <f t="shared" si="27"/>
        <v>2</v>
      </c>
      <c r="AM71" s="40">
        <f t="shared" si="18"/>
        <v>0</v>
      </c>
    </row>
    <row r="72" spans="1:39">
      <c r="A72" s="103">
        <f>Toernooigegevens!B65</f>
        <v>48</v>
      </c>
      <c r="B72" s="104">
        <f>Toernooigegevens!C65</f>
        <v>40354.854166666664</v>
      </c>
      <c r="C72" s="105">
        <f>Toernooigegevens!D65</f>
        <v>40354.854166666664</v>
      </c>
      <c r="D72" s="106">
        <f>Toernooigegevens!E65</f>
        <v>40354.854166666664</v>
      </c>
      <c r="E72" s="107"/>
      <c r="F72" s="84" t="str">
        <f>Toernooigegevens!G65</f>
        <v>Zwitserland</v>
      </c>
      <c r="G72" s="81">
        <v>0</v>
      </c>
      <c r="H72" s="108" t="s">
        <v>29</v>
      </c>
      <c r="I72" s="81">
        <v>0</v>
      </c>
      <c r="J72" s="84" t="str">
        <f>Toernooigegevens!I65</f>
        <v>Honduras</v>
      </c>
      <c r="K72" s="107"/>
      <c r="L72" s="86"/>
      <c r="M72" s="108">
        <f t="shared" si="25"/>
        <v>3</v>
      </c>
      <c r="O72" s="45"/>
      <c r="P72" s="45"/>
      <c r="Q72" s="45"/>
      <c r="R72" s="45"/>
      <c r="S72" s="45"/>
      <c r="T72" s="45"/>
      <c r="U72" s="45"/>
      <c r="V72" s="45"/>
      <c r="W72" s="45"/>
      <c r="X72" s="45"/>
      <c r="Y72" s="45"/>
      <c r="Z72" s="45"/>
      <c r="AA72" s="45"/>
      <c r="AD72" s="40" t="str">
        <f t="shared" si="26"/>
        <v>0 - 0</v>
      </c>
      <c r="AE72" s="41">
        <f t="shared" si="27"/>
        <v>3</v>
      </c>
      <c r="AM72" s="40">
        <f t="shared" si="18"/>
        <v>0</v>
      </c>
    </row>
    <row r="73" spans="1:39">
      <c r="A73" s="109"/>
      <c r="B73" s="110"/>
      <c r="C73" s="111"/>
      <c r="D73" s="110"/>
      <c r="E73" s="110"/>
      <c r="F73" s="110"/>
      <c r="G73" s="109"/>
      <c r="H73" s="112"/>
      <c r="I73" s="109"/>
      <c r="J73" s="110"/>
      <c r="K73" s="110"/>
      <c r="L73" s="110"/>
      <c r="M73" s="112"/>
      <c r="N73" s="110"/>
      <c r="O73" s="110"/>
      <c r="P73" s="110"/>
      <c r="Q73" s="110"/>
      <c r="R73" s="110"/>
      <c r="S73" s="110"/>
      <c r="T73" s="110"/>
      <c r="U73" s="110"/>
      <c r="V73" s="110"/>
      <c r="W73" s="110"/>
      <c r="X73" s="110"/>
      <c r="Y73" s="110"/>
      <c r="Z73" s="110"/>
      <c r="AA73" s="110"/>
      <c r="AB73" s="110"/>
    </row>
    <row r="74" spans="1:39">
      <c r="A74" s="113"/>
      <c r="B74" s="53"/>
      <c r="C74" s="49"/>
      <c r="D74" s="49"/>
      <c r="E74" s="50"/>
      <c r="F74" s="50"/>
      <c r="G74" s="53"/>
      <c r="H74" s="54"/>
      <c r="I74" s="53"/>
      <c r="J74" s="50"/>
      <c r="K74" s="50"/>
      <c r="L74" s="32"/>
      <c r="M74" s="32"/>
      <c r="O74" s="45"/>
      <c r="P74" s="45"/>
      <c r="Q74" s="45"/>
      <c r="R74" s="359" t="s">
        <v>38</v>
      </c>
      <c r="S74" s="359"/>
      <c r="W74" s="45"/>
      <c r="Z74" s="45"/>
      <c r="AI74" s="114" t="s">
        <v>39</v>
      </c>
      <c r="AJ74" s="115" t="s">
        <v>40</v>
      </c>
      <c r="AK74" s="115" t="s">
        <v>41</v>
      </c>
      <c r="AL74" s="116" t="s">
        <v>42</v>
      </c>
      <c r="AM74" s="20" t="s">
        <v>43</v>
      </c>
    </row>
    <row r="75" spans="1:39">
      <c r="A75" s="117" t="s">
        <v>44</v>
      </c>
      <c r="B75" s="118"/>
      <c r="C75" s="118"/>
      <c r="D75" s="118"/>
      <c r="E75" s="118"/>
      <c r="F75" s="118"/>
      <c r="G75" s="119"/>
      <c r="H75" s="118"/>
      <c r="I75" s="119"/>
      <c r="J75" s="118"/>
      <c r="K75" s="120"/>
      <c r="L75" s="32"/>
      <c r="M75" s="121" t="s">
        <v>20</v>
      </c>
      <c r="O75" s="45"/>
      <c r="P75" s="45"/>
      <c r="Q75" s="45"/>
      <c r="R75" s="360" t="s">
        <v>45</v>
      </c>
      <c r="S75" s="360"/>
      <c r="T75" s="122"/>
      <c r="U75" s="122"/>
      <c r="V75" s="45"/>
      <c r="W75" s="45"/>
      <c r="X75" s="45"/>
      <c r="Y75" s="45"/>
      <c r="Z75" s="45"/>
      <c r="AA75" s="45"/>
      <c r="AI75" s="123"/>
      <c r="AJ75" s="45"/>
      <c r="AK75" s="45"/>
      <c r="AL75" s="124"/>
    </row>
    <row r="76" spans="1:39">
      <c r="A76" s="97">
        <f>Toernooigegevens!B69</f>
        <v>49</v>
      </c>
      <c r="B76" s="98">
        <f>Toernooigegevens!C69</f>
        <v>40355</v>
      </c>
      <c r="C76" s="99">
        <f>Toernooigegevens!D69</f>
        <v>40355</v>
      </c>
      <c r="D76" s="100">
        <f>Toernooigegevens!E69</f>
        <v>0.66666666666666663</v>
      </c>
      <c r="E76" s="125" t="str">
        <f>Toernooigegevens!F69</f>
        <v>1A</v>
      </c>
      <c r="F76" s="126" t="str">
        <f t="shared" ref="F76:F83" si="28">IF(SUMPRODUCT(($O$11:$O$70=RIGHT(E76,1))*($P$11:$P$70))=12,INDEX($S$10:$S$70,MATCH(E76,$Q$10:$Q$70,0)),IF(LEFT(E76,1)="1",CONCATENATE("Winnaar Groep ",RIGHT(E76,1)),CONCATENATE("Tweede Groep ",RIGHT(E76,1))))</f>
        <v>Uruguay</v>
      </c>
      <c r="G76" s="71">
        <v>2</v>
      </c>
      <c r="H76" s="102" t="s">
        <v>29</v>
      </c>
      <c r="I76" s="71">
        <v>1</v>
      </c>
      <c r="J76" s="101" t="str">
        <f t="shared" ref="J76:J83" si="29">IF(SUMPRODUCT(($O$11:$O$70=RIGHT(K76,1))*($P$11:$P$70))=12,INDEX($S$10:$S$70,MATCH(K76,$Q$10:$Q$70,0)),IF(LEFT(K76,1)="1",CONCATENATE("Winnaar Groep ",RIGHT(K76,1)),CONCATENATE("Tweede Groep ",RIGHT(K76,1))))</f>
        <v>Zuid-Korea</v>
      </c>
      <c r="K76" s="127" t="str">
        <f>Toernooigegevens!J69</f>
        <v>2B</v>
      </c>
      <c r="L76" s="32"/>
      <c r="M76" s="102" t="str">
        <f t="shared" ref="M76:M83" si="30">IF(AND(G76="",I76=""),"",IF(OR(G76="",I76=""),"FOUT",IF(G76&gt;I76,"1",IF(G76=I76,3,2))))</f>
        <v>1</v>
      </c>
      <c r="N76" s="128" t="str">
        <f t="shared" ref="N76:N83" si="31">IF(M76=3,"======&gt;","")</f>
        <v/>
      </c>
      <c r="O76" s="45"/>
      <c r="P76" s="45"/>
      <c r="Q76" s="45"/>
      <c r="R76" s="361"/>
      <c r="S76" s="361"/>
      <c r="T76" s="130"/>
      <c r="U76" s="131"/>
      <c r="V76" s="130"/>
      <c r="W76" s="131"/>
      <c r="X76" s="130"/>
      <c r="Y76" s="45"/>
      <c r="Z76" s="45"/>
      <c r="AA76" s="45"/>
      <c r="AD76" s="40" t="str">
        <f t="shared" ref="AD76:AD83" si="32">F76</f>
        <v>Uruguay</v>
      </c>
      <c r="AE76" s="41" t="str">
        <f t="shared" ref="AE76:AE83" si="33">J76</f>
        <v>Zuid-Korea</v>
      </c>
      <c r="AF76" s="40" t="str">
        <f t="shared" ref="AF76:AF83" si="34">CONCATENATE(G76," - ",I76)</f>
        <v>2 - 1</v>
      </c>
      <c r="AG76" s="40" t="str">
        <f t="shared" ref="AG76:AG83" si="35">M76</f>
        <v>1</v>
      </c>
      <c r="AI76" s="132" t="str">
        <f t="shared" ref="AI76:AI83" si="36">IF(M76=3,F76,"")</f>
        <v/>
      </c>
      <c r="AJ76" s="45" t="str">
        <f t="shared" ref="AJ76:AJ83" si="37">IF(M76=3,J76,"")</f>
        <v/>
      </c>
      <c r="AK76" s="45" t="str">
        <f t="shared" ref="AK76:AK83" si="38">IF(M76="1",F76,IF(M76=2,J76,IF(AND(M76=3,R76&lt;&gt;"",OR(R76=J76,R76=F76)),R76,"Winnaar "&amp;A76)))</f>
        <v>Uruguay</v>
      </c>
      <c r="AL76" s="124"/>
      <c r="AM76" s="40">
        <f t="shared" ref="AM76:AM103" si="39">IF(OR(ISNUMBER(SEARCH("winnaar",AK76,1)),ISNUMBER(SEARCH("verliezer",AL76,1))),1,0)</f>
        <v>0</v>
      </c>
    </row>
    <row r="77" spans="1:39">
      <c r="A77" s="103">
        <f>Toernooigegevens!B70</f>
        <v>50</v>
      </c>
      <c r="B77" s="104">
        <f>Toernooigegevens!C70</f>
        <v>40355</v>
      </c>
      <c r="C77" s="105">
        <f>Toernooigegevens!D70</f>
        <v>40355</v>
      </c>
      <c r="D77" s="106">
        <f>Toernooigegevens!E70</f>
        <v>0.85416666666666663</v>
      </c>
      <c r="E77" s="133" t="str">
        <f>Toernooigegevens!F70</f>
        <v>1C</v>
      </c>
      <c r="F77" s="134" t="str">
        <f t="shared" si="28"/>
        <v>USA</v>
      </c>
      <c r="G77" s="81">
        <v>1</v>
      </c>
      <c r="H77" s="108" t="s">
        <v>29</v>
      </c>
      <c r="I77" s="81">
        <v>2</v>
      </c>
      <c r="J77" s="107" t="str">
        <f t="shared" si="29"/>
        <v>Ghana</v>
      </c>
      <c r="K77" s="135" t="str">
        <f>Toernooigegevens!J70</f>
        <v>2D</v>
      </c>
      <c r="L77" s="32"/>
      <c r="M77" s="108">
        <f t="shared" si="30"/>
        <v>2</v>
      </c>
      <c r="N77" s="128" t="str">
        <f t="shared" si="31"/>
        <v/>
      </c>
      <c r="O77" s="45"/>
      <c r="P77" s="45"/>
      <c r="Q77" s="45"/>
      <c r="R77" s="358"/>
      <c r="S77" s="358"/>
      <c r="T77" s="130"/>
      <c r="U77" s="131"/>
      <c r="V77" s="130"/>
      <c r="W77" s="131"/>
      <c r="X77" s="130"/>
      <c r="Y77" s="45"/>
      <c r="Z77" s="45"/>
      <c r="AA77" s="45"/>
      <c r="AD77" s="40" t="str">
        <f t="shared" si="32"/>
        <v>USA</v>
      </c>
      <c r="AE77" s="41" t="str">
        <f t="shared" si="33"/>
        <v>Ghana</v>
      </c>
      <c r="AF77" s="40" t="str">
        <f t="shared" si="34"/>
        <v>1 - 2</v>
      </c>
      <c r="AG77" s="40">
        <f t="shared" si="35"/>
        <v>2</v>
      </c>
      <c r="AI77" s="132" t="str">
        <f t="shared" si="36"/>
        <v/>
      </c>
      <c r="AJ77" s="45" t="str">
        <f t="shared" si="37"/>
        <v/>
      </c>
      <c r="AK77" s="45" t="str">
        <f t="shared" si="38"/>
        <v>Ghana</v>
      </c>
      <c r="AL77" s="124"/>
      <c r="AM77" s="40">
        <f t="shared" si="39"/>
        <v>0</v>
      </c>
    </row>
    <row r="78" spans="1:39">
      <c r="A78" s="97">
        <f>Toernooigegevens!B71</f>
        <v>51</v>
      </c>
      <c r="B78" s="98">
        <f>Toernooigegevens!C71</f>
        <v>40356</v>
      </c>
      <c r="C78" s="99">
        <f>Toernooigegevens!D71</f>
        <v>40356</v>
      </c>
      <c r="D78" s="100">
        <f>Toernooigegevens!E71</f>
        <v>0.66666666666666663</v>
      </c>
      <c r="E78" s="125" t="str">
        <f>Toernooigegevens!F71</f>
        <v>1D</v>
      </c>
      <c r="F78" s="126" t="str">
        <f t="shared" si="28"/>
        <v>Duitsland</v>
      </c>
      <c r="G78" s="71">
        <v>4</v>
      </c>
      <c r="H78" s="102" t="s">
        <v>29</v>
      </c>
      <c r="I78" s="71">
        <v>1</v>
      </c>
      <c r="J78" s="101" t="str">
        <f t="shared" si="29"/>
        <v>Engeland</v>
      </c>
      <c r="K78" s="127" t="str">
        <f>Toernooigegevens!J71</f>
        <v>2C</v>
      </c>
      <c r="L78" s="32"/>
      <c r="M78" s="102" t="str">
        <f t="shared" si="30"/>
        <v>1</v>
      </c>
      <c r="N78" s="128" t="str">
        <f t="shared" si="31"/>
        <v/>
      </c>
      <c r="R78" s="361"/>
      <c r="S78" s="361"/>
      <c r="T78" s="130"/>
      <c r="U78" s="131"/>
      <c r="V78" s="130"/>
      <c r="W78" s="131"/>
      <c r="X78" s="130"/>
      <c r="AD78" s="40" t="str">
        <f t="shared" si="32"/>
        <v>Duitsland</v>
      </c>
      <c r="AE78" s="41" t="str">
        <f t="shared" si="33"/>
        <v>Engeland</v>
      </c>
      <c r="AF78" s="40" t="str">
        <f t="shared" si="34"/>
        <v>4 - 1</v>
      </c>
      <c r="AG78" s="40" t="str">
        <f t="shared" si="35"/>
        <v>1</v>
      </c>
      <c r="AI78" s="132" t="str">
        <f t="shared" si="36"/>
        <v/>
      </c>
      <c r="AJ78" s="45" t="str">
        <f t="shared" si="37"/>
        <v/>
      </c>
      <c r="AK78" s="45" t="str">
        <f t="shared" si="38"/>
        <v>Duitsland</v>
      </c>
      <c r="AL78" s="124"/>
      <c r="AM78" s="40">
        <f t="shared" si="39"/>
        <v>0</v>
      </c>
    </row>
    <row r="79" spans="1:39">
      <c r="A79" s="103">
        <f>Toernooigegevens!B72</f>
        <v>52</v>
      </c>
      <c r="B79" s="104">
        <f>Toernooigegevens!C72</f>
        <v>40356</v>
      </c>
      <c r="C79" s="105">
        <f>Toernooigegevens!D72</f>
        <v>40356</v>
      </c>
      <c r="D79" s="106">
        <f>Toernooigegevens!E72</f>
        <v>0.85416666666666663</v>
      </c>
      <c r="E79" s="133" t="str">
        <f>Toernooigegevens!F72</f>
        <v>1B</v>
      </c>
      <c r="F79" s="134" t="str">
        <f t="shared" si="28"/>
        <v>Argentinië</v>
      </c>
      <c r="G79" s="81">
        <v>3</v>
      </c>
      <c r="H79" s="108" t="s">
        <v>29</v>
      </c>
      <c r="I79" s="81">
        <v>1</v>
      </c>
      <c r="J79" s="107" t="str">
        <f t="shared" si="29"/>
        <v>Mexico</v>
      </c>
      <c r="K79" s="135" t="str">
        <f>Toernooigegevens!J72</f>
        <v>2A</v>
      </c>
      <c r="L79" s="32"/>
      <c r="M79" s="108" t="str">
        <f t="shared" si="30"/>
        <v>1</v>
      </c>
      <c r="N79" s="128" t="str">
        <f t="shared" si="31"/>
        <v/>
      </c>
      <c r="R79" s="358"/>
      <c r="S79" s="358"/>
      <c r="T79" s="130"/>
      <c r="U79" s="131"/>
      <c r="V79" s="130"/>
      <c r="W79" s="131"/>
      <c r="X79" s="130"/>
      <c r="AD79" s="40" t="str">
        <f t="shared" si="32"/>
        <v>Argentinië</v>
      </c>
      <c r="AE79" s="41" t="str">
        <f t="shared" si="33"/>
        <v>Mexico</v>
      </c>
      <c r="AF79" s="40" t="str">
        <f t="shared" si="34"/>
        <v>3 - 1</v>
      </c>
      <c r="AG79" s="40" t="str">
        <f t="shared" si="35"/>
        <v>1</v>
      </c>
      <c r="AI79" s="132" t="str">
        <f t="shared" si="36"/>
        <v/>
      </c>
      <c r="AJ79" s="45" t="str">
        <f t="shared" si="37"/>
        <v/>
      </c>
      <c r="AK79" s="45" t="str">
        <f t="shared" si="38"/>
        <v>Argentinië</v>
      </c>
      <c r="AL79" s="124"/>
      <c r="AM79" s="40">
        <f t="shared" si="39"/>
        <v>0</v>
      </c>
    </row>
    <row r="80" spans="1:39">
      <c r="A80" s="97">
        <f>Toernooigegevens!B73</f>
        <v>53</v>
      </c>
      <c r="B80" s="98">
        <f>Toernooigegevens!C73</f>
        <v>40357</v>
      </c>
      <c r="C80" s="99">
        <f>Toernooigegevens!D73</f>
        <v>40357</v>
      </c>
      <c r="D80" s="100">
        <f>Toernooigegevens!E73</f>
        <v>0.66666666666666663</v>
      </c>
      <c r="E80" s="125" t="str">
        <f>Toernooigegevens!F73</f>
        <v>1E</v>
      </c>
      <c r="F80" s="126" t="str">
        <f t="shared" si="28"/>
        <v>Nederland</v>
      </c>
      <c r="G80" s="71">
        <v>2</v>
      </c>
      <c r="H80" s="102" t="s">
        <v>29</v>
      </c>
      <c r="I80" s="71">
        <v>1</v>
      </c>
      <c r="J80" s="101" t="str">
        <f t="shared" si="29"/>
        <v>Slowakije</v>
      </c>
      <c r="K80" s="127" t="str">
        <f>Toernooigegevens!J73</f>
        <v>2F</v>
      </c>
      <c r="L80" s="32"/>
      <c r="M80" s="102" t="str">
        <f t="shared" si="30"/>
        <v>1</v>
      </c>
      <c r="N80" s="128" t="str">
        <f t="shared" si="31"/>
        <v/>
      </c>
      <c r="R80" s="361"/>
      <c r="S80" s="361"/>
      <c r="T80" s="130"/>
      <c r="U80" s="131"/>
      <c r="V80" s="130"/>
      <c r="W80" s="131"/>
      <c r="X80" s="130"/>
      <c r="AD80" s="40" t="str">
        <f t="shared" si="32"/>
        <v>Nederland</v>
      </c>
      <c r="AE80" s="41" t="str">
        <f t="shared" si="33"/>
        <v>Slowakije</v>
      </c>
      <c r="AF80" s="40" t="str">
        <f t="shared" si="34"/>
        <v>2 - 1</v>
      </c>
      <c r="AG80" s="40" t="str">
        <f t="shared" si="35"/>
        <v>1</v>
      </c>
      <c r="AI80" s="132" t="str">
        <f t="shared" si="36"/>
        <v/>
      </c>
      <c r="AJ80" s="45" t="str">
        <f t="shared" si="37"/>
        <v/>
      </c>
      <c r="AK80" s="45" t="str">
        <f t="shared" si="38"/>
        <v>Nederland</v>
      </c>
      <c r="AL80" s="124"/>
      <c r="AM80" s="40">
        <f t="shared" si="39"/>
        <v>0</v>
      </c>
    </row>
    <row r="81" spans="1:39">
      <c r="A81" s="103">
        <f>Toernooigegevens!B74</f>
        <v>54</v>
      </c>
      <c r="B81" s="104">
        <f>Toernooigegevens!C74</f>
        <v>40357</v>
      </c>
      <c r="C81" s="105">
        <f>Toernooigegevens!D74</f>
        <v>44010</v>
      </c>
      <c r="D81" s="106">
        <f>Toernooigegevens!E74</f>
        <v>0.85416666666666663</v>
      </c>
      <c r="E81" s="133" t="str">
        <f>Toernooigegevens!F74</f>
        <v>1G</v>
      </c>
      <c r="F81" s="134" t="str">
        <f t="shared" si="28"/>
        <v>Brazilië</v>
      </c>
      <c r="G81" s="81">
        <v>3</v>
      </c>
      <c r="H81" s="108" t="s">
        <v>29</v>
      </c>
      <c r="I81" s="81">
        <v>0</v>
      </c>
      <c r="J81" s="107" t="str">
        <f t="shared" si="29"/>
        <v>Chili</v>
      </c>
      <c r="K81" s="135" t="str">
        <f>Toernooigegevens!J74</f>
        <v>2H</v>
      </c>
      <c r="L81" s="32"/>
      <c r="M81" s="108" t="str">
        <f t="shared" si="30"/>
        <v>1</v>
      </c>
      <c r="N81" s="128" t="str">
        <f t="shared" si="31"/>
        <v/>
      </c>
      <c r="R81" s="358"/>
      <c r="S81" s="358"/>
      <c r="T81" s="130"/>
      <c r="U81" s="131"/>
      <c r="V81" s="130"/>
      <c r="W81" s="131"/>
      <c r="X81" s="130"/>
      <c r="AD81" s="40" t="str">
        <f t="shared" si="32"/>
        <v>Brazilië</v>
      </c>
      <c r="AE81" s="41" t="str">
        <f t="shared" si="33"/>
        <v>Chili</v>
      </c>
      <c r="AF81" s="40" t="str">
        <f t="shared" si="34"/>
        <v>3 - 0</v>
      </c>
      <c r="AG81" s="40" t="str">
        <f t="shared" si="35"/>
        <v>1</v>
      </c>
      <c r="AI81" s="132" t="str">
        <f t="shared" si="36"/>
        <v/>
      </c>
      <c r="AJ81" s="45" t="str">
        <f t="shared" si="37"/>
        <v/>
      </c>
      <c r="AK81" s="45" t="str">
        <f t="shared" si="38"/>
        <v>Brazilië</v>
      </c>
      <c r="AL81" s="124"/>
      <c r="AM81" s="40">
        <f t="shared" si="39"/>
        <v>0</v>
      </c>
    </row>
    <row r="82" spans="1:39">
      <c r="A82" s="97">
        <f>Toernooigegevens!B75</f>
        <v>55</v>
      </c>
      <c r="B82" s="98">
        <f>Toernooigegevens!C75</f>
        <v>40358</v>
      </c>
      <c r="C82" s="99">
        <f>Toernooigegevens!D75</f>
        <v>40358</v>
      </c>
      <c r="D82" s="100">
        <f>Toernooigegevens!E75</f>
        <v>0.66666666666666663</v>
      </c>
      <c r="E82" s="125" t="str">
        <f>Toernooigegevens!F75</f>
        <v>1F</v>
      </c>
      <c r="F82" s="126" t="str">
        <f t="shared" si="28"/>
        <v>Paraguay</v>
      </c>
      <c r="G82" s="71">
        <v>0</v>
      </c>
      <c r="H82" s="102" t="s">
        <v>29</v>
      </c>
      <c r="I82" s="71">
        <v>0</v>
      </c>
      <c r="J82" s="101" t="str">
        <f t="shared" si="29"/>
        <v>Japan</v>
      </c>
      <c r="K82" s="127" t="str">
        <f>Toernooigegevens!J75</f>
        <v>2E</v>
      </c>
      <c r="L82" s="32"/>
      <c r="M82" s="102">
        <f t="shared" si="30"/>
        <v>3</v>
      </c>
      <c r="N82" s="128" t="str">
        <f t="shared" si="31"/>
        <v>======&gt;</v>
      </c>
      <c r="R82" s="361" t="s">
        <v>182</v>
      </c>
      <c r="S82" s="361"/>
      <c r="T82" s="130"/>
      <c r="U82" s="131"/>
      <c r="V82" s="130"/>
      <c r="W82" s="131"/>
      <c r="X82" s="130"/>
      <c r="AD82" s="40" t="str">
        <f t="shared" si="32"/>
        <v>Paraguay</v>
      </c>
      <c r="AE82" s="41" t="str">
        <f t="shared" si="33"/>
        <v>Japan</v>
      </c>
      <c r="AF82" s="40" t="str">
        <f t="shared" si="34"/>
        <v>0 - 0</v>
      </c>
      <c r="AG82" s="40">
        <f t="shared" si="35"/>
        <v>3</v>
      </c>
      <c r="AI82" s="132" t="str">
        <f t="shared" si="36"/>
        <v>Paraguay</v>
      </c>
      <c r="AJ82" s="45" t="str">
        <f t="shared" si="37"/>
        <v>Japan</v>
      </c>
      <c r="AK82" s="45" t="str">
        <f t="shared" si="38"/>
        <v>Paraguay</v>
      </c>
      <c r="AL82" s="124"/>
      <c r="AM82" s="40">
        <f t="shared" si="39"/>
        <v>0</v>
      </c>
    </row>
    <row r="83" spans="1:39">
      <c r="A83" s="103">
        <f>Toernooigegevens!B76</f>
        <v>56</v>
      </c>
      <c r="B83" s="104">
        <f>Toernooigegevens!C76</f>
        <v>40358</v>
      </c>
      <c r="C83" s="105">
        <f>Toernooigegevens!D76</f>
        <v>40358</v>
      </c>
      <c r="D83" s="106">
        <f>Toernooigegevens!E76</f>
        <v>0.85416666666666663</v>
      </c>
      <c r="E83" s="133" t="str">
        <f>Toernooigegevens!F76</f>
        <v>1H</v>
      </c>
      <c r="F83" s="134" t="str">
        <f t="shared" si="28"/>
        <v>Spanje</v>
      </c>
      <c r="G83" s="81">
        <v>1</v>
      </c>
      <c r="H83" s="108" t="s">
        <v>29</v>
      </c>
      <c r="I83" s="81">
        <v>0</v>
      </c>
      <c r="J83" s="107" t="str">
        <f t="shared" si="29"/>
        <v>Portugal</v>
      </c>
      <c r="K83" s="135" t="str">
        <f>Toernooigegevens!J76</f>
        <v>2G</v>
      </c>
      <c r="L83" s="32"/>
      <c r="M83" s="108" t="str">
        <f t="shared" si="30"/>
        <v>1</v>
      </c>
      <c r="N83" s="128" t="str">
        <f t="shared" si="31"/>
        <v/>
      </c>
      <c r="R83" s="358"/>
      <c r="S83" s="358"/>
      <c r="T83" s="130"/>
      <c r="U83" s="131"/>
      <c r="V83" s="130"/>
      <c r="W83" s="131"/>
      <c r="X83" s="130"/>
      <c r="AD83" s="40" t="str">
        <f t="shared" si="32"/>
        <v>Spanje</v>
      </c>
      <c r="AE83" s="41" t="str">
        <f t="shared" si="33"/>
        <v>Portugal</v>
      </c>
      <c r="AF83" s="40" t="str">
        <f t="shared" si="34"/>
        <v>1 - 0</v>
      </c>
      <c r="AG83" s="40" t="str">
        <f t="shared" si="35"/>
        <v>1</v>
      </c>
      <c r="AI83" s="132" t="str">
        <f t="shared" si="36"/>
        <v/>
      </c>
      <c r="AJ83" s="45" t="str">
        <f t="shared" si="37"/>
        <v/>
      </c>
      <c r="AK83" s="45" t="str">
        <f t="shared" si="38"/>
        <v>Spanje</v>
      </c>
      <c r="AL83" s="124"/>
      <c r="AM83" s="40">
        <f t="shared" si="39"/>
        <v>0</v>
      </c>
    </row>
    <row r="84" spans="1:39" s="1" customFormat="1">
      <c r="A84" s="109"/>
      <c r="B84" s="109"/>
      <c r="C84" s="111"/>
      <c r="D84" s="111"/>
      <c r="E84" s="110"/>
      <c r="F84" s="137"/>
      <c r="G84" s="109"/>
      <c r="H84" s="112"/>
      <c r="I84" s="109"/>
      <c r="J84" s="110"/>
      <c r="K84" s="110"/>
      <c r="L84" s="110"/>
      <c r="M84" s="112"/>
      <c r="N84" s="110"/>
      <c r="O84" s="110"/>
      <c r="P84" s="110"/>
      <c r="Q84" s="110"/>
      <c r="R84" s="110"/>
      <c r="S84" s="110"/>
      <c r="T84" s="110"/>
      <c r="U84" s="110"/>
      <c r="V84" s="110"/>
      <c r="W84" s="110"/>
      <c r="X84" s="110"/>
      <c r="Y84" s="110"/>
      <c r="Z84" s="110"/>
      <c r="AA84" s="110"/>
      <c r="AB84" s="110"/>
      <c r="AE84" s="138"/>
      <c r="AI84" s="132"/>
      <c r="AJ84" s="45"/>
      <c r="AK84" s="45"/>
      <c r="AL84" s="124"/>
      <c r="AM84" s="40">
        <f t="shared" si="39"/>
        <v>0</v>
      </c>
    </row>
    <row r="85" spans="1:39">
      <c r="A85" s="113"/>
      <c r="B85" s="53"/>
      <c r="C85" s="49"/>
      <c r="D85" s="49"/>
      <c r="E85" s="50"/>
      <c r="F85" s="50"/>
      <c r="G85" s="53"/>
      <c r="H85" s="54"/>
      <c r="I85" s="53"/>
      <c r="J85" s="50"/>
      <c r="K85" s="50"/>
      <c r="L85" s="32"/>
      <c r="M85" s="32"/>
      <c r="R85" s="359" t="s">
        <v>38</v>
      </c>
      <c r="S85" s="359"/>
      <c r="T85" s="139"/>
      <c r="U85" s="139"/>
      <c r="AI85" s="132"/>
      <c r="AJ85" s="45"/>
      <c r="AK85" s="45"/>
      <c r="AL85" s="124"/>
      <c r="AM85" s="40">
        <f t="shared" si="39"/>
        <v>0</v>
      </c>
    </row>
    <row r="86" spans="1:39">
      <c r="A86" s="117" t="s">
        <v>46</v>
      </c>
      <c r="B86" s="118"/>
      <c r="C86" s="118"/>
      <c r="D86" s="118"/>
      <c r="E86" s="118"/>
      <c r="F86" s="118"/>
      <c r="G86" s="119"/>
      <c r="H86" s="118"/>
      <c r="I86" s="119"/>
      <c r="J86" s="118"/>
      <c r="K86" s="120"/>
      <c r="L86" s="32"/>
      <c r="M86" s="121" t="s">
        <v>20</v>
      </c>
      <c r="R86" s="360" t="s">
        <v>45</v>
      </c>
      <c r="S86" s="360"/>
      <c r="T86" s="122"/>
      <c r="U86" s="122"/>
      <c r="AI86" s="132"/>
      <c r="AJ86" s="45"/>
      <c r="AK86" s="45"/>
      <c r="AL86" s="124"/>
      <c r="AM86" s="40">
        <f t="shared" si="39"/>
        <v>0</v>
      </c>
    </row>
    <row r="87" spans="1:39">
      <c r="A87" s="97">
        <f>Toernooigegevens!B80</f>
        <v>57</v>
      </c>
      <c r="B87" s="98">
        <f>Toernooigegevens!C80</f>
        <v>40361</v>
      </c>
      <c r="C87" s="99">
        <f>Toernooigegevens!D80</f>
        <v>40361</v>
      </c>
      <c r="D87" s="100">
        <f>Toernooigegevens!E80</f>
        <v>0.66666666666666663</v>
      </c>
      <c r="E87" s="125" t="str">
        <f>Toernooigegevens!F80</f>
        <v>W53</v>
      </c>
      <c r="F87" s="101" t="str">
        <f>IF(INDEX($M$76:$M$83,MATCH(VALUE(RIGHT(E87,2)),$A$76:$A$83,0))=3,INDEX($R$76:$R$83,MATCH(VALUE(RIGHT(E87,2)),$A$76:$A$83,0)),IF(INDEX($M$76:$M$83,MATCH(VALUE(RIGHT(E87,2)),$A$76:$A$83,0))="1",INDEX($F$76:$F$83,MATCH(VALUE(RIGHT(E87,2)),$A$76:$A$83,0)),IF(INDEX($M$76:$M$83,MATCH(VALUE(RIGHT(E87,2)),$A$76:$A$83,0))=2,INDEX($J$76:$J$83,MATCH(VALUE(RIGHT(E87,2)),$A$76:$A$83,0)),CONCATENATE("Winnaar ",RIGHT(E87,2)))))</f>
        <v>Nederland</v>
      </c>
      <c r="G87" s="140">
        <v>2</v>
      </c>
      <c r="H87" s="102" t="s">
        <v>29</v>
      </c>
      <c r="I87" s="71">
        <v>1</v>
      </c>
      <c r="J87" s="101" t="str">
        <f>IF(INDEX($M$76:$M$83,MATCH(VALUE(RIGHT(K87,2)),$A$76:$A$83,0))=3,INDEX($R$76:$R$83,MATCH(VALUE(RIGHT(K87,2)),$A$76:$A$83,0)),IF(INDEX($M$76:$M$83,MATCH(VALUE(RIGHT(K87,2)),$A$76:$A$83,0))="1",INDEX($F$76:$F$83,MATCH(VALUE(RIGHT(K87,2)),$A$76:$A$83,0)),IF(INDEX($M$76:$M$83,MATCH(VALUE(RIGHT(K87,2)),$A$76:$A$83,0))=2,INDEX($J$76:$J$83,MATCH(VALUE(RIGHT(K87,2)),$A$76:$A$83,0)),CONCATENATE("Winnaar ",RIGHT(K87,2)))))</f>
        <v>Brazilië</v>
      </c>
      <c r="K87" s="127" t="str">
        <f>Toernooigegevens!J80</f>
        <v>W54</v>
      </c>
      <c r="L87" s="32"/>
      <c r="M87" s="102" t="str">
        <f>IF(AND(G87="",I87=""),"",IF(OR(G87="",I87=""),"FOUT",IF(G87&gt;I87,"1",IF(G87=I87,3,2))))</f>
        <v>1</v>
      </c>
      <c r="N87" s="128" t="str">
        <f>IF(M87=3,"======&gt;","")</f>
        <v/>
      </c>
      <c r="R87" s="361"/>
      <c r="S87" s="361"/>
      <c r="T87" s="130"/>
      <c r="U87" s="130"/>
      <c r="AD87" s="40" t="str">
        <f>F87</f>
        <v>Nederland</v>
      </c>
      <c r="AE87" s="41" t="str">
        <f>J87</f>
        <v>Brazilië</v>
      </c>
      <c r="AF87" s="40" t="str">
        <f>CONCATENATE(G87," - ",I87)</f>
        <v>2 - 1</v>
      </c>
      <c r="AG87" s="40" t="str">
        <f>M87</f>
        <v>1</v>
      </c>
      <c r="AI87" s="132" t="str">
        <f>IF(M87=3,F87,"")</f>
        <v/>
      </c>
      <c r="AJ87" s="45" t="str">
        <f>IF(M87=3,J87,"")</f>
        <v/>
      </c>
      <c r="AK87" s="45" t="str">
        <f>IF(M87="1",F87,IF(M87=2,J87,IF(AND(M87=3,R87&lt;&gt;"",OR(R87=J87,R87=F87)),R87,"Winnaar "&amp;A87)))</f>
        <v>Nederland</v>
      </c>
      <c r="AL87" s="124"/>
      <c r="AM87" s="40">
        <f t="shared" si="39"/>
        <v>0</v>
      </c>
    </row>
    <row r="88" spans="1:39">
      <c r="A88" s="103">
        <f>Toernooigegevens!B81</f>
        <v>58</v>
      </c>
      <c r="B88" s="104">
        <f>Toernooigegevens!C81</f>
        <v>40361</v>
      </c>
      <c r="C88" s="105">
        <f>Toernooigegevens!D81</f>
        <v>40361</v>
      </c>
      <c r="D88" s="106">
        <f>Toernooigegevens!E81</f>
        <v>0.85416666666666663</v>
      </c>
      <c r="E88" s="133" t="str">
        <f>Toernooigegevens!F81</f>
        <v>W49</v>
      </c>
      <c r="F88" s="107" t="str">
        <f>IF(INDEX($M$76:$M$83,MATCH(VALUE(RIGHT(E88,2)),$A$76:$A$83,0))=3,INDEX($R$76:$R$83,MATCH(VALUE(RIGHT(E88,2)),$A$76:$A$83,0)),IF(INDEX($M$76:$M$83,MATCH(VALUE(RIGHT(E88,2)),$A$76:$A$83,0))="1",INDEX($F$76:$F$83,MATCH(VALUE(RIGHT(E88,2)),$A$76:$A$83,0)),IF(INDEX($M$76:$M$83,MATCH(VALUE(RIGHT(E88,2)),$A$76:$A$83,0))=2,INDEX($J$76:$J$83,MATCH(VALUE(RIGHT(E88,2)),$A$76:$A$83,0)),CONCATENATE("Winnaar ",RIGHT(E88,2)))))</f>
        <v>Uruguay</v>
      </c>
      <c r="G88" s="141">
        <v>1</v>
      </c>
      <c r="H88" s="108" t="s">
        <v>29</v>
      </c>
      <c r="I88" s="81">
        <v>1</v>
      </c>
      <c r="J88" s="107" t="str">
        <f>IF(INDEX($M$76:$M$83,MATCH(VALUE(RIGHT(K88,2)),$A$76:$A$83,0))=3,INDEX($R$76:$R$83,MATCH(VALUE(RIGHT(K88,2)),$A$76:$A$83,0)),IF(INDEX($M$76:$M$83,MATCH(VALUE(RIGHT(K88,2)),$A$76:$A$83,0))="1",INDEX($F$76:$F$83,MATCH(VALUE(RIGHT(K88,2)),$A$76:$A$83,0)),IF(INDEX($M$76:$M$83,MATCH(VALUE(RIGHT(K88,2)),$A$76:$A$83,0))=2,INDEX($J$76:$J$83,MATCH(VALUE(RIGHT(K88,2)),$A$76:$A$83,0)),CONCATENATE("Winnaar ",RIGHT(K88,2)))))</f>
        <v>Ghana</v>
      </c>
      <c r="K88" s="135" t="str">
        <f>Toernooigegevens!J81</f>
        <v>W50</v>
      </c>
      <c r="L88" s="32"/>
      <c r="M88" s="108">
        <f>IF(AND(G88="",I88=""),"",IF(OR(G88="",I88=""),"FOUT",IF(G88&gt;I88,"1",IF(G88=I88,3,2))))</f>
        <v>3</v>
      </c>
      <c r="N88" s="128" t="str">
        <f>IF(M88=3,"======&gt;","")</f>
        <v>======&gt;</v>
      </c>
      <c r="R88" s="358" t="s">
        <v>109</v>
      </c>
      <c r="S88" s="358"/>
      <c r="T88" s="130"/>
      <c r="U88" s="130"/>
      <c r="AD88" s="40" t="str">
        <f>F88</f>
        <v>Uruguay</v>
      </c>
      <c r="AE88" s="41" t="str">
        <f>J88</f>
        <v>Ghana</v>
      </c>
      <c r="AF88" s="40" t="str">
        <f>CONCATENATE(G88," - ",I88)</f>
        <v>1 - 1</v>
      </c>
      <c r="AG88" s="40">
        <f>M88</f>
        <v>3</v>
      </c>
      <c r="AI88" s="132" t="str">
        <f>IF(M88=3,F88,"")</f>
        <v>Uruguay</v>
      </c>
      <c r="AJ88" s="45" t="str">
        <f>IF(M88=3,J88,"")</f>
        <v>Ghana</v>
      </c>
      <c r="AK88" s="45" t="str">
        <f>IF(M88="1",F88,IF(M88=2,J88,IF(AND(M88=3,R88&lt;&gt;"",OR(R88=J88,R88=F88)),R88,"Winnaar "&amp;A88)))</f>
        <v>Uruguay</v>
      </c>
      <c r="AL88" s="124"/>
      <c r="AM88" s="40">
        <f t="shared" si="39"/>
        <v>0</v>
      </c>
    </row>
    <row r="89" spans="1:39">
      <c r="A89" s="97">
        <f>Toernooigegevens!B82</f>
        <v>59</v>
      </c>
      <c r="B89" s="98">
        <f>Toernooigegevens!C82</f>
        <v>40362</v>
      </c>
      <c r="C89" s="99">
        <f>Toernooigegevens!D82</f>
        <v>40362</v>
      </c>
      <c r="D89" s="100">
        <f>Toernooigegevens!E82</f>
        <v>0.66666666666666663</v>
      </c>
      <c r="E89" s="125" t="str">
        <f>Toernooigegevens!F82</f>
        <v>W52</v>
      </c>
      <c r="F89" s="101" t="str">
        <f>IF(INDEX($M$76:$M$83,MATCH(VALUE(RIGHT(E89,2)),$A$76:$A$83,0))=3,INDEX($R$76:$R$83,MATCH(VALUE(RIGHT(E89,2)),$A$76:$A$83,0)),IF(INDEX($M$76:$M$83,MATCH(VALUE(RIGHT(E89,2)),$A$76:$A$83,0))="1",INDEX($F$76:$F$83,MATCH(VALUE(RIGHT(E89,2)),$A$76:$A$83,0)),IF(INDEX($M$76:$M$83,MATCH(VALUE(RIGHT(E89,2)),$A$76:$A$83,0))=2,INDEX($J$76:$J$83,MATCH(VALUE(RIGHT(E89,2)),$A$76:$A$83,0)),CONCATENATE("Winnaar ",RIGHT(E89,2)))))</f>
        <v>Argentinië</v>
      </c>
      <c r="G89" s="140">
        <v>0</v>
      </c>
      <c r="H89" s="102" t="s">
        <v>29</v>
      </c>
      <c r="I89" s="71">
        <v>4</v>
      </c>
      <c r="J89" s="101" t="str">
        <f>IF(INDEX($M$76:$M$83,MATCH(VALUE(RIGHT(K89,2)),$A$76:$A$83,0))=3,INDEX($R$76:$R$83,MATCH(VALUE(RIGHT(K89,2)),$A$76:$A$83,0)),IF(INDEX($M$76:$M$83,MATCH(VALUE(RIGHT(K89,2)),$A$76:$A$83,0))="1",INDEX($F$76:$F$83,MATCH(VALUE(RIGHT(K89,2)),$A$76:$A$83,0)),IF(INDEX($M$76:$M$83,MATCH(VALUE(RIGHT(K89,2)),$A$76:$A$83,0))=2,INDEX($J$76:$J$83,MATCH(VALUE(RIGHT(K89,2)),$A$76:$A$83,0)),CONCATENATE("Winnaar ",RIGHT(K89,2)))))</f>
        <v>Duitsland</v>
      </c>
      <c r="K89" s="127" t="str">
        <f>Toernooigegevens!J82</f>
        <v>W51</v>
      </c>
      <c r="L89" s="32"/>
      <c r="M89" s="102">
        <f>IF(AND(G89="",I89=""),"",IF(OR(G89="",I89=""),"FOUT",IF(G89&gt;I89,"1",IF(G89=I89,3,2))))</f>
        <v>2</v>
      </c>
      <c r="N89" s="142" t="str">
        <f>IF(M89=3,"======&gt;","")</f>
        <v/>
      </c>
      <c r="O89" s="45"/>
      <c r="P89" s="45"/>
      <c r="Q89" s="45"/>
      <c r="R89" s="361"/>
      <c r="S89" s="361"/>
      <c r="T89" s="130"/>
      <c r="U89" s="130"/>
      <c r="V89" s="45"/>
      <c r="W89" s="45"/>
      <c r="X89" s="45"/>
      <c r="Y89" s="45"/>
      <c r="Z89" s="45"/>
      <c r="AA89" s="45"/>
      <c r="AB89" s="10"/>
      <c r="AD89" s="40" t="str">
        <f>F89</f>
        <v>Argentinië</v>
      </c>
      <c r="AE89" s="41" t="str">
        <f>J89</f>
        <v>Duitsland</v>
      </c>
      <c r="AF89" s="40" t="str">
        <f>CONCATENATE(G89," - ",I89)</f>
        <v>0 - 4</v>
      </c>
      <c r="AG89" s="40">
        <f>M89</f>
        <v>2</v>
      </c>
      <c r="AI89" s="132" t="str">
        <f>IF(M89=3,F89,"")</f>
        <v/>
      </c>
      <c r="AJ89" s="45" t="str">
        <f>IF(M89=3,J89,"")</f>
        <v/>
      </c>
      <c r="AK89" s="45" t="str">
        <f>IF(M89="1",F89,IF(M89=2,J89,IF(AND(M89=3,R89&lt;&gt;"",OR(R89=J89,R89=F89)),R89,"Winnaar "&amp;A89)))</f>
        <v>Duitsland</v>
      </c>
      <c r="AL89" s="124"/>
      <c r="AM89" s="40">
        <f t="shared" si="39"/>
        <v>0</v>
      </c>
    </row>
    <row r="90" spans="1:39">
      <c r="A90" s="75">
        <f>Toernooigegevens!B83</f>
        <v>60</v>
      </c>
      <c r="B90" s="76">
        <f>Toernooigegevens!C83</f>
        <v>40362</v>
      </c>
      <c r="C90" s="77">
        <f>Toernooigegevens!D83</f>
        <v>40362</v>
      </c>
      <c r="D90" s="78">
        <f>Toernooigegevens!E83</f>
        <v>0.85416666666666663</v>
      </c>
      <c r="E90" s="133" t="str">
        <f>Toernooigegevens!F83</f>
        <v>W55</v>
      </c>
      <c r="F90" s="107" t="str">
        <f>IF(INDEX($M$76:$M$83,MATCH(VALUE(RIGHT(E90,2)),$A$76:$A$83,0))=3,INDEX($R$76:$R$83,MATCH(VALUE(RIGHT(E90,2)),$A$76:$A$83,0)),IF(INDEX($M$76:$M$83,MATCH(VALUE(RIGHT(E90,2)),$A$76:$A$83,0))="1",INDEX($F$76:$F$83,MATCH(VALUE(RIGHT(E90,2)),$A$76:$A$83,0)),IF(INDEX($M$76:$M$83,MATCH(VALUE(RIGHT(E90,2)),$A$76:$A$83,0))=2,INDEX($J$76:$J$83,MATCH(VALUE(RIGHT(E90,2)),$A$76:$A$83,0)),CONCATENATE("Winnaar ",RIGHT(E90,2)))))</f>
        <v>Paraguay</v>
      </c>
      <c r="G90" s="141">
        <v>0</v>
      </c>
      <c r="H90" s="108" t="s">
        <v>29</v>
      </c>
      <c r="I90" s="81">
        <v>1</v>
      </c>
      <c r="J90" s="107" t="str">
        <f>IF(INDEX($M$76:$M$83,MATCH(VALUE(RIGHT(K90,2)),$A$76:$A$83,0))=3,INDEX($R$76:$R$83,MATCH(VALUE(RIGHT(K90,2)),$A$76:$A$83,0)),IF(INDEX($M$76:$M$83,MATCH(VALUE(RIGHT(K90,2)),$A$76:$A$83,0))="1",INDEX($F$76:$F$83,MATCH(VALUE(RIGHT(K90,2)),$A$76:$A$83,0)),IF(INDEX($M$76:$M$83,MATCH(VALUE(RIGHT(K90,2)),$A$76:$A$83,0))=2,INDEX($J$76:$J$83,MATCH(VALUE(RIGHT(K90,2)),$A$76:$A$83,0)),CONCATENATE("Winnaar ",RIGHT(K90,2)))))</f>
        <v>Spanje</v>
      </c>
      <c r="K90" s="135" t="str">
        <f>Toernooigegevens!J83</f>
        <v>W56</v>
      </c>
      <c r="L90" s="32"/>
      <c r="M90" s="82">
        <f>IF(AND(G90="",I90=""),"",IF(OR(G90="",I90=""),"FOUT",IF(G90&gt;I90,"1",IF(G90=I90,3,2))))</f>
        <v>2</v>
      </c>
      <c r="N90" s="128" t="str">
        <f>IF(M90=3,"======&gt;","")</f>
        <v/>
      </c>
      <c r="R90" s="358"/>
      <c r="S90" s="358"/>
      <c r="T90" s="130"/>
      <c r="U90" s="130"/>
      <c r="AA90" s="45"/>
      <c r="AB90" s="45"/>
      <c r="AD90" s="40" t="str">
        <f>F90</f>
        <v>Paraguay</v>
      </c>
      <c r="AE90" s="41" t="str">
        <f>J90</f>
        <v>Spanje</v>
      </c>
      <c r="AF90" s="40" t="str">
        <f>CONCATENATE(G90," - ",I90)</f>
        <v>0 - 1</v>
      </c>
      <c r="AG90" s="40">
        <f>M90</f>
        <v>2</v>
      </c>
      <c r="AI90" s="132" t="str">
        <f>IF(M90=3,F90,"")</f>
        <v/>
      </c>
      <c r="AJ90" s="45" t="str">
        <f>IF(M90=3,J90,"")</f>
        <v/>
      </c>
      <c r="AK90" s="45" t="str">
        <f>IF(M90="1",F90,IF(M90=2,J90,IF(AND(M90=3,R90&lt;&gt;"",OR(R90=J90,R90=F90)),R90,"Winnaar "&amp;A90)))</f>
        <v>Spanje</v>
      </c>
      <c r="AL90" s="124"/>
      <c r="AM90" s="40">
        <f t="shared" si="39"/>
        <v>0</v>
      </c>
    </row>
    <row r="91" spans="1:39" s="1" customFormat="1">
      <c r="A91" s="109"/>
      <c r="B91" s="110"/>
      <c r="C91" s="111"/>
      <c r="D91" s="110"/>
      <c r="E91" s="110"/>
      <c r="F91" s="110"/>
      <c r="G91" s="109"/>
      <c r="H91" s="112"/>
      <c r="I91" s="109"/>
      <c r="J91" s="110"/>
      <c r="K91" s="110"/>
      <c r="L91" s="110"/>
      <c r="M91" s="112"/>
      <c r="N91" s="143"/>
      <c r="O91" s="110"/>
      <c r="P91" s="110"/>
      <c r="Q91" s="110"/>
      <c r="R91" s="110"/>
      <c r="S91" s="110"/>
      <c r="T91" s="110"/>
      <c r="U91" s="110"/>
      <c r="V91" s="110"/>
      <c r="W91" s="110"/>
      <c r="X91" s="110"/>
      <c r="Y91" s="110"/>
      <c r="Z91" s="110"/>
      <c r="AA91" s="110"/>
      <c r="AB91" s="110"/>
      <c r="AE91" s="138"/>
      <c r="AG91" s="40"/>
      <c r="AI91" s="132"/>
      <c r="AJ91" s="45"/>
      <c r="AK91" s="45"/>
      <c r="AL91" s="124"/>
      <c r="AM91" s="40">
        <f t="shared" si="39"/>
        <v>0</v>
      </c>
    </row>
    <row r="92" spans="1:39">
      <c r="A92" s="113"/>
      <c r="B92" s="10"/>
      <c r="C92" s="144"/>
      <c r="D92" s="10"/>
      <c r="E92" s="10"/>
      <c r="F92" s="10"/>
      <c r="G92" s="113"/>
      <c r="H92" s="32"/>
      <c r="I92" s="113"/>
      <c r="J92" s="10"/>
      <c r="K92" s="10"/>
      <c r="L92" s="10"/>
      <c r="M92" s="32"/>
      <c r="N92" s="145"/>
      <c r="R92" s="359" t="s">
        <v>38</v>
      </c>
      <c r="S92" s="359"/>
      <c r="T92" s="139"/>
      <c r="U92" s="139"/>
      <c r="AI92" s="132"/>
      <c r="AJ92" s="45"/>
      <c r="AK92" s="45"/>
      <c r="AL92" s="124"/>
      <c r="AM92" s="40">
        <f t="shared" si="39"/>
        <v>0</v>
      </c>
    </row>
    <row r="93" spans="1:39">
      <c r="A93" s="56" t="s">
        <v>47</v>
      </c>
      <c r="B93" s="57"/>
      <c r="C93" s="57"/>
      <c r="D93" s="57"/>
      <c r="E93" s="57"/>
      <c r="F93" s="57"/>
      <c r="G93" s="58"/>
      <c r="H93" s="57"/>
      <c r="I93" s="58"/>
      <c r="J93" s="57"/>
      <c r="K93" s="59"/>
      <c r="L93" s="32"/>
      <c r="M93" s="61" t="s">
        <v>20</v>
      </c>
      <c r="N93" s="145"/>
      <c r="R93" s="360" t="s">
        <v>45</v>
      </c>
      <c r="S93" s="360"/>
      <c r="T93" s="122"/>
      <c r="U93" s="122"/>
      <c r="AI93" s="132"/>
      <c r="AJ93" s="45"/>
      <c r="AK93" s="45"/>
      <c r="AL93" s="124"/>
      <c r="AM93" s="40">
        <f t="shared" si="39"/>
        <v>0</v>
      </c>
    </row>
    <row r="94" spans="1:39">
      <c r="A94" s="65">
        <f>Toernooigegevens!B87</f>
        <v>61</v>
      </c>
      <c r="B94" s="66">
        <f>Toernooigegevens!C87</f>
        <v>40365</v>
      </c>
      <c r="C94" s="67">
        <f>Toernooigegevens!D87</f>
        <v>40365</v>
      </c>
      <c r="D94" s="68">
        <f>Toernooigegevens!E87</f>
        <v>0.85416666666666663</v>
      </c>
      <c r="E94" s="125" t="str">
        <f>Toernooigegevens!F87</f>
        <v>W58</v>
      </c>
      <c r="F94" s="101" t="str">
        <f>IF(INDEX($M$87:$M$90,MATCH(VALUE(RIGHT(E94,2)),$A$87:$A$90,0))=3,INDEX($R$87:$R$90,MATCH(VALUE(RIGHT(E94,2)),$A$87:$A$90,0)),IF(INDEX($M$87:$M$90,MATCH(VALUE(RIGHT(E94,2)),$A$87:$A$90,0))="1",INDEX($F$87:$F$90,MATCH(VALUE(RIGHT(E94,2)),$A$87:$A$90,0)),IF(INDEX($M$87:$M$90,MATCH(VALUE(RIGHT(E94,2)),$A$87:$A$90,0))=2,INDEX($J$87:$J$90,MATCH(VALUE(RIGHT(E94,2)),$A$87:$A$90,0)),CONCATENATE("Winnaar ",RIGHT(E94,2)))))</f>
        <v>Uruguay</v>
      </c>
      <c r="G94" s="140">
        <v>2</v>
      </c>
      <c r="H94" s="102" t="s">
        <v>29</v>
      </c>
      <c r="I94" s="71">
        <v>3</v>
      </c>
      <c r="J94" s="101" t="str">
        <f>IF(INDEX($M$87:$M$90,MATCH(VALUE(RIGHT(K94,2)),$A$87:$A$90,0))=3,INDEX($R$87:$R$90,MATCH(VALUE(RIGHT(K94,2)),$A$87:$A$90,0)),IF(INDEX($M$87:$M$90,MATCH(VALUE(RIGHT(K94,2)),$A$87:$A$90,0))="1",INDEX($F$87:$F$90,MATCH(VALUE(RIGHT(K94,2)),$A$87:$A$90,0)),IF(INDEX($M$87:$M$90,MATCH(VALUE(RIGHT(K94,2)),$A$87:$A$90,0))=2,INDEX($J$87:$J$90,MATCH(VALUE(RIGHT(K94,2)),$A$87:$A$90,0)),CONCATENATE("Winnaar ",RIGHT(K94,2)))))</f>
        <v>Nederland</v>
      </c>
      <c r="K94" s="127" t="str">
        <f>Toernooigegevens!J87</f>
        <v>W57</v>
      </c>
      <c r="L94" s="32"/>
      <c r="M94" s="72">
        <f>IF(AND(G94="",I94=""),"",IF(OR(G94="",I94=""),"FOUT",IF(G94&gt;I94,"1",IF(G94=I94,3,2))))</f>
        <v>2</v>
      </c>
      <c r="N94" s="128" t="str">
        <f>IF(M94=3,"======&gt;","")</f>
        <v/>
      </c>
      <c r="R94" s="361"/>
      <c r="S94" s="361"/>
      <c r="T94" s="130"/>
      <c r="U94" s="130"/>
      <c r="AD94" s="40" t="str">
        <f>F94</f>
        <v>Uruguay</v>
      </c>
      <c r="AE94" s="41" t="str">
        <f>J94</f>
        <v>Nederland</v>
      </c>
      <c r="AF94" s="40" t="str">
        <f>CONCATENATE(G94," - ",I94)</f>
        <v>2 - 3</v>
      </c>
      <c r="AG94" s="40">
        <f>M94</f>
        <v>2</v>
      </c>
      <c r="AI94" s="132" t="str">
        <f>IF(M94=3,F94,"")</f>
        <v/>
      </c>
      <c r="AJ94" s="45" t="str">
        <f>IF(M94=3,J94,"")</f>
        <v/>
      </c>
      <c r="AK94" s="45" t="str">
        <f>IF(M94="1",F94,IF(M94=2,J94,IF(AND(M94=3,R94&lt;&gt;"",OR(R94=J94,R94=F94)),R94,"Winnaar "&amp;A94)))</f>
        <v>Nederland</v>
      </c>
      <c r="AL94" s="124"/>
      <c r="AM94" s="40">
        <f t="shared" si="39"/>
        <v>0</v>
      </c>
    </row>
    <row r="95" spans="1:39">
      <c r="A95" s="75">
        <f>Toernooigegevens!B88</f>
        <v>62</v>
      </c>
      <c r="B95" s="76">
        <f>Toernooigegevens!C88</f>
        <v>40366</v>
      </c>
      <c r="C95" s="77">
        <f>Toernooigegevens!D88</f>
        <v>40366</v>
      </c>
      <c r="D95" s="78">
        <f>Toernooigegevens!E88</f>
        <v>0.85416666666666663</v>
      </c>
      <c r="E95" s="133" t="str">
        <f>Toernooigegevens!F88</f>
        <v>W59</v>
      </c>
      <c r="F95" s="106" t="str">
        <f>IF(INDEX($M$87:$M$90,MATCH(VALUE(RIGHT(E95,2)),$A$87:$A$90,0))=3,INDEX($R$87:$R$90,MATCH(VALUE(RIGHT(E95,2)),$A$87:$A$90,0)),IF(INDEX($M$87:$M$90,MATCH(VALUE(RIGHT(E95,2)),$A$87:$A$90,0))="1",INDEX($F$87:$F$90,MATCH(VALUE(RIGHT(E95,2)),$A$87:$A$90,0)),IF(INDEX($M$87:$M$90,MATCH(VALUE(RIGHT(E95,2)),$A$87:$A$90,0))=2,INDEX($J$87:$J$90,MATCH(VALUE(RIGHT(E95,2)),$A$87:$A$90,0)),Toernooigegevens!G88)))</f>
        <v>Duitsland</v>
      </c>
      <c r="G95" s="141"/>
      <c r="H95" s="108" t="s">
        <v>29</v>
      </c>
      <c r="I95" s="81"/>
      <c r="J95" s="107" t="str">
        <f>IF(INDEX($M$87:$M$90,MATCH(VALUE(RIGHT(K95,2)),$A$87:$A$90,0))=3,INDEX($R$87:$R$90,MATCH(VALUE(RIGHT(K95,2)),$A$87:$A$90,0)),IF(INDEX($M$87:$M$90,MATCH(VALUE(RIGHT(K95,2)),$A$87:$A$90,0))="1",INDEX($F$87:$F$90,MATCH(VALUE(RIGHT(K95,2)),$A$87:$A$90,0)),IF(INDEX($M$87:$M$90,MATCH(VALUE(RIGHT(K95,2)),$A$87:$A$90,0))=2,INDEX($J$87:$J$90,MATCH(VALUE(RIGHT(K95,2)),$A$87:$A$90,0)),CONCATENATE("Winnaar ",RIGHT(K95,2)))))</f>
        <v>Spanje</v>
      </c>
      <c r="K95" s="135" t="str">
        <f>Toernooigegevens!J88</f>
        <v>W60</v>
      </c>
      <c r="L95" s="32"/>
      <c r="M95" s="82" t="str">
        <f>IF(AND(G95="",I95=""),"",IF(OR(G95="",I95=""),"FOUT",IF(G95&gt;I95,"1",IF(G95=I95,3,2))))</f>
        <v/>
      </c>
      <c r="N95" s="128" t="str">
        <f>IF(M95=3,"======&gt;","")</f>
        <v/>
      </c>
      <c r="R95" s="358"/>
      <c r="S95" s="358"/>
      <c r="T95" s="130"/>
      <c r="U95" s="130"/>
      <c r="AD95" s="40" t="str">
        <f>F95</f>
        <v>Duitsland</v>
      </c>
      <c r="AE95" s="41" t="str">
        <f>J95</f>
        <v>Spanje</v>
      </c>
      <c r="AF95" s="40" t="str">
        <f>CONCATENATE(G95," - ",I95)</f>
        <v xml:space="preserve"> - </v>
      </c>
      <c r="AG95" s="40" t="str">
        <f>M95</f>
        <v/>
      </c>
      <c r="AI95" s="132" t="str">
        <f>IF(M95=3,F95,"")</f>
        <v/>
      </c>
      <c r="AJ95" s="45" t="str">
        <f>IF(M95=3,J95,"")</f>
        <v/>
      </c>
      <c r="AK95" s="45" t="str">
        <f>IF(M95="1",F95,IF(M95=2,J95,IF(AND(M95=3,R95&lt;&gt;"",OR(R95=J95,R95=F95)),R95,"Winnaar "&amp;A95)))</f>
        <v>Winnaar 62</v>
      </c>
      <c r="AL95" s="124"/>
      <c r="AM95" s="40">
        <f t="shared" si="39"/>
        <v>1</v>
      </c>
    </row>
    <row r="96" spans="1:39">
      <c r="A96" s="109"/>
      <c r="B96" s="109"/>
      <c r="C96" s="111"/>
      <c r="D96" s="111"/>
      <c r="E96" s="110"/>
      <c r="F96" s="137"/>
      <c r="G96" s="109"/>
      <c r="H96" s="112"/>
      <c r="I96" s="109"/>
      <c r="J96" s="110"/>
      <c r="K96" s="110"/>
      <c r="L96" s="112"/>
      <c r="M96" s="112"/>
      <c r="N96" s="143"/>
      <c r="O96" s="110"/>
      <c r="P96" s="110"/>
      <c r="Q96" s="110"/>
      <c r="R96" s="110"/>
      <c r="S96" s="110"/>
      <c r="T96" s="110"/>
      <c r="U96" s="110"/>
      <c r="V96" s="110"/>
      <c r="W96" s="110"/>
      <c r="X96" s="109"/>
      <c r="Y96" s="110"/>
      <c r="Z96" s="110"/>
      <c r="AA96" s="110"/>
      <c r="AB96" s="110"/>
      <c r="AI96" s="132"/>
      <c r="AJ96" s="45"/>
      <c r="AK96" s="45"/>
      <c r="AL96" s="124"/>
      <c r="AM96" s="40">
        <f t="shared" si="39"/>
        <v>0</v>
      </c>
    </row>
    <row r="97" spans="1:39">
      <c r="A97" s="113"/>
      <c r="B97" s="53"/>
      <c r="C97" s="49"/>
      <c r="D97" s="49"/>
      <c r="E97" s="50"/>
      <c r="F97" s="50"/>
      <c r="G97" s="53"/>
      <c r="H97" s="54"/>
      <c r="I97" s="53"/>
      <c r="J97" s="50"/>
      <c r="K97" s="50"/>
      <c r="L97" s="32"/>
      <c r="M97" s="32"/>
      <c r="N97" s="145"/>
      <c r="R97" s="359" t="s">
        <v>38</v>
      </c>
      <c r="S97" s="359"/>
      <c r="T97" s="139"/>
      <c r="U97" s="139"/>
      <c r="AI97" s="132"/>
      <c r="AJ97" s="45"/>
      <c r="AK97" s="45"/>
      <c r="AL97" s="124"/>
      <c r="AM97" s="40">
        <f t="shared" si="39"/>
        <v>0</v>
      </c>
    </row>
    <row r="98" spans="1:39">
      <c r="A98" s="56" t="s">
        <v>48</v>
      </c>
      <c r="B98" s="57"/>
      <c r="C98" s="57"/>
      <c r="D98" s="57"/>
      <c r="E98" s="57"/>
      <c r="F98" s="57"/>
      <c r="G98" s="58"/>
      <c r="H98" s="57"/>
      <c r="I98" s="58"/>
      <c r="J98" s="57"/>
      <c r="K98" s="59"/>
      <c r="L98" s="32"/>
      <c r="M98" s="61" t="s">
        <v>20</v>
      </c>
      <c r="N98" s="145"/>
      <c r="R98" s="360" t="s">
        <v>45</v>
      </c>
      <c r="S98" s="360"/>
      <c r="T98" s="122"/>
      <c r="U98" s="122"/>
      <c r="AD98" s="40" t="str">
        <f>F99</f>
        <v>Uruguay</v>
      </c>
      <c r="AE98" s="41" t="str">
        <f>J99</f>
        <v>Verliezer 62</v>
      </c>
      <c r="AF98" s="40" t="str">
        <f>CONCATENATE(G99," - ",I99)</f>
        <v xml:space="preserve"> - </v>
      </c>
      <c r="AG98" s="40" t="str">
        <f>M99</f>
        <v/>
      </c>
      <c r="AI98" s="132"/>
      <c r="AJ98" s="45"/>
      <c r="AK98" s="45"/>
      <c r="AL98" s="124"/>
      <c r="AM98" s="40">
        <f t="shared" si="39"/>
        <v>0</v>
      </c>
    </row>
    <row r="99" spans="1:39">
      <c r="A99" s="65">
        <f>Toernooigegevens!B92</f>
        <v>63</v>
      </c>
      <c r="B99" s="66">
        <f>Toernooigegevens!C92</f>
        <v>40369</v>
      </c>
      <c r="C99" s="67">
        <f>Toernooigegevens!D92</f>
        <v>40369</v>
      </c>
      <c r="D99" s="68">
        <f>Toernooigegevens!E92</f>
        <v>0.85416666666666663</v>
      </c>
      <c r="E99" s="146" t="str">
        <f>Toernooigegevens!F92</f>
        <v>V61</v>
      </c>
      <c r="F99" s="101" t="str">
        <f>IF(INDEX($A$94:$M$95,MATCH(VALUE(RIGHT(E99,2)),$A$94:$A$95),13)=3,INDEX($A$94:$M$95,MATCH(VALUE(RIGHT(E99,2)),$A$94:$A$95),IF(INDEX(A94:S95,MATCH(VALUE(RIGHT(E99,2)),$A$94:$A$95,0),6)=INDEX(A94:S95,MATCH(VALUE(RIGHT(E99,2)),$A$94:$A$95,0),18),10,6)),IF(INDEX($M$94:$M$95,MATCH(VALUE(RIGHT(E99,2)),$A$94:$A$95,0))=2,INDEX($F$94:$F$95,MATCH(VALUE(RIGHT(E99,2)),$A$94:$A$95,0)),IF(INDEX($M$94:$M$95,MATCH(VALUE(RIGHT(E99,2)),$A$94:$A$95,0))="1",INDEX($J$94:$J$95,MATCH(VALUE(RIGHT(E99,2)),$A$94:$A$95,0)),CONCATENATE("Verliezer ",RIGHT(E99,2)))))</f>
        <v>Uruguay</v>
      </c>
      <c r="G99" s="140"/>
      <c r="H99" s="102" t="s">
        <v>29</v>
      </c>
      <c r="I99" s="71"/>
      <c r="J99" s="101" t="str">
        <f>IF(INDEX($A$94:$M$95,MATCH(VALUE(RIGHT(K99,2)),$A$94:$A$95),13)=3,INDEX($A$94:$M$95,MATCH(VALUE(RIGHT(K99,2)),$A$94:$A$95),IF(INDEX(A94:S95,MATCH(VALUE(RIGHT(K99,2)),$A$94:$A$95,0),6)=INDEX(A94:S95,MATCH(VALUE(RIGHT(K99,2)),$A$94:$A$95,0),18),10,6)),IF(INDEX($M$94:$M$95,MATCH(VALUE(RIGHT(K99,2)),$A$94:$A$95,0))=2,INDEX($F$94:$F$95,MATCH(VALUE(RIGHT(K99,2)),$A$94:$A$95,0)),IF(INDEX($M$94:$M$95,MATCH(VALUE(RIGHT(K99,2)),$A$94:$A$95,0))="1",INDEX($J$94:$J$95,MATCH(VALUE(RIGHT(K99,2)),$A$94:$A$95,0)),CONCATENATE("Verliezer ",RIGHT(K99,2)))))</f>
        <v>Verliezer 62</v>
      </c>
      <c r="K99" s="127" t="str">
        <f>Toernooigegevens!J92</f>
        <v>V62</v>
      </c>
      <c r="L99" s="32"/>
      <c r="M99" s="72" t="str">
        <f>IF(AND(G99="",I99=""),"",IF(OR(G99="",I99=""),"FOUT",IF(G99&gt;I99,"1",IF(G99=I99,3,2))))</f>
        <v/>
      </c>
      <c r="N99" s="128" t="str">
        <f>IF(M99=3,"======&gt;","")</f>
        <v/>
      </c>
      <c r="R99" s="361"/>
      <c r="S99" s="361"/>
      <c r="T99" s="130"/>
      <c r="U99" s="130"/>
      <c r="AI99" s="132" t="str">
        <f>IF(M99=3,F99,"")</f>
        <v/>
      </c>
      <c r="AJ99" s="45" t="str">
        <f>IF(M99=3,J99,"")</f>
        <v/>
      </c>
      <c r="AK99" s="45" t="str">
        <f>IF(M99="1",F99,IF(M99=2,J99,IF(AND(M99=3,R99&lt;&gt;"",OR(R99=J99,R99=F99)),R99,"Winnaar "&amp;A99)))</f>
        <v>Winnaar 63</v>
      </c>
      <c r="AL99" s="124"/>
      <c r="AM99" s="40">
        <f t="shared" si="39"/>
        <v>1</v>
      </c>
    </row>
    <row r="100" spans="1:39" s="1" customFormat="1">
      <c r="A100" s="109"/>
      <c r="B100" s="109"/>
      <c r="C100" s="111"/>
      <c r="D100" s="111"/>
      <c r="E100" s="110"/>
      <c r="F100" s="137"/>
      <c r="G100" s="109"/>
      <c r="H100" s="112"/>
      <c r="I100" s="109"/>
      <c r="J100" s="110"/>
      <c r="K100" s="110"/>
      <c r="L100" s="112"/>
      <c r="M100" s="112"/>
      <c r="N100" s="143"/>
      <c r="O100" s="110"/>
      <c r="P100" s="110"/>
      <c r="Q100" s="110"/>
      <c r="R100" s="110"/>
      <c r="S100" s="110"/>
      <c r="T100" s="110"/>
      <c r="U100" s="110"/>
      <c r="V100" s="110"/>
      <c r="W100" s="110"/>
      <c r="X100" s="110"/>
      <c r="Y100" s="110"/>
      <c r="Z100" s="110"/>
      <c r="AA100" s="110"/>
      <c r="AB100" s="110"/>
      <c r="AD100" s="40"/>
      <c r="AE100" s="41"/>
      <c r="AF100" s="40"/>
      <c r="AG100" s="40"/>
      <c r="AI100" s="132"/>
      <c r="AJ100" s="45"/>
      <c r="AK100" s="45"/>
      <c r="AL100" s="124"/>
      <c r="AM100" s="40">
        <f t="shared" si="39"/>
        <v>0</v>
      </c>
    </row>
    <row r="101" spans="1:39">
      <c r="A101" s="113"/>
      <c r="B101" s="53"/>
      <c r="C101" s="49"/>
      <c r="D101" s="49"/>
      <c r="E101" s="50"/>
      <c r="F101" s="50"/>
      <c r="G101" s="53"/>
      <c r="H101" s="54"/>
      <c r="I101" s="53"/>
      <c r="J101" s="50"/>
      <c r="K101" s="50"/>
      <c r="L101" s="32"/>
      <c r="M101" s="32"/>
      <c r="N101" s="145"/>
      <c r="R101" s="359" t="s">
        <v>38</v>
      </c>
      <c r="S101" s="359"/>
      <c r="T101" s="139"/>
      <c r="U101" s="139"/>
      <c r="AD101" s="40" t="str">
        <f>F103</f>
        <v>Nederland</v>
      </c>
      <c r="AE101" s="41" t="str">
        <f>J103</f>
        <v>Winnaar 62</v>
      </c>
      <c r="AF101" s="40" t="str">
        <f>CONCATENATE(G103," - ",I103)</f>
        <v xml:space="preserve"> - </v>
      </c>
      <c r="AG101" s="40" t="str">
        <f>M103</f>
        <v/>
      </c>
      <c r="AI101" s="132"/>
      <c r="AJ101" s="45"/>
      <c r="AK101" s="45"/>
      <c r="AL101" s="124"/>
      <c r="AM101" s="40">
        <f t="shared" si="39"/>
        <v>0</v>
      </c>
    </row>
    <row r="102" spans="1:39">
      <c r="A102" s="56" t="s">
        <v>49</v>
      </c>
      <c r="B102" s="57"/>
      <c r="C102" s="57"/>
      <c r="D102" s="57"/>
      <c r="E102" s="57"/>
      <c r="F102" s="57"/>
      <c r="G102" s="58"/>
      <c r="H102" s="57"/>
      <c r="I102" s="58"/>
      <c r="J102" s="57"/>
      <c r="K102" s="59"/>
      <c r="L102" s="32"/>
      <c r="M102" s="147" t="s">
        <v>20</v>
      </c>
      <c r="N102" s="362"/>
      <c r="O102" s="362"/>
      <c r="P102" s="122"/>
      <c r="Q102" s="122"/>
      <c r="R102" s="360" t="s">
        <v>45</v>
      </c>
      <c r="S102" s="360"/>
      <c r="T102" s="122"/>
      <c r="U102" s="122"/>
      <c r="V102" s="45"/>
      <c r="AD102" s="1"/>
      <c r="AE102" s="138"/>
      <c r="AF102" s="1"/>
      <c r="AG102" s="1"/>
      <c r="AI102" s="132"/>
      <c r="AJ102" s="45"/>
      <c r="AK102" s="45"/>
      <c r="AL102" s="124"/>
      <c r="AM102" s="40">
        <f t="shared" si="39"/>
        <v>0</v>
      </c>
    </row>
    <row r="103" spans="1:39">
      <c r="A103" s="65">
        <f>Toernooigegevens!B96</f>
        <v>64</v>
      </c>
      <c r="B103" s="66">
        <f>Toernooigegevens!C96</f>
        <v>40370</v>
      </c>
      <c r="C103" s="67">
        <f>Toernooigegevens!D96</f>
        <v>40370</v>
      </c>
      <c r="D103" s="68">
        <f>Toernooigegevens!E96</f>
        <v>0.85416666666666663</v>
      </c>
      <c r="E103" s="146" t="str">
        <f>Toernooigegevens!F96</f>
        <v>W61</v>
      </c>
      <c r="F103" s="101" t="str">
        <f>IF(INDEX($M$94:$M$95,MATCH(VALUE(RIGHT(E103,2)),$A$94:$A$95,0))=3,INDEX($R$94:$R$95,MATCH(VALUE(RIGHT(E103,2)),$A$94:$A$95,0)),IF(INDEX($M$94:$M$95,MATCH(VALUE(RIGHT(E103,2)),$A$94:$A$95,0))="1",INDEX($F$94:$F$95,MATCH(VALUE(RIGHT(E103,2)),$A$94:$A$95,0)),IF(INDEX($M$94:$M$95,MATCH(VALUE(RIGHT(E103,2)),$A$94:$A$95,0))=2,INDEX($J$94:$J$95,MATCH(VALUE(RIGHT(E103,2)),$A$94:$A$95,0)),CONCATENATE("Winnaar ",RIGHT(E103,2)))))</f>
        <v>Nederland</v>
      </c>
      <c r="G103" s="140"/>
      <c r="H103" s="102" t="s">
        <v>29</v>
      </c>
      <c r="I103" s="71"/>
      <c r="J103" s="101" t="str">
        <f>IF(INDEX($M$94:$M$95,MATCH(VALUE(RIGHT(K103,2)),$A$94:$A$95,0))=3,INDEX($R$94:$R$95,MATCH(VALUE(RIGHT(K103,2)),$A$94:$A$95,0)),IF(INDEX($M$94:$M$95,MATCH(VALUE(RIGHT(K103,2)),$A$94:$A$95,0))="1",INDEX($F$94:$F$95,MATCH(VALUE(RIGHT(K103,2)),$A$94:$A$95,0)),IF(INDEX($M$94:$M$95,MATCH(VALUE(RIGHT(K103,2)),$A$94:$A$95,0))=2,INDEX($J$94:$J$95,MATCH(VALUE(RIGHT(K103,2)),$A$94:$A$95,0)),CONCATENATE("Winnaar ",RIGHT(K103,2)))))</f>
        <v>Winnaar 62</v>
      </c>
      <c r="K103" s="127" t="str">
        <f>Toernooigegevens!J96</f>
        <v>W62</v>
      </c>
      <c r="L103" s="32"/>
      <c r="M103" s="148" t="str">
        <f>IF(AND(G103="",I103=""),"",IF(OR(G103="",I103=""),"FOUT",IF(G103&gt;I103,"1",IF(G103=I103,3,2))))</f>
        <v/>
      </c>
      <c r="N103" s="363" t="str">
        <f>IF(M103=3,"======&gt;","")</f>
        <v/>
      </c>
      <c r="O103" s="363" t="str">
        <f>IF(N103=3,"======&gt;","")</f>
        <v/>
      </c>
      <c r="P103" s="130"/>
      <c r="Q103" s="130"/>
      <c r="R103" s="361"/>
      <c r="S103" s="361"/>
      <c r="T103" s="130"/>
      <c r="U103" s="130"/>
      <c r="AI103" s="132" t="str">
        <f>IF(M103=3,F103,"")</f>
        <v/>
      </c>
      <c r="AJ103" s="45" t="str">
        <f>IF(M103=3,J103,"")</f>
        <v/>
      </c>
      <c r="AK103" s="149" t="str">
        <f>IF(M103="1",F103,IF(M103=2,J103,IF(AND(M103=3,R103&lt;&gt;"",OR(R103=J103,R103=F103)),R103,"Winnaar "&amp;A103)))</f>
        <v>Winnaar 64</v>
      </c>
      <c r="AL103" s="150"/>
      <c r="AM103" s="40">
        <f t="shared" si="39"/>
        <v>1</v>
      </c>
    </row>
    <row r="104" spans="1:39">
      <c r="A104" s="151" t="s">
        <v>50</v>
      </c>
      <c r="B104" s="152"/>
      <c r="C104" s="153"/>
      <c r="D104" s="152"/>
      <c r="E104" s="152"/>
      <c r="F104" s="154" t="s">
        <v>531</v>
      </c>
      <c r="G104" s="155"/>
      <c r="H104" s="156"/>
      <c r="I104" s="155"/>
      <c r="J104" s="155"/>
      <c r="K104" s="50"/>
      <c r="L104" s="50"/>
      <c r="M104" s="54"/>
      <c r="N104" s="45"/>
      <c r="O104" s="45"/>
      <c r="AD104" s="40" t="str">
        <f>IF(M103="","FOUT",IF(M103="1",F103,IF(M103=2,J103,R103)))</f>
        <v>FOUT</v>
      </c>
      <c r="AE104" s="157"/>
    </row>
    <row r="105" spans="1:39" hidden="1">
      <c r="AB105" s="110"/>
      <c r="AC105" s="1"/>
    </row>
    <row r="109" spans="1:39" hidden="1">
      <c r="A109" s="158"/>
      <c r="B109" s="159"/>
      <c r="C109" s="160"/>
      <c r="D109" s="159"/>
      <c r="E109" s="159"/>
      <c r="F109" s="159"/>
      <c r="G109" s="158"/>
      <c r="H109" s="161"/>
      <c r="I109" s="158"/>
      <c r="J109" s="159"/>
      <c r="K109" s="159"/>
      <c r="L109" s="159"/>
      <c r="M109" s="161"/>
    </row>
    <row r="112" spans="1:39"/>
    <row r="113"/>
    <row r="114"/>
  </sheetData>
  <sheetProtection sheet="1" objects="1" scenarios="1" selectLockedCells="1"/>
  <mergeCells count="28">
    <mergeCell ref="N102:O102"/>
    <mergeCell ref="R102:S102"/>
    <mergeCell ref="N103:O103"/>
    <mergeCell ref="R103:S103"/>
    <mergeCell ref="R94:S94"/>
    <mergeCell ref="R95:S95"/>
    <mergeCell ref="R97:S97"/>
    <mergeCell ref="R98:S98"/>
    <mergeCell ref="R99:S99"/>
    <mergeCell ref="R101:S101"/>
    <mergeCell ref="R93:S93"/>
    <mergeCell ref="R80:S80"/>
    <mergeCell ref="R81:S81"/>
    <mergeCell ref="R82:S82"/>
    <mergeCell ref="R83:S83"/>
    <mergeCell ref="R85:S85"/>
    <mergeCell ref="R86:S86"/>
    <mergeCell ref="R87:S87"/>
    <mergeCell ref="R88:S88"/>
    <mergeCell ref="R89:S89"/>
    <mergeCell ref="R90:S90"/>
    <mergeCell ref="R92:S92"/>
    <mergeCell ref="R79:S79"/>
    <mergeCell ref="R74:S74"/>
    <mergeCell ref="R75:S75"/>
    <mergeCell ref="R76:S76"/>
    <mergeCell ref="R77:S77"/>
    <mergeCell ref="R78:S78"/>
  </mergeCells>
  <conditionalFormatting sqref="M11:M16 M19:M24 M27:M32 M35:M40 M43:M48 M51:M56 M59:M64 M67:M72 M76:M83 M87:M90 M94:M95 M99 M103 P103:Q103 T76:T83 T87:U90 T94:U95 T99:U99 T103:U103 V76:V83 X76:X83">
    <cfRule type="cellIs" dxfId="3" priority="1" stopIfTrue="1" operator="equal">
      <formula>"FOUT"</formula>
    </cfRule>
  </conditionalFormatting>
  <conditionalFormatting sqref="R76:S103">
    <cfRule type="expression" dxfId="2" priority="2" stopIfTrue="1">
      <formula>AND($AM76=1,OR($M76=3,$R76&lt;&gt;""))</formula>
    </cfRule>
  </conditionalFormatting>
  <dataValidations count="16">
    <dataValidation type="list" operator="equal" allowBlank="1" showInputMessage="1" showErrorMessage="1" sqref="R76:S76">
      <formula1>$AI$76:$AJ$76</formula1>
      <formula2>0</formula2>
    </dataValidation>
    <dataValidation type="list" operator="equal" allowBlank="1" showInputMessage="1" showErrorMessage="1" sqref="R77:S77">
      <formula1>$AI$77:$AJ$77</formula1>
      <formula2>0</formula2>
    </dataValidation>
    <dataValidation type="list" operator="equal" allowBlank="1" showInputMessage="1" showErrorMessage="1" sqref="R78:S78">
      <formula1>$AI$78:$AJ$78</formula1>
      <formula2>0</formula2>
    </dataValidation>
    <dataValidation type="list" operator="equal" allowBlank="1" showInputMessage="1" showErrorMessage="1" sqref="R79:S79">
      <formula1>$AI$79:$AJ$79</formula1>
      <formula2>0</formula2>
    </dataValidation>
    <dataValidation type="list" operator="equal" allowBlank="1" showInputMessage="1" showErrorMessage="1" sqref="R80:S80">
      <formula1>$AI$80:$AJ$80</formula1>
      <formula2>0</formula2>
    </dataValidation>
    <dataValidation type="list" operator="equal" allowBlank="1" showInputMessage="1" showErrorMessage="1" sqref="R81:S81">
      <formula1>$AI$81:$AJ$81</formula1>
      <formula2>0</formula2>
    </dataValidation>
    <dataValidation type="list" operator="equal" allowBlank="1" showInputMessage="1" showErrorMessage="1" sqref="R82:S82">
      <formula1>$AI$82:$AJ$82</formula1>
      <formula2>0</formula2>
    </dataValidation>
    <dataValidation type="list" operator="equal" allowBlank="1" showInputMessage="1" showErrorMessage="1" sqref="R83:S83">
      <formula1>$AI$83:$AJ$83</formula1>
      <formula2>0</formula2>
    </dataValidation>
    <dataValidation type="list" operator="equal" allowBlank="1" showInputMessage="1" showErrorMessage="1" sqref="R87:S87">
      <formula1>$AI$87:$AJ$87</formula1>
      <formula2>0</formula2>
    </dataValidation>
    <dataValidation type="list" operator="equal" allowBlank="1" showInputMessage="1" showErrorMessage="1" sqref="R88:S88">
      <formula1>$AI$88:$AJ$88</formula1>
      <formula2>0</formula2>
    </dataValidation>
    <dataValidation type="list" operator="equal" allowBlank="1" showInputMessage="1" showErrorMessage="1" sqref="R89:S89">
      <formula1>$AI$89:$AJ$89</formula1>
      <formula2>0</formula2>
    </dataValidation>
    <dataValidation type="list" operator="equal" allowBlank="1" showInputMessage="1" showErrorMessage="1" sqref="R90:S90">
      <formula1>$AI$90:$AJ$90</formula1>
      <formula2>0</formula2>
    </dataValidation>
    <dataValidation type="list" operator="equal" allowBlank="1" showInputMessage="1" showErrorMessage="1" sqref="R94:S94">
      <formula1>$AI$94:$AJ$94</formula1>
      <formula2>0</formula2>
    </dataValidation>
    <dataValidation type="list" operator="equal" allowBlank="1" showInputMessage="1" showErrorMessage="1" sqref="R95:S95">
      <formula1>$AI$95:$AJ$95</formula1>
      <formula2>0</formula2>
    </dataValidation>
    <dataValidation type="list" operator="equal" allowBlank="1" showInputMessage="1" showErrorMessage="1" sqref="R99:S99">
      <formula1>$AI$99:$AJ$99</formula1>
      <formula2>0</formula2>
    </dataValidation>
    <dataValidation type="list" operator="equal" allowBlank="1" showInputMessage="1" showErrorMessage="1" sqref="R103:S103">
      <formula1>$AI$103:$AJ$103</formula1>
      <formula2>0</formula2>
    </dataValidation>
  </dataValidations>
  <pageMargins left="0.75" right="0.75" top="1" bottom="1" header="0.51180555555555551" footer="0.51180555555555551"/>
  <pageSetup firstPageNumber="0" fitToHeight="2" orientation="portrait"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356</v>
      </c>
      <c r="L1" s="211"/>
      <c r="P1" s="210">
        <f>SUM(P14:P89)+E11+H11+L7+L11</f>
        <v>485</v>
      </c>
    </row>
    <row r="2" spans="1:17" s="212" customFormat="1" ht="15" customHeight="1">
      <c r="B2" s="213" t="s">
        <v>97</v>
      </c>
      <c r="G2" s="213" t="s">
        <v>98</v>
      </c>
      <c r="J2" s="213" t="s">
        <v>99</v>
      </c>
      <c r="L2" s="214"/>
    </row>
    <row r="3" spans="1:17" s="212" customFormat="1" ht="15" customHeight="1">
      <c r="B3" s="212" t="str">
        <f t="shared" ref="B3:B10" si="0">E70</f>
        <v>Zuid-Afrika</v>
      </c>
      <c r="C3" s="247">
        <f>IF(AND(ISNA(MATCH(B3,Invulblad!$F$76:$F$83,0)),ISNA(MATCH(B3,Invulblad!$J$76:$J$83,0))),0,10)</f>
        <v>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Servië</v>
      </c>
      <c r="L3" s="247">
        <f>IF(AND(ISNA(MATCH(J3,Invulblad!$F$94:$F$95,0)),ISNA(MATCH(J3,Invulblad!$J$94:$J$95,0))),0,20+25)</f>
        <v>0</v>
      </c>
      <c r="Q3" s="248"/>
    </row>
    <row r="4" spans="1:17" s="212" customFormat="1" ht="15" customHeight="1">
      <c r="B4" s="212" t="str">
        <f t="shared" si="0"/>
        <v>USA</v>
      </c>
      <c r="C4" s="247">
        <f>IF(AND(ISNA(MATCH(B4,Invulblad!$F$76:$F$83,0)),ISNA(MATCH(B4,Invulblad!$J$76:$J$83,0))),0,10)</f>
        <v>10</v>
      </c>
      <c r="D4" s="212" t="str">
        <f t="shared" si="1"/>
        <v>Servië</v>
      </c>
      <c r="E4" s="247">
        <f>IF(AND(ISNA(MATCH(D4,Invulblad!$F$76:$F$83,0)),ISNA(MATCH(D4,Invulblad!$J$76:$J$83,0))),0,10)</f>
        <v>0</v>
      </c>
      <c r="G4" s="212" t="str">
        <f>E80</f>
        <v>Zuid-Afrika</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Engeland</v>
      </c>
      <c r="E5" s="247">
        <f>IF(AND(ISNA(MATCH(D5,Invulblad!$F$76:$F$83,0)),ISNA(MATCH(D5,Invulblad!$J$76:$J$83,0))),0,10)</f>
        <v>10</v>
      </c>
      <c r="G5" s="212" t="str">
        <f>E81</f>
        <v>Argentinië</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Argentinië</v>
      </c>
      <c r="C6" s="247">
        <f>IF(AND(ISNA(MATCH(B6,Invulblad!$F$76:$F$83,0)),ISNA(MATCH(B6,Invulblad!$J$76:$J$83,0))),0,10)</f>
        <v>10</v>
      </c>
      <c r="D6" s="212" t="str">
        <f t="shared" si="1"/>
        <v>Frankrijk</v>
      </c>
      <c r="E6" s="247">
        <f>IF(AND(ISNA(MATCH(D6,Invulblad!$F$76:$F$83,0)),ISNA(MATCH(D6,Invulblad!$J$76:$J$83,0))),0,10)</f>
        <v>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135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Servië</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90</v>
      </c>
      <c r="G11" s="215" t="s">
        <v>92</v>
      </c>
      <c r="H11" s="250">
        <f>SUM(H3:H10)</f>
        <v>75</v>
      </c>
      <c r="J11" s="215" t="s">
        <v>101</v>
      </c>
      <c r="K11" s="216"/>
      <c r="L11" s="250">
        <f>SUM(L9:L10)</f>
        <v>5</v>
      </c>
    </row>
    <row r="12" spans="1:17">
      <c r="B12" s="218" t="s">
        <v>19</v>
      </c>
      <c r="C12" s="218"/>
      <c r="D12" s="218"/>
      <c r="E12" s="219" t="str">
        <f>IF(H89&gt;J89,E89,G89)</f>
        <v>Spanje</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107</v>
      </c>
      <c r="F14" s="229" t="s">
        <v>29</v>
      </c>
      <c r="G14" s="230"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109</v>
      </c>
      <c r="F15" s="229" t="s">
        <v>29</v>
      </c>
      <c r="G15" s="212" t="s">
        <v>110</v>
      </c>
      <c r="H15" s="229">
        <v>1</v>
      </c>
      <c r="I15" s="229" t="s">
        <v>29</v>
      </c>
      <c r="J15" s="229">
        <v>0</v>
      </c>
      <c r="K15" s="235" t="str">
        <f t="shared" si="2"/>
        <v>1</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2</v>
      </c>
      <c r="I16" s="229" t="s">
        <v>29</v>
      </c>
      <c r="J16" s="229">
        <v>1</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2</v>
      </c>
      <c r="I17" s="229" t="s">
        <v>29</v>
      </c>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0</v>
      </c>
      <c r="I18" s="229" t="s">
        <v>29</v>
      </c>
      <c r="J18" s="229">
        <v>0</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1</v>
      </c>
      <c r="I19" s="229" t="s">
        <v>29</v>
      </c>
      <c r="J19" s="229">
        <v>1</v>
      </c>
      <c r="K19" s="235">
        <f t="shared" si="2"/>
        <v>3</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116</v>
      </c>
      <c r="F21" s="229" t="s">
        <v>29</v>
      </c>
      <c r="G21" s="212" t="s">
        <v>117</v>
      </c>
      <c r="H21" s="229">
        <v>2</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118</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120</v>
      </c>
      <c r="F23" s="229" t="s">
        <v>29</v>
      </c>
      <c r="G23" s="212" t="s">
        <v>117</v>
      </c>
      <c r="H23" s="229">
        <v>0</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116</v>
      </c>
      <c r="F24" s="229" t="s">
        <v>29</v>
      </c>
      <c r="G24" s="212" t="s">
        <v>121</v>
      </c>
      <c r="H24" s="229">
        <v>1</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122</v>
      </c>
      <c r="F25" s="229" t="s">
        <v>29</v>
      </c>
      <c r="G25" s="212" t="s">
        <v>121</v>
      </c>
      <c r="H25" s="229">
        <v>2</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120</v>
      </c>
      <c r="F26" s="229" t="s">
        <v>29</v>
      </c>
      <c r="G26" s="212" t="s">
        <v>123</v>
      </c>
      <c r="H26" s="229">
        <v>0</v>
      </c>
      <c r="I26" s="229" t="s">
        <v>29</v>
      </c>
      <c r="J26" s="229">
        <v>2</v>
      </c>
      <c r="K26" s="235">
        <f t="shared" si="2"/>
        <v>2</v>
      </c>
      <c r="L26" s="233">
        <f>VLOOKUP($B26,Invulblad!$A$11:$S$103,13,0)</f>
        <v>2</v>
      </c>
      <c r="M26" s="234">
        <f>IF(L26&lt;&gt;"",VLOOKUP($B26,Invulblad!$A$11:$S$103,7,0),"")</f>
        <v>0</v>
      </c>
      <c r="N26" s="229" t="s">
        <v>29</v>
      </c>
      <c r="O26" s="234">
        <f>IF(L26&lt;&gt;"",VLOOKUP($B26,Invulblad!$A$11:$S$103,9,0),"")</f>
        <v>2</v>
      </c>
      <c r="P26" s="235">
        <f t="shared" si="4"/>
        <v>10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124</v>
      </c>
      <c r="F28" s="229" t="s">
        <v>29</v>
      </c>
      <c r="G28" s="212" t="s">
        <v>125</v>
      </c>
      <c r="H28" s="229">
        <v>1</v>
      </c>
      <c r="I28" s="229" t="s">
        <v>29</v>
      </c>
      <c r="J28" s="229">
        <v>2</v>
      </c>
      <c r="K28" s="235">
        <f t="shared" si="2"/>
        <v>2</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126</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128</v>
      </c>
      <c r="F30" s="229" t="s">
        <v>29</v>
      </c>
      <c r="G30" s="212" t="s">
        <v>125</v>
      </c>
      <c r="H30" s="229">
        <v>0</v>
      </c>
      <c r="I30" s="229" t="s">
        <v>29</v>
      </c>
      <c r="J30" s="229">
        <v>1</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124</v>
      </c>
      <c r="F31" s="229" t="s">
        <v>29</v>
      </c>
      <c r="G31" s="212" t="s">
        <v>129</v>
      </c>
      <c r="H31" s="229">
        <v>2</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128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32</v>
      </c>
      <c r="F33" s="229" t="s">
        <v>29</v>
      </c>
      <c r="G33" s="212" t="s">
        <v>129</v>
      </c>
      <c r="H33" s="229">
        <v>0</v>
      </c>
      <c r="I33" s="229" t="s">
        <v>29</v>
      </c>
      <c r="J33" s="229">
        <v>0</v>
      </c>
      <c r="K33" s="235">
        <f t="shared" si="2"/>
        <v>3</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1</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0</v>
      </c>
      <c r="K38" s="235" t="str">
        <f t="shared" si="2"/>
        <v>1</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2</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1</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0</v>
      </c>
      <c r="K50" s="235">
        <f t="shared" si="8"/>
        <v>3</v>
      </c>
      <c r="L50" s="233">
        <f>VLOOKUP($B50,Invulblad!$A$11:$S$103,13,0)</f>
        <v>3</v>
      </c>
      <c r="M50" s="234">
        <f>IF(L50&lt;&gt;"",VLOOKUP($B50,Invulblad!$A$11:$S$103,7,0),"")</f>
        <v>1</v>
      </c>
      <c r="N50" s="229" t="s">
        <v>29</v>
      </c>
      <c r="O50" s="234">
        <f>IF(L50&lt;&gt;"",VLOOKUP($B50,Invulblad!$A$11:$S$103,9,0),"")</f>
        <v>1</v>
      </c>
      <c r="P50" s="235">
        <f t="shared" si="9"/>
        <v>5</v>
      </c>
    </row>
    <row r="51" spans="1:16">
      <c r="A51" s="205">
        <v>43</v>
      </c>
      <c r="B51" s="212">
        <v>27</v>
      </c>
      <c r="C51" s="226">
        <v>40349</v>
      </c>
      <c r="D51" s="227">
        <v>0.5625</v>
      </c>
      <c r="E51" s="228" t="s">
        <v>151</v>
      </c>
      <c r="F51" s="229" t="s">
        <v>29</v>
      </c>
      <c r="G51" s="212" t="s">
        <v>148</v>
      </c>
      <c r="H51" s="229">
        <v>0</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10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1</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1</v>
      </c>
      <c r="K56" s="235">
        <f t="shared" si="8"/>
        <v>3</v>
      </c>
      <c r="L56" s="233">
        <f>VLOOKUP($B56,Invulblad!$A$11:$S$103,13,0)</f>
        <v>3</v>
      </c>
      <c r="M56" s="234">
        <f>IF(L56&lt;&gt;"",VLOOKUP($B56,Invulblad!$A$11:$S$103,7,0),"")</f>
        <v>0</v>
      </c>
      <c r="N56" s="229" t="s">
        <v>29</v>
      </c>
      <c r="O56" s="234">
        <f>IF(L56&lt;&gt;"",VLOOKUP($B56,Invulblad!$A$11:$S$103,9,0),"")</f>
        <v>0</v>
      </c>
      <c r="P56" s="235">
        <f t="shared" ref="P56:P61" si="10">IF(L56&lt;&gt;"",IF(AND(M56=H56,O56=J56),10,IF(K56=L56,5,0)),"")</f>
        <v>5</v>
      </c>
    </row>
    <row r="57" spans="1:16">
      <c r="A57" s="205">
        <v>50</v>
      </c>
      <c r="B57" s="212">
        <v>14</v>
      </c>
      <c r="C57" s="226">
        <v>40344</v>
      </c>
      <c r="D57" s="227">
        <v>0.85416666666666663</v>
      </c>
      <c r="E57" s="228" t="s">
        <v>157</v>
      </c>
      <c r="F57" s="229" t="s">
        <v>29</v>
      </c>
      <c r="G57" s="212" t="s">
        <v>158</v>
      </c>
      <c r="H57" s="229">
        <v>2</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1</v>
      </c>
      <c r="I58" s="229" t="s">
        <v>29</v>
      </c>
      <c r="J58" s="229">
        <v>1</v>
      </c>
      <c r="K58" s="235">
        <f t="shared" si="8"/>
        <v>3</v>
      </c>
      <c r="L58" s="233" t="str">
        <f>VLOOKUP($B58,Invulblad!$A$11:$S$103,13,0)</f>
        <v>1</v>
      </c>
      <c r="M58" s="234">
        <f>IF(L58&lt;&gt;"",VLOOKUP($B58,Invulblad!$A$11:$S$103,7,0),"")</f>
        <v>3</v>
      </c>
      <c r="N58" s="229" t="s">
        <v>29</v>
      </c>
      <c r="O58" s="234">
        <f>IF(L58&lt;&gt;"",VLOOKUP($B58,Invulblad!$A$11:$S$103,9,0),"")</f>
        <v>1</v>
      </c>
      <c r="P58" s="235">
        <f t="shared" si="10"/>
        <v>0</v>
      </c>
    </row>
    <row r="59" spans="1:16">
      <c r="A59" s="205">
        <v>52</v>
      </c>
      <c r="B59" s="212">
        <v>30</v>
      </c>
      <c r="C59" s="226">
        <v>40350</v>
      </c>
      <c r="D59" s="227">
        <v>0.5625</v>
      </c>
      <c r="E59" s="228" t="s">
        <v>160</v>
      </c>
      <c r="F59" s="229" t="s">
        <v>29</v>
      </c>
      <c r="G59" s="212" t="s">
        <v>158</v>
      </c>
      <c r="H59" s="229">
        <v>1</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0</v>
      </c>
      <c r="K63" s="235">
        <f t="shared" si="8"/>
        <v>3</v>
      </c>
      <c r="L63" s="233">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10</v>
      </c>
    </row>
    <row r="66" spans="1:16">
      <c r="A66" s="205">
        <v>60</v>
      </c>
      <c r="B66" s="212">
        <v>32</v>
      </c>
      <c r="C66" s="226">
        <v>40350</v>
      </c>
      <c r="D66" s="227">
        <v>0.85416666666666663</v>
      </c>
      <c r="E66" s="228" t="s">
        <v>165</v>
      </c>
      <c r="F66" s="229" t="s">
        <v>29</v>
      </c>
      <c r="G66" s="212" t="s">
        <v>168</v>
      </c>
      <c r="H66" s="229">
        <v>2</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10</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1</v>
      </c>
      <c r="I68" s="229" t="s">
        <v>29</v>
      </c>
      <c r="J68" s="229">
        <v>1</v>
      </c>
      <c r="K68" s="235">
        <f t="shared" si="8"/>
        <v>3</v>
      </c>
      <c r="L68" s="233">
        <f>VLOOKUP($B68,Invulblad!$A$11:$S$103,13,0)</f>
        <v>3</v>
      </c>
      <c r="M68" s="234">
        <f>IF(L68&lt;&gt;"",VLOOKUP($B68,Invulblad!$A$11:$S$103,7,0),"")</f>
        <v>0</v>
      </c>
      <c r="N68" s="229" t="s">
        <v>29</v>
      </c>
      <c r="O68" s="234">
        <f>IF(L68&lt;&gt;"",VLOOKUP($B68,Invulblad!$A$11:$S$103,9,0),"")</f>
        <v>0</v>
      </c>
      <c r="P68" s="235">
        <f t="shared" si="11"/>
        <v>5</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107</v>
      </c>
      <c r="F70" s="229" t="s">
        <v>29</v>
      </c>
      <c r="G70" s="212" t="s">
        <v>122</v>
      </c>
      <c r="H70" s="229">
        <v>1</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c r="A71" s="205">
        <v>66</v>
      </c>
      <c r="B71" s="212">
        <v>50</v>
      </c>
      <c r="C71" s="226">
        <v>40355</v>
      </c>
      <c r="D71" s="227">
        <v>0.85416666666666663</v>
      </c>
      <c r="E71" s="228" t="s">
        <v>32</v>
      </c>
      <c r="F71" s="229" t="s">
        <v>29</v>
      </c>
      <c r="G71" s="222" t="s">
        <v>240</v>
      </c>
      <c r="H71" s="229">
        <v>0</v>
      </c>
      <c r="I71" s="229" t="s">
        <v>29</v>
      </c>
      <c r="J71" s="229">
        <v>2</v>
      </c>
      <c r="K71" s="235">
        <f t="shared" si="8"/>
        <v>2</v>
      </c>
      <c r="L71" s="233">
        <f>VLOOKUP($B71,Invulblad!$A$11:$S$103,13,0)</f>
        <v>2</v>
      </c>
      <c r="M71" s="234">
        <f>IF(L71&lt;&gt;"",VLOOKUP($B71,Invulblad!$A$11:$S$103,7,0),"")</f>
        <v>1</v>
      </c>
      <c r="N71" s="229" t="s">
        <v>29</v>
      </c>
      <c r="O71" s="234">
        <f>IF(L71&lt;&gt;"",VLOOKUP($B71,Invulblad!$A$11:$S$103,9,0),"")</f>
        <v>2</v>
      </c>
      <c r="P71" s="235">
        <f t="shared" si="12"/>
        <v>5</v>
      </c>
    </row>
    <row r="72" spans="1:16">
      <c r="A72" s="205">
        <v>67</v>
      </c>
      <c r="B72" s="212">
        <v>51</v>
      </c>
      <c r="C72" s="226">
        <v>40356</v>
      </c>
      <c r="D72" s="227">
        <v>0.66666666666666663</v>
      </c>
      <c r="E72" s="223" t="s">
        <v>239</v>
      </c>
      <c r="F72" s="229" t="s">
        <v>29</v>
      </c>
      <c r="G72" s="212" t="s">
        <v>124</v>
      </c>
      <c r="H72" s="229">
        <v>0</v>
      </c>
      <c r="I72" s="229" t="s">
        <v>29</v>
      </c>
      <c r="J72" s="229">
        <v>0</v>
      </c>
      <c r="K72" s="235">
        <f t="shared" si="8"/>
        <v>3</v>
      </c>
      <c r="L72" s="233" t="str">
        <f>VLOOKUP($B72,Invulblad!$A$11:$S$103,13,0)</f>
        <v>1</v>
      </c>
      <c r="M72" s="234">
        <f>IF(L72&lt;&gt;"",VLOOKUP($B72,Invulblad!$A$11:$S$103,7,0),"")</f>
        <v>4</v>
      </c>
      <c r="N72" s="229" t="s">
        <v>29</v>
      </c>
      <c r="O72" s="234">
        <f>IF(L72&lt;&gt;"",VLOOKUP($B72,Invulblad!$A$11:$S$103,9,0),"")</f>
        <v>1</v>
      </c>
      <c r="P72" s="235">
        <f t="shared" si="12"/>
        <v>0</v>
      </c>
    </row>
    <row r="73" spans="1:16">
      <c r="A73" s="205">
        <v>68</v>
      </c>
      <c r="B73" s="212">
        <v>52</v>
      </c>
      <c r="C73" s="226">
        <v>40356</v>
      </c>
      <c r="D73" s="227">
        <v>0.85416666666666663</v>
      </c>
      <c r="E73" s="223" t="s">
        <v>116</v>
      </c>
      <c r="F73" s="229" t="s">
        <v>29</v>
      </c>
      <c r="G73" s="212" t="s">
        <v>205</v>
      </c>
      <c r="H73" s="229">
        <v>1</v>
      </c>
      <c r="I73" s="229" t="s">
        <v>29</v>
      </c>
      <c r="J73" s="229">
        <v>0</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2</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274</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248</v>
      </c>
      <c r="H76" s="229">
        <v>1</v>
      </c>
      <c r="I76" s="229" t="s">
        <v>29</v>
      </c>
      <c r="J76" s="229">
        <v>1</v>
      </c>
      <c r="K76" s="235">
        <f t="shared" si="8"/>
        <v>3</v>
      </c>
      <c r="L76" s="233">
        <f>VLOOKUP($B76,Invulblad!$A$11:$S$103,13,0)</f>
        <v>3</v>
      </c>
      <c r="M76" s="234">
        <f>IF(L76&lt;&gt;"",VLOOKUP($B76,Invulblad!$A$11:$S$103,7,0),"")</f>
        <v>0</v>
      </c>
      <c r="N76" s="229" t="s">
        <v>29</v>
      </c>
      <c r="O76" s="234">
        <f>IF(L76&lt;&gt;"",VLOOKUP($B76,Invulblad!$A$11:$S$103,9,0),"")</f>
        <v>0</v>
      </c>
      <c r="P76" s="235">
        <f t="shared" si="12"/>
        <v>5</v>
      </c>
    </row>
    <row r="77" spans="1:16">
      <c r="A77" s="205">
        <v>72</v>
      </c>
      <c r="B77" s="212">
        <v>56</v>
      </c>
      <c r="C77" s="226">
        <v>40358</v>
      </c>
      <c r="D77" s="227">
        <v>0.85416666666666663</v>
      </c>
      <c r="E77" s="223" t="s">
        <v>200</v>
      </c>
      <c r="F77" s="229" t="s">
        <v>29</v>
      </c>
      <c r="G77" s="212" t="s">
        <v>266</v>
      </c>
      <c r="H77" s="229">
        <v>3</v>
      </c>
      <c r="I77" s="229" t="s">
        <v>29</v>
      </c>
      <c r="J77" s="229">
        <v>0</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1</v>
      </c>
      <c r="K79" s="235" t="str">
        <f t="shared" si="13"/>
        <v>1</v>
      </c>
      <c r="L79" s="233" t="str">
        <f>VLOOKUP($B79,Invulblad!$A$11:$S$103,13,0)</f>
        <v>1</v>
      </c>
      <c r="M79" s="234">
        <f>IF(L79&lt;&gt;"",VLOOKUP($B79,Invulblad!$A$11:$S$103,7,0),"")</f>
        <v>2</v>
      </c>
      <c r="N79" s="229" t="s">
        <v>29</v>
      </c>
      <c r="O79" s="234">
        <f>IF(L79&lt;&gt;"",VLOOKUP($B79,Invulblad!$A$11:$S$103,9,0),"")</f>
        <v>1</v>
      </c>
      <c r="P79" s="235">
        <f>IF(L79&lt;&gt;"",IF(AND(M79=H79,O79=J79),10,IF(K79=L79,5,0)),"")</f>
        <v>10</v>
      </c>
    </row>
    <row r="80" spans="1:16">
      <c r="A80" s="205">
        <v>76</v>
      </c>
      <c r="B80" s="212">
        <v>58</v>
      </c>
      <c r="C80" s="226">
        <v>40361</v>
      </c>
      <c r="D80" s="227">
        <v>0.85416666666666663</v>
      </c>
      <c r="E80" s="228" t="s">
        <v>107</v>
      </c>
      <c r="F80" s="229" t="s">
        <v>29</v>
      </c>
      <c r="G80" s="222" t="s">
        <v>240</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116</v>
      </c>
      <c r="F81" s="229" t="s">
        <v>29</v>
      </c>
      <c r="G81" s="222" t="s">
        <v>239</v>
      </c>
      <c r="H81" s="229">
        <v>1</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257</v>
      </c>
      <c r="F82" s="229" t="s">
        <v>29</v>
      </c>
      <c r="G82" s="222" t="s">
        <v>200</v>
      </c>
      <c r="H82" s="229">
        <v>0</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240</v>
      </c>
      <c r="F84" s="229" t="s">
        <v>29</v>
      </c>
      <c r="G84" s="222" t="s">
        <v>178</v>
      </c>
      <c r="H84" s="229">
        <v>1</v>
      </c>
      <c r="I84" s="229" t="s">
        <v>29</v>
      </c>
      <c r="J84" s="229">
        <v>1</v>
      </c>
      <c r="K84" s="235">
        <f t="shared" si="13"/>
        <v>3</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8" t="s">
        <v>239</v>
      </c>
      <c r="F85" s="229" t="s">
        <v>29</v>
      </c>
      <c r="G85" s="222" t="s">
        <v>200</v>
      </c>
      <c r="H85" s="229">
        <v>1</v>
      </c>
      <c r="I85" s="229" t="s">
        <v>29</v>
      </c>
      <c r="J85" s="229">
        <v>3</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240</v>
      </c>
      <c r="F87" s="229" t="s">
        <v>29</v>
      </c>
      <c r="G87" s="222" t="s">
        <v>239</v>
      </c>
      <c r="H87" s="229">
        <v>0</v>
      </c>
      <c r="I87" s="229" t="s">
        <v>29</v>
      </c>
      <c r="J87" s="229">
        <v>2</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178</v>
      </c>
      <c r="F89" s="229" t="s">
        <v>29</v>
      </c>
      <c r="G89" s="222" t="s">
        <v>200</v>
      </c>
      <c r="H89" s="229">
        <v>1</v>
      </c>
      <c r="I89" s="229" t="s">
        <v>29</v>
      </c>
      <c r="J89" s="229">
        <v>3</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107</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211</v>
      </c>
      <c r="D101" s="241" t="s">
        <v>212</v>
      </c>
      <c r="E101" s="241" t="s">
        <v>213</v>
      </c>
    </row>
    <row r="102" spans="2:5">
      <c r="B102" s="242" t="s">
        <v>214</v>
      </c>
      <c r="C102" s="242" t="s">
        <v>215</v>
      </c>
      <c r="D102" s="242" t="s">
        <v>216</v>
      </c>
      <c r="E102" s="242" t="s">
        <v>215</v>
      </c>
    </row>
    <row r="103" spans="2:5">
      <c r="B103" s="241" t="s">
        <v>109</v>
      </c>
      <c r="C103" s="241" t="s">
        <v>211</v>
      </c>
      <c r="D103" s="241" t="s">
        <v>212</v>
      </c>
      <c r="E103" s="241" t="s">
        <v>215</v>
      </c>
    </row>
    <row r="104" spans="2:5">
      <c r="B104" s="242" t="s">
        <v>107</v>
      </c>
      <c r="C104" s="242" t="s">
        <v>217</v>
      </c>
      <c r="D104" s="242" t="s">
        <v>218</v>
      </c>
      <c r="E104" s="242" t="s">
        <v>211</v>
      </c>
    </row>
    <row r="107" spans="2:5">
      <c r="B107" s="218" t="s">
        <v>219</v>
      </c>
    </row>
    <row r="108" spans="2:5">
      <c r="B108" s="212"/>
    </row>
    <row r="109" spans="2:5">
      <c r="B109" s="212" t="s">
        <v>220</v>
      </c>
    </row>
    <row r="110" spans="2:5">
      <c r="B110" s="212" t="s">
        <v>221</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212</v>
      </c>
      <c r="D125" s="241" t="s">
        <v>224</v>
      </c>
      <c r="E125" s="241" t="s">
        <v>212</v>
      </c>
    </row>
    <row r="126" spans="1:15">
      <c r="B126" s="242" t="s">
        <v>116</v>
      </c>
      <c r="C126" s="242" t="s">
        <v>225</v>
      </c>
      <c r="D126" s="242" t="s">
        <v>211</v>
      </c>
      <c r="E126" s="242" t="s">
        <v>217</v>
      </c>
    </row>
    <row r="127" spans="1:15">
      <c r="B127" s="241" t="s">
        <v>122</v>
      </c>
      <c r="C127" s="241" t="s">
        <v>226</v>
      </c>
      <c r="D127" s="241" t="s">
        <v>213</v>
      </c>
      <c r="E127" s="241" t="s">
        <v>217</v>
      </c>
    </row>
    <row r="128" spans="1:15">
      <c r="B128" s="242" t="s">
        <v>118</v>
      </c>
      <c r="C128" s="242" t="s">
        <v>213</v>
      </c>
      <c r="D128" s="242" t="s">
        <v>227</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32</v>
      </c>
    </row>
    <row r="143" spans="1:15">
      <c r="A143" s="205" t="s">
        <v>78</v>
      </c>
      <c r="B143" s="206" t="s">
        <v>204</v>
      </c>
      <c r="C143" s="206" t="s">
        <v>203</v>
      </c>
      <c r="D143" s="218" t="s">
        <v>124</v>
      </c>
    </row>
    <row r="146" spans="2:5">
      <c r="B146" s="218" t="s">
        <v>232</v>
      </c>
    </row>
    <row r="148" spans="2:5">
      <c r="B148" s="240" t="s">
        <v>207</v>
      </c>
      <c r="C148" s="240" t="s">
        <v>208</v>
      </c>
      <c r="D148" s="240" t="s">
        <v>209</v>
      </c>
      <c r="E148" s="240" t="s">
        <v>210</v>
      </c>
    </row>
    <row r="149" spans="2:5">
      <c r="B149" s="241" t="s">
        <v>126</v>
      </c>
      <c r="C149" s="241" t="s">
        <v>211</v>
      </c>
      <c r="D149" s="241" t="s">
        <v>216</v>
      </c>
      <c r="E149" s="241" t="s">
        <v>218</v>
      </c>
    </row>
    <row r="150" spans="2:5">
      <c r="B150" s="242" t="s">
        <v>124</v>
      </c>
      <c r="C150" s="242" t="s">
        <v>226</v>
      </c>
      <c r="D150" s="242" t="s">
        <v>215</v>
      </c>
      <c r="E150" s="242" t="s">
        <v>217</v>
      </c>
    </row>
    <row r="151" spans="2:5">
      <c r="B151" s="241" t="s">
        <v>128</v>
      </c>
      <c r="C151" s="241" t="s">
        <v>212</v>
      </c>
      <c r="D151" s="241" t="s">
        <v>233</v>
      </c>
      <c r="E151" s="241" t="s">
        <v>218</v>
      </c>
    </row>
    <row r="152" spans="2:5">
      <c r="B152" s="242" t="s">
        <v>32</v>
      </c>
      <c r="C152" s="242" t="s">
        <v>234</v>
      </c>
      <c r="D152" s="242" t="s">
        <v>215</v>
      </c>
      <c r="E152" s="242" t="s">
        <v>213</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234</v>
      </c>
      <c r="D173" s="241" t="s">
        <v>217</v>
      </c>
      <c r="E173" s="241" t="s">
        <v>226</v>
      </c>
    </row>
    <row r="174" spans="1:15">
      <c r="B174" s="242" t="s">
        <v>242</v>
      </c>
      <c r="C174" s="242" t="s">
        <v>212</v>
      </c>
      <c r="D174" s="242" t="s">
        <v>243</v>
      </c>
      <c r="E174" s="242" t="s">
        <v>218</v>
      </c>
    </row>
    <row r="175" spans="1:15">
      <c r="B175" s="241" t="s">
        <v>244</v>
      </c>
      <c r="C175" s="241" t="s">
        <v>213</v>
      </c>
      <c r="D175" s="241" t="s">
        <v>233</v>
      </c>
      <c r="E175" s="241" t="s">
        <v>215</v>
      </c>
    </row>
    <row r="176" spans="1:15">
      <c r="B176" s="242" t="s">
        <v>240</v>
      </c>
      <c r="C176" s="242" t="s">
        <v>234</v>
      </c>
      <c r="D176" s="242" t="s">
        <v>215</v>
      </c>
      <c r="E176" s="242" t="s">
        <v>217</v>
      </c>
    </row>
    <row r="179" spans="1:15">
      <c r="B179" s="218" t="s">
        <v>245</v>
      </c>
    </row>
    <row r="180" spans="1:15">
      <c r="B180" s="212"/>
    </row>
    <row r="181" spans="1:15">
      <c r="B181" s="212" t="s">
        <v>246</v>
      </c>
    </row>
    <row r="182" spans="1:15">
      <c r="B182" s="212"/>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234</v>
      </c>
      <c r="D197" s="241" t="s">
        <v>211</v>
      </c>
      <c r="E197" s="241" t="s">
        <v>226</v>
      </c>
    </row>
    <row r="198" spans="2:5">
      <c r="B198" s="242" t="s">
        <v>250</v>
      </c>
      <c r="C198" s="242" t="s">
        <v>211</v>
      </c>
      <c r="D198" s="242" t="s">
        <v>218</v>
      </c>
      <c r="E198" s="242" t="s">
        <v>211</v>
      </c>
    </row>
    <row r="199" spans="2:5">
      <c r="B199" s="241" t="s">
        <v>251</v>
      </c>
      <c r="C199" s="241" t="s">
        <v>212</v>
      </c>
      <c r="D199" s="241" t="s">
        <v>252</v>
      </c>
      <c r="E199" s="241" t="s">
        <v>212</v>
      </c>
    </row>
    <row r="200" spans="2:5">
      <c r="B200" s="242" t="s">
        <v>248</v>
      </c>
      <c r="C200" s="242" t="s">
        <v>217</v>
      </c>
      <c r="D200" s="242" t="s">
        <v>215</v>
      </c>
      <c r="E200" s="242" t="s">
        <v>211</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225</v>
      </c>
      <c r="D221" s="241" t="s">
        <v>211</v>
      </c>
      <c r="E221" s="241" t="s">
        <v>211</v>
      </c>
    </row>
    <row r="222" spans="1:15">
      <c r="B222" s="242" t="s">
        <v>259</v>
      </c>
      <c r="C222" s="242" t="s">
        <v>218</v>
      </c>
      <c r="D222" s="242" t="s">
        <v>243</v>
      </c>
      <c r="E222" s="242" t="s">
        <v>212</v>
      </c>
    </row>
    <row r="223" spans="1:15">
      <c r="B223" s="241" t="s">
        <v>182</v>
      </c>
      <c r="C223" s="241" t="s">
        <v>226</v>
      </c>
      <c r="D223" s="241" t="s">
        <v>213</v>
      </c>
      <c r="E223" s="241" t="s">
        <v>211</v>
      </c>
    </row>
    <row r="224" spans="1:15">
      <c r="B224" s="242" t="s">
        <v>260</v>
      </c>
      <c r="C224" s="242" t="s">
        <v>218</v>
      </c>
      <c r="D224" s="242" t="s">
        <v>233</v>
      </c>
      <c r="E224" s="242" t="s">
        <v>212</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5">
      <c r="B242" s="218" t="s">
        <v>267</v>
      </c>
    </row>
    <row r="244" spans="2:15">
      <c r="B244" s="240" t="s">
        <v>207</v>
      </c>
      <c r="C244" s="240" t="s">
        <v>208</v>
      </c>
      <c r="D244" s="240" t="s">
        <v>209</v>
      </c>
      <c r="E244" s="240" t="s">
        <v>210</v>
      </c>
    </row>
    <row r="245" spans="2:15">
      <c r="B245" s="241" t="s">
        <v>268</v>
      </c>
      <c r="C245" s="241" t="s">
        <v>211</v>
      </c>
      <c r="D245" s="241" t="s">
        <v>212</v>
      </c>
      <c r="E245" s="241" t="s">
        <v>213</v>
      </c>
    </row>
    <row r="246" spans="2:15">
      <c r="B246" s="242" t="s">
        <v>265</v>
      </c>
      <c r="C246" s="242" t="s">
        <v>234</v>
      </c>
      <c r="D246" s="242" t="s">
        <v>213</v>
      </c>
      <c r="E246" s="242" t="s">
        <v>217</v>
      </c>
    </row>
    <row r="247" spans="2:15">
      <c r="B247" s="241" t="s">
        <v>266</v>
      </c>
      <c r="C247" s="241" t="s">
        <v>217</v>
      </c>
      <c r="D247" s="241" t="s">
        <v>215</v>
      </c>
      <c r="E247" s="241" t="s">
        <v>211</v>
      </c>
    </row>
    <row r="248" spans="2:15">
      <c r="B248" s="242" t="s">
        <v>269</v>
      </c>
      <c r="C248" s="242" t="s">
        <v>212</v>
      </c>
      <c r="D248" s="242" t="s">
        <v>224</v>
      </c>
      <c r="E248" s="242" t="s">
        <v>212</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211</v>
      </c>
      <c r="D268" s="241" t="s">
        <v>212</v>
      </c>
      <c r="E268" s="241" t="s">
        <v>218</v>
      </c>
    </row>
    <row r="269" spans="1:5">
      <c r="B269" s="242" t="s">
        <v>200</v>
      </c>
      <c r="C269" s="242" t="s">
        <v>225</v>
      </c>
      <c r="D269" s="242" t="s">
        <v>217</v>
      </c>
      <c r="E269" s="242" t="s">
        <v>217</v>
      </c>
    </row>
    <row r="270" spans="1:5">
      <c r="B270" s="241" t="s">
        <v>276</v>
      </c>
      <c r="C270" s="241" t="s">
        <v>218</v>
      </c>
      <c r="D270" s="241" t="s">
        <v>233</v>
      </c>
      <c r="E270" s="241" t="s">
        <v>218</v>
      </c>
    </row>
    <row r="271" spans="1:5">
      <c r="B271" s="242" t="s">
        <v>277</v>
      </c>
      <c r="C271" s="242" t="s">
        <v>215</v>
      </c>
      <c r="D271" s="242" t="s">
        <v>227</v>
      </c>
      <c r="E271" s="242" t="s">
        <v>218</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1.xml><?xml version="1.0" encoding="utf-8"?>
<worksheet xmlns="http://schemas.openxmlformats.org/spreadsheetml/2006/main" xmlns:r="http://schemas.openxmlformats.org/officeDocument/2006/relationships">
  <dimension ref="A1:Q310"/>
  <sheetViews>
    <sheetView topLeftCell="A10"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400</v>
      </c>
      <c r="L1" s="211"/>
      <c r="P1" s="210">
        <f>SUM(P14:P89)+E11+H11+L7+L11</f>
        <v>420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Argentinië</v>
      </c>
      <c r="E3" s="247">
        <f>IF(AND(ISNA(MATCH(D3,Invulblad!$F$76:$F$83,0)),ISNA(MATCH(D3,Invulblad!$J$76:$J$83,0))),0,10)</f>
        <v>10</v>
      </c>
      <c r="G3" s="212" t="str">
        <f>E79</f>
        <v>Nederland</v>
      </c>
      <c r="H3" s="247">
        <f>IF(AND(ISNA(MATCH(G3,Invulblad!$F$87:$F$90,0)),ISNA(MATCH(G3,Invulblad!$J$87:$J$90,0))),0,15)</f>
        <v>15</v>
      </c>
      <c r="J3" s="212" t="str">
        <f>E84</f>
        <v>Frankrijk</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Slovenië</v>
      </c>
      <c r="E5" s="247">
        <f>IF(AND(ISNA(MATCH(D5,Invulblad!$F$76:$F$83,0)),ISNA(MATCH(D5,Invulblad!$J$76:$J$83,0))),0,10)</f>
        <v>0</v>
      </c>
      <c r="G5" s="212" t="str">
        <f>E81</f>
        <v>Griekenland</v>
      </c>
      <c r="H5" s="247">
        <f>IF(AND(ISNA(MATCH(G5,Invulblad!$F$87:$F$90,0)),ISNA(MATCH(G5,Invulblad!$J$87:$J$90,0))),0,15)</f>
        <v>0</v>
      </c>
      <c r="J5" s="212" t="str">
        <f>G84</f>
        <v>Brazilië</v>
      </c>
      <c r="L5" s="247">
        <f>IF(AND(ISNA(MATCH(J5,Invulblad!$F$94:$F$95,0)),ISNA(MATCH(J5,Invulblad!$J$94:$J$95,0))),0,20+25)</f>
        <v>0</v>
      </c>
    </row>
    <row r="6" spans="1:17" s="212" customFormat="1" ht="15" customHeight="1">
      <c r="B6" s="212" t="str">
        <f t="shared" si="0"/>
        <v>Griekenland</v>
      </c>
      <c r="C6" s="247">
        <f>IF(AND(ISNA(MATCH(B6,Invulblad!$F$76:$F$83,0)),ISNA(MATCH(B6,Invulblad!$J$76:$J$83,0))),0,10)</f>
        <v>0</v>
      </c>
      <c r="D6" s="212" t="str">
        <f t="shared" si="1"/>
        <v>Zuid-Afrika</v>
      </c>
      <c r="E6" s="247">
        <f>IF(AND(ISNA(MATCH(D6,Invulblad!$F$76:$F$83,0)),ISNA(MATCH(D6,Invulblad!$J$76:$J$83,0))),0,10)</f>
        <v>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Servië</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Frankrijk</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90</v>
      </c>
      <c r="G11" s="215" t="s">
        <v>92</v>
      </c>
      <c r="H11" s="250">
        <f>SUM(H3:H10)</f>
        <v>60</v>
      </c>
      <c r="J11" s="215" t="s">
        <v>101</v>
      </c>
      <c r="K11" s="216"/>
      <c r="L11" s="250">
        <f>SUM(L9:L10)</f>
        <v>0</v>
      </c>
    </row>
    <row r="12" spans="1:17">
      <c r="B12" s="218" t="s">
        <v>19</v>
      </c>
      <c r="C12" s="218"/>
      <c r="D12" s="218"/>
      <c r="E12" s="219" t="str">
        <f>IF(H89&gt;J89,E89,G89)</f>
        <v>Spanje</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2</v>
      </c>
      <c r="I14" s="229" t="s">
        <v>29</v>
      </c>
      <c r="J14" s="229">
        <v>1</v>
      </c>
      <c r="K14" s="235" t="str">
        <f t="shared" ref="K14:K45" si="2">IF(AND(H14="",J14=""),"",IF(OR(H14="",J14=""),"FOUT",IF(H14&gt;J14,"1",IF(H14=J14,3,2))))</f>
        <v>1</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1</v>
      </c>
      <c r="I16" s="229" t="s">
        <v>29</v>
      </c>
      <c r="J16" s="229">
        <v>0</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3</v>
      </c>
      <c r="I17" s="229" t="s">
        <v>29</v>
      </c>
      <c r="J17" s="229">
        <v>0</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1</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2</v>
      </c>
      <c r="K22" s="235">
        <f t="shared" si="2"/>
        <v>2</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2</v>
      </c>
      <c r="I23" s="229" t="s">
        <v>29</v>
      </c>
      <c r="J23" s="229">
        <v>0</v>
      </c>
      <c r="K23" s="235" t="str">
        <f t="shared" si="2"/>
        <v>1</v>
      </c>
      <c r="L23" s="233" t="str">
        <f>VLOOKUP($B23,Invulblad!$A$11:$S$103,13,0)</f>
        <v>1</v>
      </c>
      <c r="M23" s="234">
        <f>IF(L23&lt;&gt;"",VLOOKUP($B23,Invulblad!$A$11:$S$103,7,0),"")</f>
        <v>2</v>
      </c>
      <c r="N23" s="229" t="s">
        <v>29</v>
      </c>
      <c r="O23" s="234">
        <f>IF(L23&lt;&gt;"",VLOOKUP($B23,Invulblad!$A$11:$S$103,9,0),"")</f>
        <v>1</v>
      </c>
      <c r="P23" s="235">
        <f t="shared" si="4"/>
        <v>5</v>
      </c>
    </row>
    <row r="24" spans="1:16">
      <c r="A24" s="205">
        <v>12</v>
      </c>
      <c r="B24" s="212">
        <v>20</v>
      </c>
      <c r="C24" s="226">
        <v>40346</v>
      </c>
      <c r="D24" s="227">
        <v>0.5625</v>
      </c>
      <c r="E24" s="228" t="s">
        <v>302</v>
      </c>
      <c r="F24" s="229" t="s">
        <v>29</v>
      </c>
      <c r="G24" s="212" t="s">
        <v>121</v>
      </c>
      <c r="H24" s="229">
        <v>2</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0</v>
      </c>
      <c r="K26" s="235">
        <f t="shared" si="2"/>
        <v>3</v>
      </c>
      <c r="L26" s="233">
        <f>VLOOKUP($B26,Invulblad!$A$11:$S$103,13,0)</f>
        <v>2</v>
      </c>
      <c r="M26" s="234">
        <f>IF(L26&lt;&gt;"",VLOOKUP($B26,Invulblad!$A$11:$S$103,7,0),"")</f>
        <v>0</v>
      </c>
      <c r="N26" s="229" t="s">
        <v>29</v>
      </c>
      <c r="O26" s="234">
        <f>IF(L26&lt;&gt;"",VLOOKUP($B26,Invulblad!$A$11:$S$103,9,0),"")</f>
        <v>2</v>
      </c>
      <c r="P26" s="235">
        <f t="shared" si="4"/>
        <v>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3</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1</v>
      </c>
      <c r="I30" s="229" t="s">
        <v>29</v>
      </c>
      <c r="J30" s="229">
        <v>1</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2</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2</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3</v>
      </c>
      <c r="I36" s="229" t="s">
        <v>29</v>
      </c>
      <c r="J36" s="229">
        <v>2</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2</v>
      </c>
      <c r="I38" s="229" t="s">
        <v>29</v>
      </c>
      <c r="J38" s="229">
        <v>0</v>
      </c>
      <c r="K38" s="235" t="str">
        <f t="shared" si="2"/>
        <v>1</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0</v>
      </c>
      <c r="I40" s="229" t="s">
        <v>29</v>
      </c>
      <c r="J40" s="229">
        <v>2</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1</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0</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5</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1</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1</v>
      </c>
      <c r="K50" s="235">
        <f t="shared" si="8"/>
        <v>3</v>
      </c>
      <c r="L50" s="233">
        <f>VLOOKUP($B50,Invulblad!$A$11:$S$103,13,0)</f>
        <v>3</v>
      </c>
      <c r="M50" s="234">
        <f>IF(L50&lt;&gt;"",VLOOKUP($B50,Invulblad!$A$11:$S$103,7,0),"")</f>
        <v>1</v>
      </c>
      <c r="N50" s="229" t="s">
        <v>29</v>
      </c>
      <c r="O50" s="234">
        <f>IF(L50&lt;&gt;"",VLOOKUP($B50,Invulblad!$A$11:$S$103,9,0),"")</f>
        <v>1</v>
      </c>
      <c r="P50" s="235">
        <f t="shared" si="9"/>
        <v>10</v>
      </c>
    </row>
    <row r="51" spans="1:16">
      <c r="A51" s="205">
        <v>43</v>
      </c>
      <c r="B51" s="212">
        <v>27</v>
      </c>
      <c r="C51" s="226">
        <v>40349</v>
      </c>
      <c r="D51" s="227">
        <v>0.5625</v>
      </c>
      <c r="E51" s="228" t="s">
        <v>151</v>
      </c>
      <c r="F51" s="229" t="s">
        <v>29</v>
      </c>
      <c r="G51" s="212" t="s">
        <v>148</v>
      </c>
      <c r="H51" s="229">
        <v>1</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3</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3</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2</v>
      </c>
      <c r="I60" s="229" t="s">
        <v>29</v>
      </c>
      <c r="J60" s="229">
        <v>3</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3</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2</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3</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10</v>
      </c>
    </row>
    <row r="68" spans="1:16">
      <c r="A68" s="205">
        <v>62</v>
      </c>
      <c r="B68" s="212">
        <v>48</v>
      </c>
      <c r="C68" s="226">
        <v>40354</v>
      </c>
      <c r="D68" s="227">
        <v>0.85416666666666663</v>
      </c>
      <c r="E68" s="228" t="s">
        <v>170</v>
      </c>
      <c r="F68" s="229" t="s">
        <v>29</v>
      </c>
      <c r="G68" s="212" t="s">
        <v>168</v>
      </c>
      <c r="H68" s="229">
        <v>2</v>
      </c>
      <c r="I68" s="229" t="s">
        <v>29</v>
      </c>
      <c r="J68" s="229">
        <v>1</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116</v>
      </c>
      <c r="H70" s="229">
        <v>2</v>
      </c>
      <c r="I70" s="229" t="s">
        <v>29</v>
      </c>
      <c r="J70" s="229">
        <v>2</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8" t="s">
        <v>124</v>
      </c>
      <c r="F71" s="229" t="s">
        <v>29</v>
      </c>
      <c r="G71" s="222" t="s">
        <v>240</v>
      </c>
      <c r="H71" s="229">
        <v>1</v>
      </c>
      <c r="I71" s="229" t="s">
        <v>29</v>
      </c>
      <c r="J71" s="229">
        <v>2</v>
      </c>
      <c r="K71" s="235">
        <f t="shared" si="8"/>
        <v>2</v>
      </c>
      <c r="L71" s="233">
        <f>VLOOKUP($B71,Invulblad!$A$11:$S$103,13,0)</f>
        <v>2</v>
      </c>
      <c r="M71" s="234">
        <f>IF(L71&lt;&gt;"",VLOOKUP($B71,Invulblad!$A$11:$S$103,7,0),"")</f>
        <v>1</v>
      </c>
      <c r="N71" s="229" t="s">
        <v>29</v>
      </c>
      <c r="O71" s="234">
        <f>IF(L71&lt;&gt;"",VLOOKUP($B71,Invulblad!$A$11:$S$103,9,0),"")</f>
        <v>2</v>
      </c>
      <c r="P71" s="235">
        <f t="shared" si="12"/>
        <v>10</v>
      </c>
    </row>
    <row r="72" spans="1:16">
      <c r="A72" s="205">
        <v>67</v>
      </c>
      <c r="B72" s="212">
        <v>51</v>
      </c>
      <c r="C72" s="226">
        <v>40356</v>
      </c>
      <c r="D72" s="227">
        <v>0.66666666666666663</v>
      </c>
      <c r="E72" s="223" t="s">
        <v>239</v>
      </c>
      <c r="F72" s="229" t="s">
        <v>29</v>
      </c>
      <c r="G72" s="212" t="s">
        <v>128</v>
      </c>
      <c r="H72" s="229">
        <v>1</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120</v>
      </c>
      <c r="F73" s="229" t="s">
        <v>29</v>
      </c>
      <c r="G73" s="212" t="s">
        <v>107</v>
      </c>
      <c r="H73" s="229">
        <v>3</v>
      </c>
      <c r="I73" s="229" t="s">
        <v>29</v>
      </c>
      <c r="J73" s="229">
        <v>2</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274</v>
      </c>
      <c r="H75" s="229">
        <v>3</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10</v>
      </c>
    </row>
    <row r="76" spans="1:16">
      <c r="A76" s="205">
        <v>71</v>
      </c>
      <c r="B76" s="212">
        <v>55</v>
      </c>
      <c r="C76" s="226">
        <v>40358</v>
      </c>
      <c r="D76" s="227">
        <v>0.66666666666666663</v>
      </c>
      <c r="E76" s="223" t="s">
        <v>257</v>
      </c>
      <c r="F76" s="229" t="s">
        <v>29</v>
      </c>
      <c r="G76" s="212" t="s">
        <v>250</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3</v>
      </c>
      <c r="I77" s="229" t="s">
        <v>29</v>
      </c>
      <c r="J77" s="229">
        <v>2</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2</v>
      </c>
      <c r="I79" s="229" t="s">
        <v>29</v>
      </c>
      <c r="J79" s="229">
        <v>2</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3" t="s">
        <v>205</v>
      </c>
      <c r="F80" s="229" t="s">
        <v>29</v>
      </c>
      <c r="G80" s="212" t="s">
        <v>240</v>
      </c>
      <c r="H80" s="229">
        <v>2</v>
      </c>
      <c r="I80" s="229" t="s">
        <v>29</v>
      </c>
      <c r="J80" s="229">
        <v>1</v>
      </c>
      <c r="K80" s="235" t="str">
        <f t="shared" si="13"/>
        <v>1</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120</v>
      </c>
      <c r="F81" s="229" t="s">
        <v>29</v>
      </c>
      <c r="G81" s="222" t="s">
        <v>239</v>
      </c>
      <c r="H81" s="229">
        <v>1</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257</v>
      </c>
      <c r="F82" s="229" t="s">
        <v>29</v>
      </c>
      <c r="G82" s="222" t="s">
        <v>200</v>
      </c>
      <c r="H82" s="229">
        <v>1</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3" t="s">
        <v>205</v>
      </c>
      <c r="F84" s="229" t="s">
        <v>29</v>
      </c>
      <c r="G84" s="212" t="s">
        <v>265</v>
      </c>
      <c r="H84" s="229">
        <v>2</v>
      </c>
      <c r="I84" s="229" t="s">
        <v>29</v>
      </c>
      <c r="J84" s="229">
        <v>1</v>
      </c>
      <c r="K84" s="235" t="str">
        <f t="shared" si="13"/>
        <v>1</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8" t="s">
        <v>239</v>
      </c>
      <c r="F85" s="229" t="s">
        <v>29</v>
      </c>
      <c r="G85" s="222" t="s">
        <v>200</v>
      </c>
      <c r="H85" s="229">
        <v>1</v>
      </c>
      <c r="I85" s="229" t="s">
        <v>29</v>
      </c>
      <c r="J85" s="229">
        <v>2</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3" t="s">
        <v>265</v>
      </c>
      <c r="F87" s="229" t="s">
        <v>29</v>
      </c>
      <c r="G87" s="212" t="s">
        <v>239</v>
      </c>
      <c r="H87" s="229">
        <v>2</v>
      </c>
      <c r="I87" s="229" t="s">
        <v>29</v>
      </c>
      <c r="J87" s="229">
        <v>1</v>
      </c>
      <c r="K87" s="235" t="str">
        <f t="shared" si="13"/>
        <v>1</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205</v>
      </c>
      <c r="F89" s="229" t="s">
        <v>29</v>
      </c>
      <c r="G89" s="222" t="s">
        <v>200</v>
      </c>
      <c r="H89" s="229">
        <v>2</v>
      </c>
      <c r="I89" s="229" t="s">
        <v>29</v>
      </c>
      <c r="J89" s="229">
        <v>3</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107</v>
      </c>
    </row>
    <row r="98" spans="2:5">
      <c r="B98" s="218" t="s">
        <v>206</v>
      </c>
    </row>
    <row r="100" spans="2:5">
      <c r="B100" s="240" t="s">
        <v>207</v>
      </c>
      <c r="C100" s="240" t="s">
        <v>208</v>
      </c>
      <c r="D100" s="240" t="s">
        <v>209</v>
      </c>
      <c r="E100" s="240" t="s">
        <v>210</v>
      </c>
    </row>
    <row r="101" spans="2:5">
      <c r="B101" s="241" t="s">
        <v>205</v>
      </c>
      <c r="C101" s="241" t="s">
        <v>225</v>
      </c>
      <c r="D101" s="241" t="s">
        <v>226</v>
      </c>
      <c r="E101" s="241" t="s">
        <v>234</v>
      </c>
    </row>
    <row r="102" spans="2:5">
      <c r="B102" s="242" t="s">
        <v>214</v>
      </c>
      <c r="C102" s="242" t="s">
        <v>218</v>
      </c>
      <c r="D102" s="242" t="s">
        <v>243</v>
      </c>
      <c r="E102" s="242" t="s">
        <v>215</v>
      </c>
    </row>
    <row r="103" spans="2:5">
      <c r="B103" s="241" t="s">
        <v>109</v>
      </c>
      <c r="C103" s="241" t="s">
        <v>218</v>
      </c>
      <c r="D103" s="241" t="s">
        <v>227</v>
      </c>
      <c r="E103" s="241" t="s">
        <v>215</v>
      </c>
    </row>
    <row r="104" spans="2:5">
      <c r="B104" s="242" t="s">
        <v>107</v>
      </c>
      <c r="C104" s="242" t="s">
        <v>226</v>
      </c>
      <c r="D104" s="242" t="s">
        <v>212</v>
      </c>
      <c r="E104" s="242" t="s">
        <v>213</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120</v>
      </c>
    </row>
    <row r="119" spans="1:15">
      <c r="A119" s="205" t="s">
        <v>76</v>
      </c>
      <c r="B119" s="206" t="s">
        <v>204</v>
      </c>
      <c r="C119" s="206" t="s">
        <v>203</v>
      </c>
      <c r="D119" s="218" t="s">
        <v>116</v>
      </c>
    </row>
    <row r="122" spans="1:15">
      <c r="B122" s="218" t="s">
        <v>223</v>
      </c>
    </row>
    <row r="124" spans="1:15">
      <c r="B124" s="240" t="s">
        <v>207</v>
      </c>
      <c r="C124" s="240" t="s">
        <v>208</v>
      </c>
      <c r="D124" s="240" t="s">
        <v>209</v>
      </c>
      <c r="E124" s="240" t="s">
        <v>210</v>
      </c>
    </row>
    <row r="125" spans="1:15">
      <c r="B125" s="241" t="s">
        <v>120</v>
      </c>
      <c r="C125" s="241" t="s">
        <v>234</v>
      </c>
      <c r="D125" s="241" t="s">
        <v>213</v>
      </c>
      <c r="E125" s="241" t="s">
        <v>211</v>
      </c>
    </row>
    <row r="126" spans="1:15">
      <c r="B126" s="242" t="s">
        <v>116</v>
      </c>
      <c r="C126" s="242" t="s">
        <v>234</v>
      </c>
      <c r="D126" s="242" t="s">
        <v>213</v>
      </c>
      <c r="E126" s="242" t="s">
        <v>211</v>
      </c>
    </row>
    <row r="127" spans="1:15">
      <c r="B127" s="241" t="s">
        <v>122</v>
      </c>
      <c r="C127" s="241" t="s">
        <v>213</v>
      </c>
      <c r="D127" s="241" t="s">
        <v>227</v>
      </c>
      <c r="E127" s="241" t="s">
        <v>215</v>
      </c>
    </row>
    <row r="128" spans="1:15">
      <c r="B128" s="242" t="s">
        <v>118</v>
      </c>
      <c r="C128" s="242" t="s">
        <v>212</v>
      </c>
      <c r="D128" s="242" t="s">
        <v>243</v>
      </c>
      <c r="E128" s="242" t="s">
        <v>218</v>
      </c>
    </row>
    <row r="131" spans="1:15">
      <c r="B131" s="218" t="s">
        <v>228</v>
      </c>
    </row>
    <row r="132" spans="1:15">
      <c r="B132" s="212"/>
    </row>
    <row r="133" spans="1:15">
      <c r="B133" s="212" t="s">
        <v>401</v>
      </c>
    </row>
    <row r="134" spans="1:15">
      <c r="B134" s="212"/>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212</v>
      </c>
      <c r="D149" s="241" t="s">
        <v>314</v>
      </c>
      <c r="E149" s="241" t="s">
        <v>218</v>
      </c>
    </row>
    <row r="150" spans="2:5">
      <c r="B150" s="242" t="s">
        <v>124</v>
      </c>
      <c r="C150" s="242" t="s">
        <v>225</v>
      </c>
      <c r="D150" s="242" t="s">
        <v>211</v>
      </c>
      <c r="E150" s="242" t="s">
        <v>226</v>
      </c>
    </row>
    <row r="151" spans="2:5">
      <c r="B151" s="241" t="s">
        <v>128</v>
      </c>
      <c r="C151" s="241" t="s">
        <v>211</v>
      </c>
      <c r="D151" s="241" t="s">
        <v>215</v>
      </c>
      <c r="E151" s="241" t="s">
        <v>217</v>
      </c>
    </row>
    <row r="152" spans="2:5">
      <c r="B152" s="242" t="s">
        <v>32</v>
      </c>
      <c r="C152" s="242" t="s">
        <v>211</v>
      </c>
      <c r="D152" s="242" t="s">
        <v>212</v>
      </c>
      <c r="E152" s="242" t="s">
        <v>213</v>
      </c>
    </row>
    <row r="155" spans="2:5">
      <c r="B155" s="218" t="s">
        <v>235</v>
      </c>
    </row>
    <row r="156" spans="2:5">
      <c r="B156" s="212"/>
    </row>
    <row r="157" spans="2:5">
      <c r="B157" s="212" t="s">
        <v>236</v>
      </c>
    </row>
    <row r="158" spans="2:5">
      <c r="B158" s="212" t="s">
        <v>402</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225</v>
      </c>
      <c r="D173" s="241" t="s">
        <v>226</v>
      </c>
      <c r="E173" s="241" t="s">
        <v>226</v>
      </c>
    </row>
    <row r="174" spans="1:15">
      <c r="B174" s="242" t="s">
        <v>242</v>
      </c>
      <c r="C174" s="242" t="s">
        <v>212</v>
      </c>
      <c r="D174" s="242" t="s">
        <v>314</v>
      </c>
      <c r="E174" s="242" t="s">
        <v>212</v>
      </c>
    </row>
    <row r="175" spans="1:15">
      <c r="B175" s="241" t="s">
        <v>244</v>
      </c>
      <c r="C175" s="241" t="s">
        <v>213</v>
      </c>
      <c r="D175" s="241" t="s">
        <v>227</v>
      </c>
      <c r="E175" s="241" t="s">
        <v>211</v>
      </c>
    </row>
    <row r="176" spans="1:15">
      <c r="B176" s="242" t="s">
        <v>240</v>
      </c>
      <c r="C176" s="242" t="s">
        <v>226</v>
      </c>
      <c r="D176" s="242" t="s">
        <v>215</v>
      </c>
      <c r="E176" s="242" t="s">
        <v>217</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5">
      <c r="B194" s="218" t="s">
        <v>249</v>
      </c>
    </row>
    <row r="196" spans="2:5">
      <c r="B196" s="240" t="s">
        <v>207</v>
      </c>
      <c r="C196" s="240" t="s">
        <v>208</v>
      </c>
      <c r="D196" s="240" t="s">
        <v>209</v>
      </c>
      <c r="E196" s="240" t="s">
        <v>210</v>
      </c>
    </row>
    <row r="197" spans="2:5">
      <c r="B197" s="241" t="s">
        <v>178</v>
      </c>
      <c r="C197" s="241" t="s">
        <v>225</v>
      </c>
      <c r="D197" s="241" t="s">
        <v>213</v>
      </c>
      <c r="E197" s="241" t="s">
        <v>226</v>
      </c>
    </row>
    <row r="198" spans="2:5">
      <c r="B198" s="242" t="s">
        <v>250</v>
      </c>
      <c r="C198" s="242" t="s">
        <v>226</v>
      </c>
      <c r="D198" s="242" t="s">
        <v>213</v>
      </c>
      <c r="E198" s="242" t="s">
        <v>217</v>
      </c>
    </row>
    <row r="199" spans="2:5">
      <c r="B199" s="241" t="s">
        <v>251</v>
      </c>
      <c r="C199" s="241" t="s">
        <v>212</v>
      </c>
      <c r="D199" s="241" t="s">
        <v>224</v>
      </c>
      <c r="E199" s="241" t="s">
        <v>218</v>
      </c>
    </row>
    <row r="200" spans="2:5">
      <c r="B200" s="242" t="s">
        <v>248</v>
      </c>
      <c r="C200" s="242" t="s">
        <v>213</v>
      </c>
      <c r="D200" s="242" t="s">
        <v>216</v>
      </c>
      <c r="E200" s="242" t="s">
        <v>213</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234</v>
      </c>
      <c r="D221" s="241" t="s">
        <v>213</v>
      </c>
      <c r="E221" s="241" t="s">
        <v>217</v>
      </c>
    </row>
    <row r="222" spans="1:15">
      <c r="B222" s="242" t="s">
        <v>259</v>
      </c>
      <c r="C222" s="242" t="s">
        <v>218</v>
      </c>
      <c r="D222" s="242" t="s">
        <v>243</v>
      </c>
      <c r="E222" s="242" t="s">
        <v>218</v>
      </c>
    </row>
    <row r="223" spans="1:15">
      <c r="B223" s="241" t="s">
        <v>182</v>
      </c>
      <c r="C223" s="241" t="s">
        <v>226</v>
      </c>
      <c r="D223" s="241" t="s">
        <v>215</v>
      </c>
      <c r="E223" s="241" t="s">
        <v>217</v>
      </c>
    </row>
    <row r="224" spans="1:15">
      <c r="B224" s="242" t="s">
        <v>260</v>
      </c>
      <c r="C224" s="242" t="s">
        <v>215</v>
      </c>
      <c r="D224" s="242" t="s">
        <v>216</v>
      </c>
      <c r="E224" s="242" t="s">
        <v>213</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5">
      <c r="B242" s="218" t="s">
        <v>267</v>
      </c>
    </row>
    <row r="244" spans="2:15">
      <c r="B244" s="240" t="s">
        <v>207</v>
      </c>
      <c r="C244" s="240" t="s">
        <v>208</v>
      </c>
      <c r="D244" s="240" t="s">
        <v>209</v>
      </c>
      <c r="E244" s="240" t="s">
        <v>210</v>
      </c>
    </row>
    <row r="245" spans="2:15">
      <c r="B245" s="241" t="s">
        <v>268</v>
      </c>
      <c r="C245" s="241" t="s">
        <v>226</v>
      </c>
      <c r="D245" s="241" t="s">
        <v>211</v>
      </c>
      <c r="E245" s="241" t="s">
        <v>316</v>
      </c>
    </row>
    <row r="246" spans="2:15">
      <c r="B246" s="242" t="s">
        <v>265</v>
      </c>
      <c r="C246" s="242" t="s">
        <v>225</v>
      </c>
      <c r="D246" s="242" t="s">
        <v>226</v>
      </c>
      <c r="E246" s="242" t="s">
        <v>225</v>
      </c>
    </row>
    <row r="247" spans="2:15">
      <c r="B247" s="241" t="s">
        <v>266</v>
      </c>
      <c r="C247" s="241" t="s">
        <v>213</v>
      </c>
      <c r="D247" s="241" t="s">
        <v>216</v>
      </c>
      <c r="E247" s="241" t="s">
        <v>211</v>
      </c>
    </row>
    <row r="248" spans="2:15">
      <c r="B248" s="242" t="s">
        <v>269</v>
      </c>
      <c r="C248" s="242" t="s">
        <v>212</v>
      </c>
      <c r="D248" s="242" t="s">
        <v>327</v>
      </c>
      <c r="E248" s="242" t="s">
        <v>212</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211</v>
      </c>
      <c r="D268" s="241" t="s">
        <v>212</v>
      </c>
      <c r="E268" s="241" t="s">
        <v>217</v>
      </c>
    </row>
    <row r="269" spans="1:5">
      <c r="B269" s="242" t="s">
        <v>200</v>
      </c>
      <c r="C269" s="242" t="s">
        <v>225</v>
      </c>
      <c r="D269" s="242" t="s">
        <v>226</v>
      </c>
      <c r="E269" s="242" t="s">
        <v>316</v>
      </c>
    </row>
    <row r="270" spans="1:5">
      <c r="B270" s="241" t="s">
        <v>276</v>
      </c>
      <c r="C270" s="241" t="s">
        <v>211</v>
      </c>
      <c r="D270" s="241" t="s">
        <v>216</v>
      </c>
      <c r="E270" s="241" t="s">
        <v>217</v>
      </c>
    </row>
    <row r="271" spans="1:5">
      <c r="B271" s="242" t="s">
        <v>277</v>
      </c>
      <c r="C271" s="242" t="s">
        <v>212</v>
      </c>
      <c r="D271" s="242" t="s">
        <v>224</v>
      </c>
      <c r="E271" s="242" t="s">
        <v>215</v>
      </c>
    </row>
    <row r="274" spans="2:15">
      <c r="B274" s="218" t="s">
        <v>278</v>
      </c>
    </row>
    <row r="275" spans="2:15">
      <c r="B275" s="212"/>
    </row>
    <row r="276" spans="2:15">
      <c r="B276" s="212" t="s">
        <v>279</v>
      </c>
    </row>
    <row r="277" spans="2:15">
      <c r="B277" s="212" t="s">
        <v>339</v>
      </c>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2.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343</v>
      </c>
      <c r="L1" s="211"/>
      <c r="P1" s="210">
        <f>SUM(P14:P89)+E11+H11+L7+L11</f>
        <v>470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Zuid-Korea</v>
      </c>
      <c r="E3" s="247">
        <f>IF(AND(ISNA(MATCH(D3,Invulblad!$F$76:$F$83,0)),ISNA(MATCH(D3,Invulblad!$J$76:$J$83,0))),0,10)</f>
        <v>10</v>
      </c>
      <c r="G3" s="212" t="str">
        <f>E79</f>
        <v>Nederland</v>
      </c>
      <c r="H3" s="247">
        <f>IF(AND(ISNA(MATCH(G3,Invulblad!$F$87:$F$90,0)),ISNA(MATCH(G3,Invulblad!$J$87:$J$90,0))),0,15)</f>
        <v>15</v>
      </c>
      <c r="J3" s="212" t="str">
        <f>E84</f>
        <v>Servië</v>
      </c>
      <c r="L3" s="247">
        <f>IF(AND(ISNA(MATCH(J3,Invulblad!$F$94:$F$95,0)),ISNA(MATCH(J3,Invulblad!$J$94:$J$95,0))),0,20+25)</f>
        <v>0</v>
      </c>
      <c r="Q3" s="248"/>
    </row>
    <row r="4" spans="1:17" s="212" customFormat="1" ht="15" customHeight="1">
      <c r="B4" s="212" t="str">
        <f t="shared" si="0"/>
        <v>Slovenië</v>
      </c>
      <c r="C4" s="247">
        <f>IF(AND(ISNA(MATCH(B4,Invulblad!$F$76:$F$83,0)),ISNA(MATCH(B4,Invulblad!$J$76:$J$83,0))),0,10)</f>
        <v>0</v>
      </c>
      <c r="D4" s="212" t="str">
        <f t="shared" si="1"/>
        <v>Servië</v>
      </c>
      <c r="E4" s="247">
        <f>IF(AND(ISNA(MATCH(D4,Invulblad!$F$76:$F$83,0)),ISNA(MATCH(D4,Invulblad!$J$76:$J$83,0))),0,10)</f>
        <v>0</v>
      </c>
      <c r="G4" s="212" t="str">
        <f>E80</f>
        <v>Zuid-Korea</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Engeland</v>
      </c>
      <c r="E5" s="247">
        <f>IF(AND(ISNA(MATCH(D5,Invulblad!$F$76:$F$83,0)),ISNA(MATCH(D5,Invulblad!$J$76:$J$83,0))),0,10)</f>
        <v>10</v>
      </c>
      <c r="G5" s="212" t="str">
        <f>E81</f>
        <v>Argentinië</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Kameroen</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135</v>
      </c>
    </row>
    <row r="8" spans="1:17" s="212" customFormat="1" ht="15" customHeight="1">
      <c r="B8" s="212" t="str">
        <f t="shared" si="0"/>
        <v>Brazilië</v>
      </c>
      <c r="C8" s="247">
        <f>IF(AND(ISNA(MATCH(B8,Invulblad!$F$76:$F$83,0)),ISNA(MATCH(B8,Invulblad!$J$76:$J$83,0))),0,10)</f>
        <v>10</v>
      </c>
      <c r="D8" s="212" t="str">
        <f t="shared" si="1"/>
        <v>Honduras</v>
      </c>
      <c r="E8" s="247">
        <f>IF(AND(ISNA(MATCH(D8,Invulblad!$F$76:$F$83,0)),ISNA(MATCH(D8,Invulblad!$J$76:$J$83,0))),0,10)</f>
        <v>0</v>
      </c>
      <c r="G8" s="212" t="str">
        <f>G80</f>
        <v>Servië</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Duitsland</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5</v>
      </c>
    </row>
    <row r="12" spans="1:17">
      <c r="B12" s="218" t="s">
        <v>19</v>
      </c>
      <c r="C12" s="218"/>
      <c r="D12" s="218"/>
      <c r="E12" s="219" t="str">
        <f>IF(H89&gt;J89,E89,G89)</f>
        <v>Nederland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2</v>
      </c>
      <c r="I14" s="229" t="s">
        <v>29</v>
      </c>
      <c r="J14" s="229">
        <v>3</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0</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2</v>
      </c>
      <c r="I16" s="229" t="s">
        <v>29</v>
      </c>
      <c r="J16" s="229">
        <v>1</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1</v>
      </c>
      <c r="I17" s="229" t="s">
        <v>29</v>
      </c>
      <c r="J17" s="229">
        <v>1</v>
      </c>
      <c r="K17" s="235">
        <f t="shared" si="2"/>
        <v>3</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0</v>
      </c>
      <c r="I18" s="229" t="s">
        <v>29</v>
      </c>
      <c r="J18" s="229">
        <v>0</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3</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4</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2</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10</v>
      </c>
    </row>
    <row r="23" spans="1:16">
      <c r="A23" s="205">
        <v>11</v>
      </c>
      <c r="B23" s="212">
        <v>19</v>
      </c>
      <c r="C23" s="226">
        <v>40346</v>
      </c>
      <c r="D23" s="227">
        <v>0.66666666666666663</v>
      </c>
      <c r="E23" s="228" t="s">
        <v>304</v>
      </c>
      <c r="F23" s="229" t="s">
        <v>29</v>
      </c>
      <c r="G23" s="212" t="s">
        <v>117</v>
      </c>
      <c r="H23" s="229">
        <v>2</v>
      </c>
      <c r="I23" s="229" t="s">
        <v>29</v>
      </c>
      <c r="J23" s="229">
        <v>1</v>
      </c>
      <c r="K23" s="235" t="str">
        <f t="shared" si="2"/>
        <v>1</v>
      </c>
      <c r="L23" s="233" t="str">
        <f>VLOOKUP($B23,Invulblad!$A$11:$S$103,13,0)</f>
        <v>1</v>
      </c>
      <c r="M23" s="234">
        <f>IF(L23&lt;&gt;"",VLOOKUP($B23,Invulblad!$A$11:$S$103,7,0),"")</f>
        <v>2</v>
      </c>
      <c r="N23" s="229" t="s">
        <v>29</v>
      </c>
      <c r="O23" s="234">
        <f>IF(L23&lt;&gt;"",VLOOKUP($B23,Invulblad!$A$11:$S$103,9,0),"")</f>
        <v>1</v>
      </c>
      <c r="P23" s="235">
        <f t="shared" si="4"/>
        <v>10</v>
      </c>
    </row>
    <row r="24" spans="1:16">
      <c r="A24" s="205">
        <v>12</v>
      </c>
      <c r="B24" s="212">
        <v>20</v>
      </c>
      <c r="C24" s="226">
        <v>40346</v>
      </c>
      <c r="D24" s="227">
        <v>0.5625</v>
      </c>
      <c r="E24" s="228" t="s">
        <v>302</v>
      </c>
      <c r="F24" s="229" t="s">
        <v>29</v>
      </c>
      <c r="G24" s="212" t="s">
        <v>121</v>
      </c>
      <c r="H24" s="229">
        <v>2</v>
      </c>
      <c r="I24" s="229" t="s">
        <v>29</v>
      </c>
      <c r="J24" s="229">
        <v>2</v>
      </c>
      <c r="K24" s="235">
        <f t="shared" si="2"/>
        <v>3</v>
      </c>
      <c r="L24" s="233" t="str">
        <f>VLOOKUP($B24,Invulblad!$A$11:$S$103,13,0)</f>
        <v>1</v>
      </c>
      <c r="M24" s="234">
        <f>IF(L24&lt;&gt;"",VLOOKUP($B24,Invulblad!$A$11:$S$103,7,0),"")</f>
        <v>4</v>
      </c>
      <c r="N24" s="229" t="s">
        <v>29</v>
      </c>
      <c r="O24" s="234">
        <f>IF(L24&lt;&gt;"",VLOOKUP($B24,Invulblad!$A$11:$S$103,9,0),"")</f>
        <v>1</v>
      </c>
      <c r="P24" s="235">
        <f t="shared" si="4"/>
        <v>0</v>
      </c>
    </row>
    <row r="25" spans="1:16">
      <c r="A25" s="205">
        <v>13</v>
      </c>
      <c r="B25" s="212">
        <v>35</v>
      </c>
      <c r="C25" s="226">
        <v>40351</v>
      </c>
      <c r="D25" s="227">
        <v>0.85416666666666663</v>
      </c>
      <c r="E25" s="228" t="s">
        <v>305</v>
      </c>
      <c r="F25" s="229" t="s">
        <v>29</v>
      </c>
      <c r="G25" s="212" t="s">
        <v>121</v>
      </c>
      <c r="H25" s="229">
        <v>0</v>
      </c>
      <c r="I25" s="229" t="s">
        <v>29</v>
      </c>
      <c r="J25" s="229">
        <v>1</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2</v>
      </c>
      <c r="K28" s="235">
        <f t="shared" si="2"/>
        <v>3</v>
      </c>
      <c r="L28" s="233">
        <f>VLOOKUP($B28,Invulblad!$A$11:$S$103,13,0)</f>
        <v>3</v>
      </c>
      <c r="M28" s="234">
        <f>IF(L28&lt;&gt;"",VLOOKUP($B28,Invulblad!$A$11:$S$103,7,0),"")</f>
        <v>1</v>
      </c>
      <c r="N28" s="229" t="s">
        <v>29</v>
      </c>
      <c r="O28" s="234">
        <f>IF(L28&lt;&gt;"",VLOOKUP($B28,Invulblad!$A$11:$S$103,9,0),"")</f>
        <v>1</v>
      </c>
      <c r="P28" s="235">
        <f t="shared" ref="P28:P33" si="5">IF(L28&lt;&gt;"",IF(AND(M28=H28,O28=J28),10,IF(K28=L28,5,0)),"")</f>
        <v>5</v>
      </c>
    </row>
    <row r="29" spans="1:16">
      <c r="A29" s="205">
        <v>18</v>
      </c>
      <c r="B29" s="212">
        <v>6</v>
      </c>
      <c r="C29" s="226">
        <v>40342</v>
      </c>
      <c r="D29" s="227">
        <v>0.5625</v>
      </c>
      <c r="E29" s="228" t="s">
        <v>307</v>
      </c>
      <c r="F29" s="229" t="s">
        <v>29</v>
      </c>
      <c r="G29" s="212" t="s">
        <v>127</v>
      </c>
      <c r="H29" s="229">
        <v>1</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1</v>
      </c>
      <c r="I30" s="229" t="s">
        <v>29</v>
      </c>
      <c r="J30" s="229">
        <v>0</v>
      </c>
      <c r="K30" s="235" t="str">
        <f t="shared" si="2"/>
        <v>1</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3</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2</v>
      </c>
      <c r="I32" s="229" t="s">
        <v>29</v>
      </c>
      <c r="J32" s="229">
        <v>2</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2</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3</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0</v>
      </c>
      <c r="I38" s="229" t="s">
        <v>29</v>
      </c>
      <c r="J38" s="229">
        <v>0</v>
      </c>
      <c r="K38" s="235">
        <f t="shared" si="2"/>
        <v>3</v>
      </c>
      <c r="L38" s="233">
        <f>VLOOKUP($B38,Invulblad!$A$11:$S$103,13,0)</f>
        <v>3</v>
      </c>
      <c r="M38" s="234">
        <f>IF(L38&lt;&gt;"",VLOOKUP($B38,Invulblad!$A$11:$S$103,7,0),"")</f>
        <v>1</v>
      </c>
      <c r="N38" s="229" t="s">
        <v>29</v>
      </c>
      <c r="O38" s="234">
        <f>IF(L38&lt;&gt;"",VLOOKUP($B38,Invulblad!$A$11:$S$103,9,0),"")</f>
        <v>1</v>
      </c>
      <c r="P38" s="235">
        <f t="shared" si="6"/>
        <v>5</v>
      </c>
    </row>
    <row r="39" spans="1:16">
      <c r="A39" s="205">
        <v>29</v>
      </c>
      <c r="B39" s="212">
        <v>39</v>
      </c>
      <c r="C39" s="226">
        <v>40352</v>
      </c>
      <c r="D39" s="227">
        <v>0.85416666666666663</v>
      </c>
      <c r="E39" s="228" t="s">
        <v>136</v>
      </c>
      <c r="F39" s="229" t="s">
        <v>29</v>
      </c>
      <c r="G39" s="212" t="s">
        <v>137</v>
      </c>
      <c r="H39" s="229">
        <v>0</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1</v>
      </c>
      <c r="K40" s="235">
        <f t="shared" si="2"/>
        <v>3</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0</v>
      </c>
      <c r="K45" s="235" t="str">
        <f t="shared" si="2"/>
        <v>1</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1</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3</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2</v>
      </c>
      <c r="I53" s="229" t="s">
        <v>29</v>
      </c>
      <c r="J53" s="229">
        <v>2</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0</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3</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3</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2</v>
      </c>
      <c r="I60" s="229" t="s">
        <v>29</v>
      </c>
      <c r="J60" s="229">
        <v>3</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0</v>
      </c>
      <c r="K63" s="235" t="str">
        <f t="shared" si="8"/>
        <v>1</v>
      </c>
      <c r="L63" s="233">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1</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2</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10</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0</v>
      </c>
      <c r="I68" s="229" t="s">
        <v>29</v>
      </c>
      <c r="J68" s="229">
        <v>2</v>
      </c>
      <c r="K68" s="235">
        <f t="shared" si="8"/>
        <v>2</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8" t="s">
        <v>205</v>
      </c>
      <c r="F70" s="229" t="s">
        <v>29</v>
      </c>
      <c r="G70" s="222" t="s">
        <v>118</v>
      </c>
      <c r="H70" s="229">
        <v>0</v>
      </c>
      <c r="I70" s="229" t="s">
        <v>29</v>
      </c>
      <c r="J70" s="229">
        <v>1</v>
      </c>
      <c r="K70" s="235">
        <f t="shared" si="8"/>
        <v>2</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8" t="s">
        <v>128</v>
      </c>
      <c r="F71" s="229" t="s">
        <v>29</v>
      </c>
      <c r="G71" s="222" t="s">
        <v>240</v>
      </c>
      <c r="H71" s="229">
        <v>0</v>
      </c>
      <c r="I71" s="229" t="s">
        <v>29</v>
      </c>
      <c r="J71" s="229">
        <v>0</v>
      </c>
      <c r="K71" s="235">
        <f t="shared" si="8"/>
        <v>3</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124</v>
      </c>
      <c r="H72" s="229">
        <v>3</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1</v>
      </c>
      <c r="I73" s="229" t="s">
        <v>29</v>
      </c>
      <c r="J73" s="229">
        <v>1</v>
      </c>
      <c r="K73" s="235">
        <f t="shared" si="8"/>
        <v>3</v>
      </c>
      <c r="L73" s="233" t="str">
        <f>VLOOKUP($B73,Invulblad!$A$11:$S$103,13,0)</f>
        <v>1</v>
      </c>
      <c r="M73" s="234">
        <f>IF(L73&lt;&gt;"",VLOOKUP($B73,Invulblad!$A$11:$S$103,7,0),"")</f>
        <v>3</v>
      </c>
      <c r="N73" s="229" t="s">
        <v>29</v>
      </c>
      <c r="O73" s="234">
        <f>IF(L73&lt;&gt;"",VLOOKUP($B73,Invulblad!$A$11:$S$103,9,0),"")</f>
        <v>1</v>
      </c>
      <c r="P73" s="235">
        <f t="shared" si="12"/>
        <v>0</v>
      </c>
    </row>
    <row r="74" spans="1:16">
      <c r="A74" s="205">
        <v>69</v>
      </c>
      <c r="B74" s="212">
        <v>53</v>
      </c>
      <c r="C74" s="226">
        <v>40357</v>
      </c>
      <c r="D74" s="227">
        <v>0.66666666666666663</v>
      </c>
      <c r="E74" s="223" t="s">
        <v>178</v>
      </c>
      <c r="F74" s="229" t="s">
        <v>29</v>
      </c>
      <c r="G74" s="212" t="s">
        <v>182</v>
      </c>
      <c r="H74" s="229">
        <v>1</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277</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8" t="s">
        <v>257</v>
      </c>
      <c r="F76" s="229" t="s">
        <v>29</v>
      </c>
      <c r="G76" s="222" t="s">
        <v>248</v>
      </c>
      <c r="H76" s="229">
        <v>0</v>
      </c>
      <c r="I76" s="229" t="s">
        <v>29</v>
      </c>
      <c r="J76" s="229">
        <v>1</v>
      </c>
      <c r="K76" s="235">
        <f t="shared" si="8"/>
        <v>2</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2</v>
      </c>
      <c r="I77" s="229" t="s">
        <v>29</v>
      </c>
      <c r="J77" s="229">
        <v>2</v>
      </c>
      <c r="K77" s="235">
        <f t="shared" si="8"/>
        <v>3</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2</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118</v>
      </c>
      <c r="F80" s="229" t="s">
        <v>29</v>
      </c>
      <c r="G80" s="222" t="s">
        <v>240</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116</v>
      </c>
      <c r="F81" s="229" t="s">
        <v>29</v>
      </c>
      <c r="G81" s="222" t="s">
        <v>239</v>
      </c>
      <c r="H81" s="229">
        <v>0</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248</v>
      </c>
      <c r="F82" s="229" t="s">
        <v>29</v>
      </c>
      <c r="G82" s="222" t="s">
        <v>200</v>
      </c>
      <c r="H82" s="229">
        <v>0</v>
      </c>
      <c r="I82" s="229" t="s">
        <v>29</v>
      </c>
      <c r="J82" s="229">
        <v>1</v>
      </c>
      <c r="K82" s="235">
        <f t="shared" si="13"/>
        <v>2</v>
      </c>
      <c r="L82" s="233">
        <f>VLOOKUP($B82,Invulblad!$A$11:$S$103,13,0)</f>
        <v>2</v>
      </c>
      <c r="M82" s="234">
        <f>IF(L82&lt;&gt;"",VLOOKUP($B82,Invulblad!$A$11:$S$103,7,0),"")</f>
        <v>0</v>
      </c>
      <c r="N82" s="229" t="s">
        <v>29</v>
      </c>
      <c r="O82" s="234">
        <f>IF(L82&lt;&gt;"",VLOOKUP($B82,Invulblad!$A$11:$S$103,9,0),"")</f>
        <v>1</v>
      </c>
      <c r="P82" s="235">
        <f>IF(L82&lt;&gt;"",IF(AND(M82=H82,O82=J82),10,IF(K82=L82,5,0)),"")</f>
        <v>10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240</v>
      </c>
      <c r="F84" s="229" t="s">
        <v>29</v>
      </c>
      <c r="G84" s="222" t="s">
        <v>178</v>
      </c>
      <c r="H84" s="229">
        <v>0</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239</v>
      </c>
      <c r="F85" s="229" t="s">
        <v>29</v>
      </c>
      <c r="G85" s="212" t="s">
        <v>200</v>
      </c>
      <c r="H85" s="229">
        <v>2</v>
      </c>
      <c r="I85" s="229" t="s">
        <v>29</v>
      </c>
      <c r="J85" s="229">
        <v>2</v>
      </c>
      <c r="K85" s="235">
        <f t="shared" si="13"/>
        <v>3</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240</v>
      </c>
      <c r="F87" s="229" t="s">
        <v>29</v>
      </c>
      <c r="G87" s="222" t="s">
        <v>200</v>
      </c>
      <c r="H87" s="229">
        <v>0</v>
      </c>
      <c r="I87" s="229" t="s">
        <v>29</v>
      </c>
      <c r="J87" s="229">
        <v>2</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178</v>
      </c>
      <c r="F89" s="229" t="s">
        <v>29</v>
      </c>
      <c r="G89" s="212" t="s">
        <v>239</v>
      </c>
      <c r="H89" s="229">
        <v>3</v>
      </c>
      <c r="I89" s="229" t="s">
        <v>29</v>
      </c>
      <c r="J89" s="229">
        <v>0</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234</v>
      </c>
      <c r="D101" s="241" t="s">
        <v>217</v>
      </c>
      <c r="E101" s="241" t="s">
        <v>226</v>
      </c>
    </row>
    <row r="102" spans="2:5">
      <c r="B102" s="242" t="s">
        <v>214</v>
      </c>
      <c r="C102" s="242" t="s">
        <v>217</v>
      </c>
      <c r="D102" s="242" t="s">
        <v>218</v>
      </c>
      <c r="E102" s="242" t="s">
        <v>211</v>
      </c>
    </row>
    <row r="103" spans="2:5">
      <c r="B103" s="241" t="s">
        <v>109</v>
      </c>
      <c r="C103" s="241" t="s">
        <v>218</v>
      </c>
      <c r="D103" s="241" t="s">
        <v>233</v>
      </c>
      <c r="E103" s="241" t="s">
        <v>218</v>
      </c>
    </row>
    <row r="104" spans="2:5">
      <c r="B104" s="242" t="s">
        <v>107</v>
      </c>
      <c r="C104" s="242" t="s">
        <v>213</v>
      </c>
      <c r="D104" s="242" t="s">
        <v>233</v>
      </c>
      <c r="E104" s="242" t="s">
        <v>211</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118</v>
      </c>
    </row>
    <row r="122" spans="1:15">
      <c r="B122" s="218" t="s">
        <v>223</v>
      </c>
    </row>
    <row r="124" spans="1:15">
      <c r="B124" s="240" t="s">
        <v>207</v>
      </c>
      <c r="C124" s="240" t="s">
        <v>208</v>
      </c>
      <c r="D124" s="240" t="s">
        <v>209</v>
      </c>
      <c r="E124" s="240" t="s">
        <v>210</v>
      </c>
    </row>
    <row r="125" spans="1:15">
      <c r="B125" s="241" t="s">
        <v>120</v>
      </c>
      <c r="C125" s="241" t="s">
        <v>213</v>
      </c>
      <c r="D125" s="241" t="s">
        <v>227</v>
      </c>
      <c r="E125" s="241" t="s">
        <v>215</v>
      </c>
    </row>
    <row r="126" spans="1:15">
      <c r="B126" s="242" t="s">
        <v>116</v>
      </c>
      <c r="C126" s="242" t="s">
        <v>234</v>
      </c>
      <c r="D126" s="242" t="s">
        <v>217</v>
      </c>
      <c r="E126" s="242" t="s">
        <v>234</v>
      </c>
    </row>
    <row r="127" spans="1:15">
      <c r="B127" s="241" t="s">
        <v>122</v>
      </c>
      <c r="C127" s="241" t="s">
        <v>212</v>
      </c>
      <c r="D127" s="241" t="s">
        <v>314</v>
      </c>
      <c r="E127" s="241" t="s">
        <v>218</v>
      </c>
    </row>
    <row r="128" spans="1:15">
      <c r="B128" s="242" t="s">
        <v>118</v>
      </c>
      <c r="C128" s="242" t="s">
        <v>234</v>
      </c>
      <c r="D128" s="242" t="s">
        <v>213</v>
      </c>
      <c r="E128" s="242" t="s">
        <v>217</v>
      </c>
    </row>
    <row r="131" spans="1:15">
      <c r="B131" s="218" t="s">
        <v>228</v>
      </c>
    </row>
    <row r="132" spans="1:15">
      <c r="B132" s="212"/>
    </row>
    <row r="133" spans="1:15">
      <c r="B133" s="212" t="s">
        <v>344</v>
      </c>
    </row>
    <row r="134" spans="1:15">
      <c r="B134" s="212"/>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128</v>
      </c>
    </row>
    <row r="143" spans="1:15">
      <c r="A143" s="205" t="s">
        <v>78</v>
      </c>
      <c r="B143" s="206" t="s">
        <v>204</v>
      </c>
      <c r="C143" s="206" t="s">
        <v>203</v>
      </c>
      <c r="D143" s="218" t="s">
        <v>124</v>
      </c>
    </row>
    <row r="146" spans="2:5">
      <c r="B146" s="218" t="s">
        <v>232</v>
      </c>
    </row>
    <row r="148" spans="2:5">
      <c r="B148" s="240" t="s">
        <v>207</v>
      </c>
      <c r="C148" s="240" t="s">
        <v>208</v>
      </c>
      <c r="D148" s="240" t="s">
        <v>209</v>
      </c>
      <c r="E148" s="240" t="s">
        <v>210</v>
      </c>
    </row>
    <row r="149" spans="2:5">
      <c r="B149" s="241" t="s">
        <v>126</v>
      </c>
      <c r="C149" s="241" t="s">
        <v>212</v>
      </c>
      <c r="D149" s="241" t="s">
        <v>314</v>
      </c>
      <c r="E149" s="241" t="s">
        <v>218</v>
      </c>
    </row>
    <row r="150" spans="2:5">
      <c r="B150" s="242" t="s">
        <v>124</v>
      </c>
      <c r="C150" s="242" t="s">
        <v>217</v>
      </c>
      <c r="D150" s="242" t="s">
        <v>213</v>
      </c>
      <c r="E150" s="242" t="s">
        <v>234</v>
      </c>
    </row>
    <row r="151" spans="2:5">
      <c r="B151" s="241" t="s">
        <v>128</v>
      </c>
      <c r="C151" s="241" t="s">
        <v>234</v>
      </c>
      <c r="D151" s="241" t="s">
        <v>215</v>
      </c>
      <c r="E151" s="241" t="s">
        <v>217</v>
      </c>
    </row>
    <row r="152" spans="2:5">
      <c r="B152" s="242" t="s">
        <v>32</v>
      </c>
      <c r="C152" s="242" t="s">
        <v>211</v>
      </c>
      <c r="D152" s="242" t="s">
        <v>218</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225</v>
      </c>
      <c r="D173" s="241" t="s">
        <v>234</v>
      </c>
      <c r="E173" s="241" t="s">
        <v>234</v>
      </c>
    </row>
    <row r="174" spans="1:15">
      <c r="B174" s="242" t="s">
        <v>242</v>
      </c>
      <c r="C174" s="242" t="s">
        <v>215</v>
      </c>
      <c r="D174" s="242" t="s">
        <v>233</v>
      </c>
      <c r="E174" s="242" t="s">
        <v>218</v>
      </c>
    </row>
    <row r="175" spans="1:15">
      <c r="B175" s="241" t="s">
        <v>244</v>
      </c>
      <c r="C175" s="241" t="s">
        <v>218</v>
      </c>
      <c r="D175" s="241" t="s">
        <v>243</v>
      </c>
      <c r="E175" s="241" t="s">
        <v>218</v>
      </c>
    </row>
    <row r="176" spans="1:15">
      <c r="B176" s="242" t="s">
        <v>240</v>
      </c>
      <c r="C176" s="242" t="s">
        <v>211</v>
      </c>
      <c r="D176" s="242" t="s">
        <v>212</v>
      </c>
      <c r="E176" s="242" t="s">
        <v>213</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225</v>
      </c>
      <c r="D197" s="241" t="s">
        <v>217</v>
      </c>
      <c r="E197" s="241" t="s">
        <v>226</v>
      </c>
    </row>
    <row r="198" spans="2:5">
      <c r="B198" s="242" t="s">
        <v>250</v>
      </c>
      <c r="C198" s="242" t="s">
        <v>213</v>
      </c>
      <c r="D198" s="242" t="s">
        <v>216</v>
      </c>
      <c r="E198" s="242" t="s">
        <v>215</v>
      </c>
    </row>
    <row r="199" spans="2:5">
      <c r="B199" s="241" t="s">
        <v>251</v>
      </c>
      <c r="C199" s="241" t="s">
        <v>212</v>
      </c>
      <c r="D199" s="241" t="s">
        <v>314</v>
      </c>
      <c r="E199" s="241" t="s">
        <v>218</v>
      </c>
    </row>
    <row r="200" spans="2:5">
      <c r="B200" s="242" t="s">
        <v>248</v>
      </c>
      <c r="C200" s="242" t="s">
        <v>226</v>
      </c>
      <c r="D200" s="242" t="s">
        <v>215</v>
      </c>
      <c r="E200" s="242" t="s">
        <v>211</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234</v>
      </c>
      <c r="D221" s="241" t="s">
        <v>213</v>
      </c>
      <c r="E221" s="241" t="s">
        <v>226</v>
      </c>
    </row>
    <row r="222" spans="1:15">
      <c r="B222" s="242" t="s">
        <v>259</v>
      </c>
      <c r="C222" s="242" t="s">
        <v>212</v>
      </c>
      <c r="D222" s="242" t="s">
        <v>314</v>
      </c>
      <c r="E222" s="242" t="s">
        <v>212</v>
      </c>
    </row>
    <row r="223" spans="1:15">
      <c r="B223" s="241" t="s">
        <v>182</v>
      </c>
      <c r="C223" s="241" t="s">
        <v>226</v>
      </c>
      <c r="D223" s="241" t="s">
        <v>218</v>
      </c>
      <c r="E223" s="241" t="s">
        <v>211</v>
      </c>
    </row>
    <row r="224" spans="1:15">
      <c r="B224" s="242" t="s">
        <v>260</v>
      </c>
      <c r="C224" s="242" t="s">
        <v>211</v>
      </c>
      <c r="D224" s="242" t="s">
        <v>215</v>
      </c>
      <c r="E224" s="242" t="s">
        <v>226</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5">
      <c r="B242" s="218" t="s">
        <v>267</v>
      </c>
    </row>
    <row r="244" spans="2:15">
      <c r="B244" s="240" t="s">
        <v>207</v>
      </c>
      <c r="C244" s="240" t="s">
        <v>208</v>
      </c>
      <c r="D244" s="240" t="s">
        <v>209</v>
      </c>
      <c r="E244" s="240" t="s">
        <v>210</v>
      </c>
    </row>
    <row r="245" spans="2:15">
      <c r="B245" s="241" t="s">
        <v>268</v>
      </c>
      <c r="C245" s="241" t="s">
        <v>226</v>
      </c>
      <c r="D245" s="241" t="s">
        <v>211</v>
      </c>
      <c r="E245" s="241" t="s">
        <v>234</v>
      </c>
    </row>
    <row r="246" spans="2:15">
      <c r="B246" s="242" t="s">
        <v>265</v>
      </c>
      <c r="C246" s="242" t="s">
        <v>225</v>
      </c>
      <c r="D246" s="242" t="s">
        <v>217</v>
      </c>
      <c r="E246" s="242" t="s">
        <v>316</v>
      </c>
    </row>
    <row r="247" spans="2:15">
      <c r="B247" s="241" t="s">
        <v>266</v>
      </c>
      <c r="C247" s="241" t="s">
        <v>213</v>
      </c>
      <c r="D247" s="241" t="s">
        <v>227</v>
      </c>
      <c r="E247" s="241" t="s">
        <v>215</v>
      </c>
    </row>
    <row r="248" spans="2:15">
      <c r="B248" s="242" t="s">
        <v>269</v>
      </c>
      <c r="C248" s="242" t="s">
        <v>212</v>
      </c>
      <c r="D248" s="242" t="s">
        <v>252</v>
      </c>
      <c r="E248" s="242" t="s">
        <v>212</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277</v>
      </c>
    </row>
    <row r="265" spans="1:5">
      <c r="B265" s="218" t="s">
        <v>275</v>
      </c>
    </row>
    <row r="267" spans="1:5">
      <c r="B267" s="240" t="s">
        <v>207</v>
      </c>
      <c r="C267" s="240" t="s">
        <v>208</v>
      </c>
      <c r="D267" s="240" t="s">
        <v>209</v>
      </c>
      <c r="E267" s="240" t="s">
        <v>210</v>
      </c>
    </row>
    <row r="268" spans="1:5">
      <c r="B268" s="241" t="s">
        <v>274</v>
      </c>
      <c r="C268" s="241" t="s">
        <v>218</v>
      </c>
      <c r="D268" s="241" t="s">
        <v>227</v>
      </c>
      <c r="E268" s="241" t="s">
        <v>218</v>
      </c>
    </row>
    <row r="269" spans="1:5">
      <c r="B269" s="242" t="s">
        <v>200</v>
      </c>
      <c r="C269" s="242" t="s">
        <v>225</v>
      </c>
      <c r="D269" s="242" t="s">
        <v>217</v>
      </c>
      <c r="E269" s="242" t="s">
        <v>217</v>
      </c>
    </row>
    <row r="270" spans="1:5">
      <c r="B270" s="241" t="s">
        <v>276</v>
      </c>
      <c r="C270" s="241" t="s">
        <v>218</v>
      </c>
      <c r="D270" s="241" t="s">
        <v>243</v>
      </c>
      <c r="E270" s="241" t="s">
        <v>218</v>
      </c>
    </row>
    <row r="271" spans="1:5">
      <c r="B271" s="242" t="s">
        <v>277</v>
      </c>
      <c r="C271" s="242" t="s">
        <v>226</v>
      </c>
      <c r="D271" s="242" t="s">
        <v>218</v>
      </c>
      <c r="E271" s="242" t="s">
        <v>213</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3.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348</v>
      </c>
      <c r="L1" s="211"/>
      <c r="P1" s="210">
        <f>SUM(P14:P89)+E11+H11+L7+L11</f>
        <v>360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Nigeria</v>
      </c>
      <c r="E3" s="247">
        <f>IF(AND(ISNA(MATCH(D3,Invulblad!$F$76:$F$83,0)),ISNA(MATCH(D3,Invulblad!$J$76:$J$83,0))),0,10)</f>
        <v>0</v>
      </c>
      <c r="G3" s="212" t="str">
        <f>E79</f>
        <v>Paraguay</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Australië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USA</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Uruguay</v>
      </c>
      <c r="E6" s="247">
        <f>IF(AND(ISNA(MATCH(D6,Invulblad!$F$76:$F$83,0)),ISNA(MATCH(D6,Invulblad!$J$76:$J$83,0))),0,10)</f>
        <v>10</v>
      </c>
      <c r="G6" s="212" t="str">
        <f>E82</f>
        <v>Italië</v>
      </c>
      <c r="H6" s="247">
        <f>IF(AND(ISNA(MATCH(G6,Invulblad!$F$87:$F$90,0)),ISNA(MATCH(G6,Invulblad!$J$87:$J$90,0))),0,15)</f>
        <v>0</v>
      </c>
      <c r="J6" s="212" t="str">
        <f>G85</f>
        <v>Italië</v>
      </c>
      <c r="L6" s="247">
        <f>IF(AND(ISNA(MATCH(J6,Invulblad!$F$94:$F$95,0)),ISNA(MATCH(J6,Invulblad!$J$94:$J$95,0))),0,20+25)</f>
        <v>0</v>
      </c>
    </row>
    <row r="7" spans="1:17" s="212" customFormat="1" ht="15" customHeight="1">
      <c r="B7" s="212" t="str">
        <f t="shared" si="0"/>
        <v>Denemarken</v>
      </c>
      <c r="C7" s="247">
        <f>IF(AND(ISNA(MATCH(B7,Invulblad!$F$76:$F$83,0)),ISNA(MATCH(B7,Invulblad!$J$76:$J$83,0))),0,10)</f>
        <v>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Engeland</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Portugal</v>
      </c>
      <c r="H10" s="247">
        <f>IF(AND(ISNA(MATCH(G10,Invulblad!$F$87:$F$90,0)),ISNA(MATCH(G10,Invulblad!$J$87:$J$90,0))),0,15)</f>
        <v>0</v>
      </c>
      <c r="J10" s="212" t="str">
        <f>G89</f>
        <v>Duitsland</v>
      </c>
      <c r="L10" s="247">
        <f>IF(AND(ISNA(MATCH(J10,Invulblad!$F$103,0)),ISNA(MATCH(J10,Invulblad!$J$103,0))),0,5)</f>
        <v>0</v>
      </c>
    </row>
    <row r="11" spans="1:17" s="212" customFormat="1" ht="15" customHeight="1">
      <c r="D11" s="215" t="s">
        <v>100</v>
      </c>
      <c r="E11" s="250">
        <f>SUM(C3:E10)</f>
        <v>100</v>
      </c>
      <c r="G11" s="215" t="s">
        <v>92</v>
      </c>
      <c r="H11" s="250">
        <f>SUM(H3:H10)</f>
        <v>60</v>
      </c>
      <c r="J11" s="215" t="s">
        <v>101</v>
      </c>
      <c r="K11" s="216"/>
      <c r="L11" s="250">
        <f>SUM(L9:L10)</f>
        <v>0</v>
      </c>
    </row>
    <row r="12" spans="1:17">
      <c r="B12" s="218" t="s">
        <v>19</v>
      </c>
      <c r="C12" s="218"/>
      <c r="D12" s="218"/>
      <c r="E12" s="219" t="str">
        <f>IF(H89&gt;J89,E89,G89)</f>
        <v>Duitsland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0</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1</v>
      </c>
      <c r="K15" s="235">
        <f t="shared" si="2"/>
        <v>3</v>
      </c>
      <c r="L15" s="233">
        <f>VLOOKUP($B15,Invulblad!$A$11:$S$103,13,0)</f>
        <v>3</v>
      </c>
      <c r="M15" s="234">
        <f>IF(L15&lt;&gt;"",VLOOKUP($B15,Invulblad!$A$11:$S$103,7,0),"")</f>
        <v>0</v>
      </c>
      <c r="N15" s="229" t="s">
        <v>29</v>
      </c>
      <c r="O15" s="234">
        <f>IF(L15&lt;&gt;"",VLOOKUP($B15,Invulblad!$A$11:$S$103,9,0),"")</f>
        <v>0</v>
      </c>
      <c r="P15" s="235">
        <f t="shared" si="3"/>
        <v>5</v>
      </c>
    </row>
    <row r="16" spans="1:17">
      <c r="A16" s="205">
        <v>3</v>
      </c>
      <c r="B16" s="212">
        <v>17</v>
      </c>
      <c r="C16" s="226">
        <v>40345</v>
      </c>
      <c r="D16" s="227">
        <v>0.85416666666666663</v>
      </c>
      <c r="E16" s="228" t="s">
        <v>111</v>
      </c>
      <c r="F16" s="229" t="s">
        <v>29</v>
      </c>
      <c r="G16" s="212" t="s">
        <v>112</v>
      </c>
      <c r="H16" s="229">
        <v>0</v>
      </c>
      <c r="I16" s="229" t="s">
        <v>29</v>
      </c>
      <c r="J16" s="229">
        <v>1</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2</v>
      </c>
      <c r="I17" s="229" t="s">
        <v>29</v>
      </c>
      <c r="J17" s="229">
        <v>0</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2</v>
      </c>
      <c r="K18" s="235">
        <f t="shared" si="2"/>
        <v>2</v>
      </c>
      <c r="L18" s="233">
        <f>VLOOKUP($B18,Invulblad!$A$11:$S$103,13,0)</f>
        <v>2</v>
      </c>
      <c r="M18" s="234">
        <f>IF(L18&lt;&gt;"",VLOOKUP($B18,Invulblad!$A$11:$S$103,7,0),"")</f>
        <v>0</v>
      </c>
      <c r="N18" s="229" t="s">
        <v>29</v>
      </c>
      <c r="O18" s="234">
        <f>IF(L18&lt;&gt;"",VLOOKUP($B18,Invulblad!$A$11:$S$103,9,0),"")</f>
        <v>1</v>
      </c>
      <c r="P18" s="235">
        <f t="shared" si="3"/>
        <v>5</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1</v>
      </c>
      <c r="K22" s="235">
        <f t="shared" si="2"/>
        <v>3</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1</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3</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2</v>
      </c>
      <c r="K26" s="235">
        <f t="shared" si="2"/>
        <v>2</v>
      </c>
      <c r="L26" s="233">
        <f>VLOOKUP($B26,Invulblad!$A$11:$S$103,13,0)</f>
        <v>2</v>
      </c>
      <c r="M26" s="234">
        <f>IF(L26&lt;&gt;"",VLOOKUP($B26,Invulblad!$A$11:$S$103,7,0),"")</f>
        <v>0</v>
      </c>
      <c r="N26" s="229" t="s">
        <v>29</v>
      </c>
      <c r="O26" s="234">
        <f>IF(L26&lt;&gt;"",VLOOKUP($B26,Invulblad!$A$11:$S$103,9,0),"")</f>
        <v>2</v>
      </c>
      <c r="P26" s="235">
        <f t="shared" si="4"/>
        <v>10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0</v>
      </c>
      <c r="I30" s="229" t="s">
        <v>29</v>
      </c>
      <c r="J30" s="229">
        <v>1</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0</v>
      </c>
      <c r="I32" s="229" t="s">
        <v>29</v>
      </c>
      <c r="J32" s="229">
        <v>3</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2</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3</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2</v>
      </c>
      <c r="I40" s="229" t="s">
        <v>29</v>
      </c>
      <c r="J40" s="229">
        <v>2</v>
      </c>
      <c r="K40" s="235">
        <f t="shared" si="2"/>
        <v>3</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0</v>
      </c>
      <c r="I42" s="229" t="s">
        <v>29</v>
      </c>
      <c r="J42" s="229">
        <v>1</v>
      </c>
      <c r="K42" s="235">
        <f t="shared" si="2"/>
        <v>2</v>
      </c>
      <c r="L42" s="233" t="str">
        <f>VLOOKUP($B42,Invulblad!$A$11:$S$103,13,0)</f>
        <v>1</v>
      </c>
      <c r="M42" s="234">
        <f>IF(L42&lt;&gt;"",VLOOKUP($B42,Invulblad!$A$11:$S$103,7,0),"")</f>
        <v>2</v>
      </c>
      <c r="N42" s="229" t="s">
        <v>29</v>
      </c>
      <c r="O42" s="234">
        <f>IF(L42&lt;&gt;"",VLOOKUP($B42,Invulblad!$A$11:$S$103,9,0),"")</f>
        <v>0</v>
      </c>
      <c r="P42" s="235">
        <f t="shared" ref="P42:P47" si="7">IF(L42&lt;&gt;"",IF(AND(M42=H42,O42=J42),10,IF(K42=L42,5,0)),"")</f>
        <v>0</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1</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10</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1</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1</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1</v>
      </c>
      <c r="K50" s="235">
        <f t="shared" si="8"/>
        <v>3</v>
      </c>
      <c r="L50" s="233">
        <f>VLOOKUP($B50,Invulblad!$A$11:$S$103,13,0)</f>
        <v>3</v>
      </c>
      <c r="M50" s="234">
        <f>IF(L50&lt;&gt;"",VLOOKUP($B50,Invulblad!$A$11:$S$103,7,0),"")</f>
        <v>1</v>
      </c>
      <c r="N50" s="229" t="s">
        <v>29</v>
      </c>
      <c r="O50" s="234">
        <f>IF(L50&lt;&gt;"",VLOOKUP($B50,Invulblad!$A$11:$S$103,9,0),"")</f>
        <v>1</v>
      </c>
      <c r="P50" s="235">
        <f t="shared" si="9"/>
        <v>10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2</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3</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1</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1</v>
      </c>
      <c r="I61" s="229" t="s">
        <v>29</v>
      </c>
      <c r="J61" s="229">
        <v>1</v>
      </c>
      <c r="K61" s="235">
        <f t="shared" si="8"/>
        <v>3</v>
      </c>
      <c r="L61" s="233">
        <f>VLOOKUP($B61,Invulblad!$A$11:$S$103,13,0)</f>
        <v>2</v>
      </c>
      <c r="M61" s="234">
        <f>IF(L61&lt;&gt;"",VLOOKUP($B61,Invulblad!$A$11:$S$103,7,0),"")</f>
        <v>0</v>
      </c>
      <c r="N61" s="229" t="s">
        <v>29</v>
      </c>
      <c r="O61" s="234">
        <f>IF(L61&lt;&gt;"",VLOOKUP($B61,Invulblad!$A$11:$S$103,9,0),"")</f>
        <v>3</v>
      </c>
      <c r="P61" s="235">
        <f t="shared" si="10"/>
        <v>0</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1</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10</v>
      </c>
    </row>
    <row r="64" spans="1:16">
      <c r="A64" s="205">
        <v>58</v>
      </c>
      <c r="B64" s="212">
        <v>16</v>
      </c>
      <c r="C64" s="226">
        <v>40345</v>
      </c>
      <c r="D64" s="227">
        <v>0.66666666666666663</v>
      </c>
      <c r="E64" s="228" t="s">
        <v>165</v>
      </c>
      <c r="F64" s="229" t="s">
        <v>29</v>
      </c>
      <c r="G64" s="212" t="s">
        <v>166</v>
      </c>
      <c r="H64" s="229">
        <v>1</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2</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2</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10</v>
      </c>
    </row>
    <row r="67" spans="1:16">
      <c r="A67" s="205">
        <v>61</v>
      </c>
      <c r="B67" s="212">
        <v>47</v>
      </c>
      <c r="C67" s="226">
        <v>40354</v>
      </c>
      <c r="D67" s="227">
        <v>0.85416666666666663</v>
      </c>
      <c r="E67" s="228" t="s">
        <v>167</v>
      </c>
      <c r="F67" s="229" t="s">
        <v>29</v>
      </c>
      <c r="G67" s="212" t="s">
        <v>169</v>
      </c>
      <c r="H67" s="229">
        <v>0</v>
      </c>
      <c r="I67" s="229" t="s">
        <v>29</v>
      </c>
      <c r="J67" s="229">
        <v>1</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122</v>
      </c>
      <c r="H70" s="229">
        <v>1</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c r="A71" s="205">
        <v>66</v>
      </c>
      <c r="B71" s="212">
        <v>50</v>
      </c>
      <c r="C71" s="226">
        <v>40355</v>
      </c>
      <c r="D71" s="227">
        <v>0.85416666666666663</v>
      </c>
      <c r="E71" s="223" t="s">
        <v>124</v>
      </c>
      <c r="F71" s="229" t="s">
        <v>29</v>
      </c>
      <c r="G71" s="212" t="s">
        <v>242</v>
      </c>
      <c r="H71" s="229">
        <v>2</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32</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109</v>
      </c>
      <c r="H73" s="229">
        <v>1</v>
      </c>
      <c r="I73" s="229" t="s">
        <v>29</v>
      </c>
      <c r="J73" s="229">
        <v>0</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8" t="s">
        <v>250</v>
      </c>
      <c r="F74" s="229" t="s">
        <v>29</v>
      </c>
      <c r="G74" s="222" t="s">
        <v>182</v>
      </c>
      <c r="H74" s="229">
        <v>1</v>
      </c>
      <c r="I74" s="229" t="s">
        <v>29</v>
      </c>
      <c r="J74" s="229">
        <v>1</v>
      </c>
      <c r="K74" s="235">
        <f t="shared" si="8"/>
        <v>3</v>
      </c>
      <c r="L74" s="233" t="str">
        <f>VLOOKUP($B74,Invulblad!$A$11:$S$103,13,0)</f>
        <v>1</v>
      </c>
      <c r="M74" s="234">
        <f>IF(L74&lt;&gt;"",VLOOKUP($B74,Invulblad!$A$11:$S$103,7,0),"")</f>
        <v>2</v>
      </c>
      <c r="N74" s="229" t="s">
        <v>29</v>
      </c>
      <c r="O74" s="234">
        <f>IF(L74&lt;&gt;"",VLOOKUP($B74,Invulblad!$A$11:$S$103,9,0),"")</f>
        <v>1</v>
      </c>
      <c r="P74" s="235">
        <f t="shared" si="12"/>
        <v>0</v>
      </c>
    </row>
    <row r="75" spans="1:16">
      <c r="A75" s="205">
        <v>70</v>
      </c>
      <c r="B75" s="212">
        <v>54</v>
      </c>
      <c r="C75" s="226">
        <v>40357</v>
      </c>
      <c r="D75" s="227">
        <v>0.85416666666666663</v>
      </c>
      <c r="E75" s="223" t="s">
        <v>265</v>
      </c>
      <c r="F75" s="229" t="s">
        <v>29</v>
      </c>
      <c r="G75" s="212" t="s">
        <v>274</v>
      </c>
      <c r="H75" s="229">
        <v>1</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248</v>
      </c>
      <c r="H76" s="229">
        <v>2</v>
      </c>
      <c r="I76" s="229" t="s">
        <v>29</v>
      </c>
      <c r="J76" s="229">
        <v>1</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8" t="s">
        <v>200</v>
      </c>
      <c r="F77" s="229" t="s">
        <v>29</v>
      </c>
      <c r="G77" s="222" t="s">
        <v>268</v>
      </c>
      <c r="H77" s="229">
        <v>1</v>
      </c>
      <c r="I77" s="229" t="s">
        <v>29</v>
      </c>
      <c r="J77" s="229">
        <v>2</v>
      </c>
      <c r="K77" s="235">
        <f t="shared" si="8"/>
        <v>2</v>
      </c>
      <c r="L77" s="233" t="str">
        <f>VLOOKUP($B77,Invulblad!$A$11:$S$103,13,0)</f>
        <v>1</v>
      </c>
      <c r="M77" s="234">
        <f>IF(L77&lt;&gt;"",VLOOKUP($B77,Invulblad!$A$11:$S$103,7,0),"")</f>
        <v>1</v>
      </c>
      <c r="N77" s="229" t="s">
        <v>29</v>
      </c>
      <c r="O77" s="234">
        <f>IF(L77&lt;&gt;"",VLOOKUP($B77,Invulblad!$A$11:$S$103,9,0),"")</f>
        <v>0</v>
      </c>
      <c r="P77" s="235">
        <f t="shared" si="12"/>
        <v>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182</v>
      </c>
      <c r="F79" s="229" t="s">
        <v>29</v>
      </c>
      <c r="G79" s="222" t="s">
        <v>265</v>
      </c>
      <c r="H79" s="229">
        <v>0</v>
      </c>
      <c r="I79" s="229" t="s">
        <v>29</v>
      </c>
      <c r="J79" s="229">
        <v>2</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124</v>
      </c>
      <c r="H80" s="229">
        <v>1</v>
      </c>
      <c r="I80" s="229" t="s">
        <v>29</v>
      </c>
      <c r="J80" s="229">
        <v>3</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116</v>
      </c>
      <c r="F81" s="229" t="s">
        <v>29</v>
      </c>
      <c r="G81" s="222" t="s">
        <v>239</v>
      </c>
      <c r="H81" s="229">
        <v>0</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3" t="s">
        <v>257</v>
      </c>
      <c r="F82" s="229" t="s">
        <v>29</v>
      </c>
      <c r="G82" s="212" t="s">
        <v>268</v>
      </c>
      <c r="H82" s="229">
        <v>2</v>
      </c>
      <c r="I82" s="229" t="s">
        <v>29</v>
      </c>
      <c r="J82" s="229">
        <v>1</v>
      </c>
      <c r="K82" s="235" t="str">
        <f t="shared" si="13"/>
        <v>1</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3" t="s">
        <v>124</v>
      </c>
      <c r="F84" s="229" t="s">
        <v>29</v>
      </c>
      <c r="G84" s="212" t="s">
        <v>265</v>
      </c>
      <c r="H84" s="229">
        <v>2</v>
      </c>
      <c r="I84" s="229" t="s">
        <v>29</v>
      </c>
      <c r="J84" s="229">
        <v>1</v>
      </c>
      <c r="K84" s="235" t="str">
        <f t="shared" si="13"/>
        <v>1</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3" t="s">
        <v>239</v>
      </c>
      <c r="F85" s="229" t="s">
        <v>29</v>
      </c>
      <c r="G85" s="212" t="s">
        <v>257</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3" t="s">
        <v>265</v>
      </c>
      <c r="F87" s="229" t="s">
        <v>29</v>
      </c>
      <c r="G87" s="212" t="s">
        <v>257</v>
      </c>
      <c r="H87" s="229">
        <v>2</v>
      </c>
      <c r="I87" s="229" t="s">
        <v>29</v>
      </c>
      <c r="J87" s="229">
        <v>1</v>
      </c>
      <c r="K87" s="235" t="str">
        <f t="shared" si="13"/>
        <v>1</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124</v>
      </c>
      <c r="F89" s="229" t="s">
        <v>29</v>
      </c>
      <c r="G89" s="222" t="s">
        <v>239</v>
      </c>
      <c r="H89" s="229">
        <v>1</v>
      </c>
      <c r="I89" s="229" t="s">
        <v>29</v>
      </c>
      <c r="J89" s="229">
        <v>1</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109</v>
      </c>
    </row>
    <row r="98" spans="2:5">
      <c r="B98" s="218" t="s">
        <v>206</v>
      </c>
    </row>
    <row r="100" spans="2:5">
      <c r="B100" s="240" t="s">
        <v>207</v>
      </c>
      <c r="C100" s="240" t="s">
        <v>208</v>
      </c>
      <c r="D100" s="240" t="s">
        <v>209</v>
      </c>
      <c r="E100" s="240" t="s">
        <v>210</v>
      </c>
    </row>
    <row r="101" spans="2:5">
      <c r="B101" s="241" t="s">
        <v>205</v>
      </c>
      <c r="C101" s="241" t="s">
        <v>234</v>
      </c>
      <c r="D101" s="241" t="s">
        <v>211</v>
      </c>
      <c r="E101" s="241" t="s">
        <v>217</v>
      </c>
    </row>
    <row r="102" spans="2:5">
      <c r="B102" s="242" t="s">
        <v>214</v>
      </c>
      <c r="C102" s="242" t="s">
        <v>213</v>
      </c>
      <c r="D102" s="242" t="s">
        <v>216</v>
      </c>
      <c r="E102" s="242" t="s">
        <v>213</v>
      </c>
    </row>
    <row r="103" spans="2:5">
      <c r="B103" s="241" t="s">
        <v>109</v>
      </c>
      <c r="C103" s="241" t="s">
        <v>234</v>
      </c>
      <c r="D103" s="241" t="s">
        <v>215</v>
      </c>
      <c r="E103" s="241" t="s">
        <v>211</v>
      </c>
    </row>
    <row r="104" spans="2:5">
      <c r="B104" s="242" t="s">
        <v>107</v>
      </c>
      <c r="C104" s="242" t="s">
        <v>212</v>
      </c>
      <c r="D104" s="242" t="s">
        <v>224</v>
      </c>
      <c r="E104" s="242" t="s">
        <v>212</v>
      </c>
    </row>
    <row r="107" spans="2:5">
      <c r="B107" s="218" t="s">
        <v>219</v>
      </c>
    </row>
    <row r="108" spans="2:5">
      <c r="B108" s="212"/>
    </row>
    <row r="109" spans="2:5">
      <c r="B109" s="212" t="s">
        <v>319</v>
      </c>
    </row>
    <row r="110" spans="2:5">
      <c r="B110" s="212"/>
    </row>
    <row r="113" spans="1:15">
      <c r="B113" s="243"/>
      <c r="C113" s="243"/>
      <c r="D113" s="243"/>
      <c r="E113" s="243"/>
      <c r="F113" s="243"/>
      <c r="G113" s="243"/>
      <c r="H113" s="243"/>
      <c r="I113" s="243"/>
      <c r="J113" s="243"/>
    </row>
    <row r="114" spans="1:15">
      <c r="K114" s="243"/>
      <c r="L114" s="244"/>
      <c r="M114" s="243"/>
      <c r="N114" s="243"/>
      <c r="O114" s="243"/>
    </row>
    <row r="116" spans="1:15">
      <c r="A116" s="206"/>
      <c r="B116" s="218" t="s">
        <v>222</v>
      </c>
    </row>
    <row r="118" spans="1:15">
      <c r="A118" s="205" t="s">
        <v>75</v>
      </c>
      <c r="B118" s="206" t="s">
        <v>202</v>
      </c>
      <c r="C118" s="206" t="s">
        <v>203</v>
      </c>
      <c r="D118" s="218" t="s">
        <v>116</v>
      </c>
    </row>
    <row r="119" spans="1:15">
      <c r="A119" s="252"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218</v>
      </c>
      <c r="D125" s="241" t="s">
        <v>233</v>
      </c>
      <c r="E125" s="241" t="s">
        <v>215</v>
      </c>
    </row>
    <row r="126" spans="1:15">
      <c r="B126" s="242" t="s">
        <v>116</v>
      </c>
      <c r="C126" s="242" t="s">
        <v>225</v>
      </c>
      <c r="D126" s="242" t="s">
        <v>234</v>
      </c>
      <c r="E126" s="242" t="s">
        <v>234</v>
      </c>
    </row>
    <row r="127" spans="1:15">
      <c r="B127" s="241" t="s">
        <v>122</v>
      </c>
      <c r="C127" s="241" t="s">
        <v>226</v>
      </c>
      <c r="D127" s="241" t="s">
        <v>218</v>
      </c>
      <c r="E127" s="241" t="s">
        <v>211</v>
      </c>
    </row>
    <row r="128" spans="1:15">
      <c r="B128" s="242" t="s">
        <v>118</v>
      </c>
      <c r="C128" s="242" t="s">
        <v>218</v>
      </c>
      <c r="D128" s="242" t="s">
        <v>224</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212</v>
      </c>
      <c r="D149" s="241" t="s">
        <v>243</v>
      </c>
      <c r="E149" s="241" t="s">
        <v>218</v>
      </c>
    </row>
    <row r="150" spans="2:5">
      <c r="B150" s="242" t="s">
        <v>124</v>
      </c>
      <c r="C150" s="242" t="s">
        <v>225</v>
      </c>
      <c r="D150" s="242" t="s">
        <v>234</v>
      </c>
      <c r="E150" s="242" t="s">
        <v>234</v>
      </c>
    </row>
    <row r="151" spans="2:5">
      <c r="B151" s="241" t="s">
        <v>128</v>
      </c>
      <c r="C151" s="241" t="s">
        <v>213</v>
      </c>
      <c r="D151" s="241" t="s">
        <v>233</v>
      </c>
      <c r="E151" s="241" t="s">
        <v>215</v>
      </c>
    </row>
    <row r="152" spans="2:5">
      <c r="B152" s="242" t="s">
        <v>32</v>
      </c>
      <c r="C152" s="242" t="s">
        <v>226</v>
      </c>
      <c r="D152" s="242" t="s">
        <v>212</v>
      </c>
      <c r="E152" s="242" t="s">
        <v>215</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225</v>
      </c>
      <c r="D173" s="241" t="s">
        <v>234</v>
      </c>
      <c r="E173" s="241" t="s">
        <v>234</v>
      </c>
    </row>
    <row r="174" spans="1:15">
      <c r="B174" s="242" t="s">
        <v>242</v>
      </c>
      <c r="C174" s="242" t="s">
        <v>211</v>
      </c>
      <c r="D174" s="242" t="s">
        <v>212</v>
      </c>
      <c r="E174" s="242" t="s">
        <v>217</v>
      </c>
    </row>
    <row r="175" spans="1:15">
      <c r="B175" s="241" t="s">
        <v>244</v>
      </c>
      <c r="C175" s="241" t="s">
        <v>212</v>
      </c>
      <c r="D175" s="241" t="s">
        <v>314</v>
      </c>
      <c r="E175" s="241" t="s">
        <v>218</v>
      </c>
    </row>
    <row r="176" spans="1:15">
      <c r="B176" s="242" t="s">
        <v>240</v>
      </c>
      <c r="C176" s="242" t="s">
        <v>211</v>
      </c>
      <c r="D176" s="242" t="s">
        <v>216</v>
      </c>
      <c r="E176" s="242" t="s">
        <v>213</v>
      </c>
    </row>
    <row r="179" spans="1:15">
      <c r="B179" s="218" t="s">
        <v>245</v>
      </c>
    </row>
    <row r="180" spans="1:15">
      <c r="B180" s="212"/>
    </row>
    <row r="181" spans="1:15">
      <c r="B181" s="212" t="s">
        <v>312</v>
      </c>
    </row>
    <row r="182" spans="1:15">
      <c r="B182" s="212" t="s">
        <v>349</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250</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211</v>
      </c>
      <c r="D197" s="241" t="s">
        <v>212</v>
      </c>
      <c r="E197" s="241" t="s">
        <v>215</v>
      </c>
    </row>
    <row r="198" spans="2:5">
      <c r="B198" s="242" t="s">
        <v>250</v>
      </c>
      <c r="C198" s="242" t="s">
        <v>234</v>
      </c>
      <c r="D198" s="242" t="s">
        <v>213</v>
      </c>
      <c r="E198" s="242" t="s">
        <v>211</v>
      </c>
    </row>
    <row r="199" spans="2:5">
      <c r="B199" s="241" t="s">
        <v>251</v>
      </c>
      <c r="C199" s="241" t="s">
        <v>212</v>
      </c>
      <c r="D199" s="241" t="s">
        <v>243</v>
      </c>
      <c r="E199" s="241" t="s">
        <v>212</v>
      </c>
    </row>
    <row r="200" spans="2:5">
      <c r="B200" s="242" t="s">
        <v>248</v>
      </c>
      <c r="C200" s="242" t="s">
        <v>217</v>
      </c>
      <c r="D200" s="242" t="s">
        <v>218</v>
      </c>
      <c r="E200" s="242" t="s">
        <v>213</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225</v>
      </c>
      <c r="D221" s="241" t="s">
        <v>217</v>
      </c>
      <c r="E221" s="241" t="s">
        <v>226</v>
      </c>
    </row>
    <row r="222" spans="1:15">
      <c r="B222" s="242" t="s">
        <v>259</v>
      </c>
      <c r="C222" s="242" t="s">
        <v>218</v>
      </c>
      <c r="D222" s="242" t="s">
        <v>233</v>
      </c>
      <c r="E222" s="242" t="s">
        <v>218</v>
      </c>
    </row>
    <row r="223" spans="1:15">
      <c r="B223" s="241" t="s">
        <v>182</v>
      </c>
      <c r="C223" s="241" t="s">
        <v>211</v>
      </c>
      <c r="D223" s="241" t="s">
        <v>212</v>
      </c>
      <c r="E223" s="241" t="s">
        <v>213</v>
      </c>
    </row>
    <row r="224" spans="1:15">
      <c r="B224" s="242" t="s">
        <v>260</v>
      </c>
      <c r="C224" s="242" t="s">
        <v>215</v>
      </c>
      <c r="D224" s="242" t="s">
        <v>227</v>
      </c>
      <c r="E224" s="242" t="s">
        <v>215</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234</v>
      </c>
      <c r="D245" s="241" t="s">
        <v>215</v>
      </c>
      <c r="E245" s="241" t="s">
        <v>211</v>
      </c>
    </row>
    <row r="246" spans="2:10">
      <c r="B246" s="242" t="s">
        <v>265</v>
      </c>
      <c r="C246" s="242" t="s">
        <v>234</v>
      </c>
      <c r="D246" s="242" t="s">
        <v>217</v>
      </c>
      <c r="E246" s="242" t="s">
        <v>226</v>
      </c>
    </row>
    <row r="247" spans="2:10">
      <c r="B247" s="241" t="s">
        <v>266</v>
      </c>
      <c r="C247" s="241" t="s">
        <v>218</v>
      </c>
      <c r="D247" s="241" t="s">
        <v>233</v>
      </c>
      <c r="E247" s="241" t="s">
        <v>215</v>
      </c>
    </row>
    <row r="248" spans="2:10">
      <c r="B248" s="242" t="s">
        <v>269</v>
      </c>
      <c r="C248" s="242" t="s">
        <v>218</v>
      </c>
      <c r="D248" s="242" t="s">
        <v>243</v>
      </c>
      <c r="E248" s="242" t="s">
        <v>218</v>
      </c>
    </row>
    <row r="251" spans="2:10">
      <c r="B251" s="218" t="s">
        <v>270</v>
      </c>
    </row>
    <row r="252" spans="2:10">
      <c r="B252" s="212"/>
    </row>
    <row r="253" spans="2:10">
      <c r="B253" s="212" t="s">
        <v>321</v>
      </c>
    </row>
    <row r="254" spans="2:10">
      <c r="B254" s="212"/>
    </row>
    <row r="256" spans="2:10">
      <c r="B256" s="243"/>
      <c r="C256" s="243"/>
      <c r="D256" s="243"/>
      <c r="E256" s="243"/>
      <c r="F256" s="243"/>
      <c r="G256" s="243"/>
      <c r="H256" s="243"/>
      <c r="I256" s="243"/>
      <c r="J256" s="243"/>
    </row>
    <row r="257" spans="1:15">
      <c r="K257" s="243"/>
      <c r="L257" s="244"/>
      <c r="M257" s="243"/>
      <c r="N257" s="243"/>
      <c r="O257"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274</v>
      </c>
    </row>
    <row r="263" spans="1:15">
      <c r="A263" s="205" t="s">
        <v>88</v>
      </c>
    </row>
    <row r="265" spans="1:15">
      <c r="B265" s="218" t="s">
        <v>275</v>
      </c>
    </row>
    <row r="267" spans="1:15">
      <c r="B267" s="240" t="s">
        <v>207</v>
      </c>
      <c r="C267" s="240" t="s">
        <v>208</v>
      </c>
      <c r="D267" s="240" t="s">
        <v>209</v>
      </c>
      <c r="E267" s="240" t="s">
        <v>210</v>
      </c>
    </row>
    <row r="268" spans="1:15">
      <c r="B268" s="241" t="s">
        <v>274</v>
      </c>
      <c r="C268" s="241" t="s">
        <v>211</v>
      </c>
      <c r="D268" s="241" t="s">
        <v>212</v>
      </c>
      <c r="E268" s="241" t="s">
        <v>213</v>
      </c>
    </row>
    <row r="269" spans="1:15">
      <c r="B269" s="242" t="s">
        <v>200</v>
      </c>
      <c r="C269" s="242" t="s">
        <v>225</v>
      </c>
      <c r="D269" s="242" t="s">
        <v>211</v>
      </c>
      <c r="E269" s="242" t="s">
        <v>211</v>
      </c>
    </row>
    <row r="270" spans="1:15">
      <c r="B270" s="241" t="s">
        <v>276</v>
      </c>
      <c r="C270" s="241" t="s">
        <v>211</v>
      </c>
      <c r="D270" s="241" t="s">
        <v>212</v>
      </c>
      <c r="E270" s="241" t="s">
        <v>213</v>
      </c>
    </row>
    <row r="271" spans="1:15">
      <c r="B271" s="242" t="s">
        <v>277</v>
      </c>
      <c r="C271" s="242" t="s">
        <v>212</v>
      </c>
      <c r="D271" s="242" t="s">
        <v>243</v>
      </c>
      <c r="E271" s="242" t="s">
        <v>212</v>
      </c>
    </row>
    <row r="274" spans="2:15">
      <c r="B274" s="218" t="s">
        <v>278</v>
      </c>
    </row>
    <row r="275" spans="2:15">
      <c r="B275" s="212"/>
    </row>
    <row r="276" spans="2:15">
      <c r="B276" s="212" t="s">
        <v>279</v>
      </c>
    </row>
    <row r="277" spans="2:15">
      <c r="B277" s="212" t="s">
        <v>350</v>
      </c>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4.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340</v>
      </c>
      <c r="L1" s="211"/>
      <c r="P1" s="210">
        <f>SUM(P14:P89)+E11+H11+L7+L11</f>
        <v>450</v>
      </c>
    </row>
    <row r="2" spans="1:17" s="212" customFormat="1" ht="15" customHeight="1">
      <c r="B2" s="213" t="s">
        <v>97</v>
      </c>
      <c r="G2" s="213" t="s">
        <v>98</v>
      </c>
      <c r="J2" s="213" t="s">
        <v>99</v>
      </c>
      <c r="L2" s="214"/>
    </row>
    <row r="3" spans="1:17" s="212" customFormat="1" ht="15" customHeight="1">
      <c r="B3" s="212" t="str">
        <f t="shared" ref="B3:B10" si="0">E70</f>
        <v>Mexico</v>
      </c>
      <c r="C3" s="247">
        <f>IF(AND(ISNA(MATCH(B3,Invulblad!$F$76:$F$83,0)),ISNA(MATCH(B3,Invulblad!$J$76:$J$83,0))),0,10)</f>
        <v>10</v>
      </c>
      <c r="D3" s="212" t="str">
        <f t="shared" ref="D3:D10" si="1">G70</f>
        <v>Zuid-Korea</v>
      </c>
      <c r="E3" s="247">
        <f>IF(AND(ISNA(MATCH(D3,Invulblad!$F$76:$F$83,0)),ISNA(MATCH(D3,Invulblad!$J$76:$J$83,0))),0,10)</f>
        <v>10</v>
      </c>
      <c r="G3" s="212" t="str">
        <f>E79</f>
        <v>Nederland</v>
      </c>
      <c r="H3" s="247">
        <f>IF(AND(ISNA(MATCH(G3,Invulblad!$F$87:$F$90,0)),ISNA(MATCH(G3,Invulblad!$J$87:$J$90,0))),0,15)</f>
        <v>15</v>
      </c>
      <c r="J3" s="212" t="str">
        <f>E84</f>
        <v>Mexico</v>
      </c>
      <c r="L3" s="247">
        <f>IF(AND(ISNA(MATCH(J3,Invulblad!$F$94:$F$95,0)),ISNA(MATCH(J3,Invulblad!$J$94:$J$95,0))),0,20+25)</f>
        <v>0</v>
      </c>
      <c r="Q3" s="248"/>
    </row>
    <row r="4" spans="1:17" s="212" customFormat="1" ht="15" customHeight="1">
      <c r="B4" s="212" t="str">
        <f t="shared" si="0"/>
        <v>USA</v>
      </c>
      <c r="C4" s="247">
        <f>IF(AND(ISNA(MATCH(B4,Invulblad!$F$76:$F$83,0)),ISNA(MATCH(B4,Invulblad!$J$76:$J$83,0))),0,10)</f>
        <v>10</v>
      </c>
      <c r="D4" s="212" t="str">
        <f t="shared" si="1"/>
        <v>Australië</v>
      </c>
      <c r="E4" s="247">
        <f>IF(AND(ISNA(MATCH(D4,Invulblad!$F$76:$F$83,0)),ISNA(MATCH(D4,Invulblad!$J$76:$J$83,0))),0,10)</f>
        <v>0</v>
      </c>
      <c r="G4" s="212" t="str">
        <f>E80</f>
        <v>Mexico</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Engeland</v>
      </c>
      <c r="E5" s="247">
        <f>IF(AND(ISNA(MATCH(D5,Invulblad!$F$76:$F$83,0)),ISNA(MATCH(D5,Invulblad!$J$76:$J$83,0))),0,10)</f>
        <v>10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Frankrijk</v>
      </c>
      <c r="E6" s="247">
        <f>IF(AND(ISNA(MATCH(D6,Invulblad!$F$76:$F$83,0)),ISNA(MATCH(D6,Invulblad!$J$76:$J$83,0))),0,10)</f>
        <v>0</v>
      </c>
      <c r="G6" s="212" t="str">
        <f>E82</f>
        <v>Denemarken</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Italië</v>
      </c>
      <c r="E7" s="247">
        <f>IF(AND(ISNA(MATCH(D7,Invulblad!$F$76:$F$83,0)),ISNA(MATCH(D7,Invulblad!$J$76:$J$83,0))),0,10)</f>
        <v>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USA</v>
      </c>
      <c r="H8" s="247">
        <f>IF(AND(ISNA(MATCH(G8,Invulblad!$F$87:$F$90,0)),ISNA(MATCH(G8,Invulblad!$J$87:$J$90,0))),0,15)</f>
        <v>0</v>
      </c>
      <c r="J8" s="213" t="s">
        <v>49</v>
      </c>
      <c r="L8" s="214"/>
    </row>
    <row r="9" spans="1:17" s="212" customFormat="1" ht="15" customHeight="1">
      <c r="B9" s="212" t="str">
        <f t="shared" si="0"/>
        <v>Nieuw-Zeeland</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Noord-Korea</v>
      </c>
      <c r="E10" s="247">
        <f>IF(AND(ISNA(MATCH(D10,Invulblad!$F$76:$F$83,0)),ISNA(MATCH(D10,Invulblad!$J$76:$J$83,0))),0,10)</f>
        <v>0</v>
      </c>
      <c r="G10" s="212" t="str">
        <f>G82</f>
        <v>Spanje</v>
      </c>
      <c r="H10" s="247">
        <f>IF(AND(ISNA(MATCH(G10,Invulblad!$F$87:$F$90,0)),ISNA(MATCH(G10,Invulblad!$J$87:$J$90,0))),0,15)</f>
        <v>15</v>
      </c>
      <c r="J10" s="212" t="str">
        <f>G89</f>
        <v>Duitsland</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0</v>
      </c>
    </row>
    <row r="12" spans="1:17">
      <c r="B12" s="218" t="s">
        <v>19</v>
      </c>
      <c r="C12" s="218"/>
      <c r="D12" s="218"/>
      <c r="E12" s="219" t="str">
        <f>IF(H89&gt;J89,E89,G89)</f>
        <v>Duitsland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301</v>
      </c>
      <c r="F15" s="229" t="s">
        <v>29</v>
      </c>
      <c r="G15" s="212" t="s">
        <v>110</v>
      </c>
      <c r="H15" s="229">
        <v>0</v>
      </c>
      <c r="I15" s="229" t="s">
        <v>29</v>
      </c>
      <c r="J15" s="229">
        <v>0</v>
      </c>
      <c r="K15" s="235">
        <f t="shared" si="2"/>
        <v>3</v>
      </c>
      <c r="L15" s="233">
        <f>VLOOKUP($B15,Invulblad!$A$11:$S$103,13,0)</f>
        <v>3</v>
      </c>
      <c r="M15" s="234">
        <f>IF(L15&lt;&gt;"",VLOOKUP($B15,Invulblad!$A$11:$S$103,7,0),"")</f>
        <v>0</v>
      </c>
      <c r="N15" s="229" t="s">
        <v>29</v>
      </c>
      <c r="O15" s="234">
        <f>IF(L15&lt;&gt;"",VLOOKUP($B15,Invulblad!$A$11:$S$103,9,0),"")</f>
        <v>0</v>
      </c>
      <c r="P15" s="235">
        <f t="shared" si="3"/>
        <v>10</v>
      </c>
    </row>
    <row r="16" spans="1:17">
      <c r="A16" s="205">
        <v>3</v>
      </c>
      <c r="B16" s="212">
        <v>17</v>
      </c>
      <c r="C16" s="226">
        <v>40345</v>
      </c>
      <c r="D16" s="227">
        <v>0.85416666666666663</v>
      </c>
      <c r="E16" s="228" t="s">
        <v>111</v>
      </c>
      <c r="F16" s="229" t="s">
        <v>29</v>
      </c>
      <c r="G16" s="212" t="s">
        <v>112</v>
      </c>
      <c r="H16" s="229">
        <v>2</v>
      </c>
      <c r="I16" s="229" t="s">
        <v>29</v>
      </c>
      <c r="J16" s="229">
        <v>0</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1</v>
      </c>
      <c r="I17" s="229" t="s">
        <v>29</v>
      </c>
      <c r="J17" s="229">
        <v>3</v>
      </c>
      <c r="K17" s="235">
        <f t="shared" si="2"/>
        <v>2</v>
      </c>
      <c r="L17" s="233">
        <f>VLOOKUP($B17,Invulblad!$A$11:$S$103,13,0)</f>
        <v>2</v>
      </c>
      <c r="M17" s="234">
        <f>IF(L17&lt;&gt;"",VLOOKUP($B17,Invulblad!$A$11:$S$103,7,0),"")</f>
        <v>0</v>
      </c>
      <c r="N17" s="229" t="s">
        <v>29</v>
      </c>
      <c r="O17" s="234">
        <f>IF(L17&lt;&gt;"",VLOOKUP($B17,Invulblad!$A$11:$S$103,9,0),"")</f>
        <v>2</v>
      </c>
      <c r="P17" s="235">
        <f t="shared" si="3"/>
        <v>5</v>
      </c>
    </row>
    <row r="18" spans="1:16">
      <c r="A18" s="205">
        <v>5</v>
      </c>
      <c r="B18" s="212">
        <v>33</v>
      </c>
      <c r="C18" s="226">
        <v>40351</v>
      </c>
      <c r="D18" s="227">
        <v>0.66666666666666663</v>
      </c>
      <c r="E18" s="228" t="s">
        <v>114</v>
      </c>
      <c r="F18" s="229" t="s">
        <v>29</v>
      </c>
      <c r="G18" s="212" t="s">
        <v>112</v>
      </c>
      <c r="H18" s="229">
        <v>1</v>
      </c>
      <c r="I18" s="229" t="s">
        <v>29</v>
      </c>
      <c r="J18" s="229">
        <v>0</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0</v>
      </c>
      <c r="I23" s="229" t="s">
        <v>29</v>
      </c>
      <c r="J23" s="229">
        <v>0</v>
      </c>
      <c r="K23" s="235">
        <f t="shared" si="2"/>
        <v>3</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2</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1</v>
      </c>
      <c r="I26" s="229" t="s">
        <v>29</v>
      </c>
      <c r="J26" s="229">
        <v>1</v>
      </c>
      <c r="K26" s="235">
        <f t="shared" si="2"/>
        <v>3</v>
      </c>
      <c r="L26" s="233">
        <f>VLOOKUP($B26,Invulblad!$A$11:$S$103,13,0)</f>
        <v>2</v>
      </c>
      <c r="M26" s="234">
        <f>IF(L26&lt;&gt;"",VLOOKUP($B26,Invulblad!$A$11:$S$103,7,0),"")</f>
        <v>0</v>
      </c>
      <c r="N26" s="229" t="s">
        <v>29</v>
      </c>
      <c r="O26" s="234">
        <f>IF(L26&lt;&gt;"",VLOOKUP($B26,Invulblad!$A$11:$S$103,9,0),"")</f>
        <v>2</v>
      </c>
      <c r="P26" s="235">
        <f t="shared" si="4"/>
        <v>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1</v>
      </c>
      <c r="I28" s="229" t="s">
        <v>29</v>
      </c>
      <c r="J28" s="229">
        <v>2</v>
      </c>
      <c r="K28" s="235">
        <f t="shared" si="2"/>
        <v>2</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0</v>
      </c>
      <c r="I30" s="229" t="s">
        <v>29</v>
      </c>
      <c r="J30" s="229">
        <v>0</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1</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2</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1</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2</v>
      </c>
      <c r="I37" s="229" t="s">
        <v>29</v>
      </c>
      <c r="J37" s="229">
        <v>1</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3</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1</v>
      </c>
      <c r="K39" s="235">
        <f t="shared" si="2"/>
        <v>3</v>
      </c>
      <c r="L39" s="233">
        <f>VLOOKUP($B39,Invulblad!$A$11:$S$103,13,0)</f>
        <v>2</v>
      </c>
      <c r="M39" s="234">
        <f>IF(L39&lt;&gt;"",VLOOKUP($B39,Invulblad!$A$11:$S$103,7,0),"")</f>
        <v>0</v>
      </c>
      <c r="N39" s="229" t="s">
        <v>29</v>
      </c>
      <c r="O39" s="234">
        <f>IF(L39&lt;&gt;"",VLOOKUP($B39,Invulblad!$A$11:$S$103,9,0),"")</f>
        <v>1</v>
      </c>
      <c r="P39" s="235">
        <f t="shared" si="6"/>
        <v>0</v>
      </c>
    </row>
    <row r="40" spans="1:16">
      <c r="A40" s="205">
        <v>30</v>
      </c>
      <c r="B40" s="212">
        <v>40</v>
      </c>
      <c r="C40" s="226">
        <v>40352</v>
      </c>
      <c r="D40" s="227">
        <v>0.85416666666666663</v>
      </c>
      <c r="E40" s="228" t="s">
        <v>138</v>
      </c>
      <c r="F40" s="229" t="s">
        <v>29</v>
      </c>
      <c r="G40" s="212" t="s">
        <v>135</v>
      </c>
      <c r="H40" s="229">
        <v>2</v>
      </c>
      <c r="I40" s="229" t="s">
        <v>29</v>
      </c>
      <c r="J40" s="229">
        <v>1</v>
      </c>
      <c r="K40" s="235" t="str">
        <f t="shared" si="2"/>
        <v>1</v>
      </c>
      <c r="L40" s="233" t="str">
        <f>VLOOKUP($B40,Invulblad!$A$11:$S$103,13,0)</f>
        <v>1</v>
      </c>
      <c r="M40" s="234">
        <f>IF(L40&lt;&gt;"",VLOOKUP($B40,Invulblad!$A$11:$S$103,7,0),"")</f>
        <v>2</v>
      </c>
      <c r="N40" s="229" t="s">
        <v>29</v>
      </c>
      <c r="O40" s="234">
        <f>IF(L40&lt;&gt;"",VLOOKUP($B40,Invulblad!$A$11:$S$103,9,0),"")</f>
        <v>1</v>
      </c>
      <c r="P40" s="235">
        <f t="shared" si="6"/>
        <v>10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2</v>
      </c>
      <c r="I43" s="229" t="s">
        <v>29</v>
      </c>
      <c r="J43" s="229">
        <v>2</v>
      </c>
      <c r="K43" s="235">
        <f t="shared" si="2"/>
        <v>3</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1</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10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2</v>
      </c>
      <c r="I47" s="229" t="s">
        <v>29</v>
      </c>
      <c r="J47" s="229">
        <v>2</v>
      </c>
      <c r="K47" s="235">
        <f t="shared" si="8"/>
        <v>3</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2</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1</v>
      </c>
      <c r="K50" s="235">
        <f t="shared" si="8"/>
        <v>3</v>
      </c>
      <c r="L50" s="233">
        <f>VLOOKUP($B50,Invulblad!$A$11:$S$103,13,0)</f>
        <v>3</v>
      </c>
      <c r="M50" s="234">
        <f>IF(L50&lt;&gt;"",VLOOKUP($B50,Invulblad!$A$11:$S$103,7,0),"")</f>
        <v>1</v>
      </c>
      <c r="N50" s="229" t="s">
        <v>29</v>
      </c>
      <c r="O50" s="234">
        <f>IF(L50&lt;&gt;"",VLOOKUP($B50,Invulblad!$A$11:$S$103,9,0),"")</f>
        <v>1</v>
      </c>
      <c r="P50" s="235">
        <f t="shared" si="9"/>
        <v>10</v>
      </c>
    </row>
    <row r="51" spans="1:16">
      <c r="A51" s="205">
        <v>43</v>
      </c>
      <c r="B51" s="212">
        <v>27</v>
      </c>
      <c r="C51" s="226">
        <v>40349</v>
      </c>
      <c r="D51" s="227">
        <v>0.5625</v>
      </c>
      <c r="E51" s="228" t="s">
        <v>151</v>
      </c>
      <c r="F51" s="229" t="s">
        <v>29</v>
      </c>
      <c r="G51" s="212" t="s">
        <v>148</v>
      </c>
      <c r="H51" s="229">
        <v>1</v>
      </c>
      <c r="I51" s="229" t="s">
        <v>29</v>
      </c>
      <c r="J51" s="229">
        <v>0</v>
      </c>
      <c r="K51" s="235" t="str">
        <f t="shared" si="8"/>
        <v>1</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1</v>
      </c>
      <c r="I52" s="229" t="s">
        <v>29</v>
      </c>
      <c r="J52" s="229">
        <v>2</v>
      </c>
      <c r="K52" s="235">
        <f t="shared" si="8"/>
        <v>2</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1</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3</v>
      </c>
      <c r="K54" s="235">
        <f t="shared" si="8"/>
        <v>2</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1</v>
      </c>
      <c r="K56" s="235">
        <f t="shared" si="8"/>
        <v>3</v>
      </c>
      <c r="L56" s="233">
        <f>VLOOKUP($B56,Invulblad!$A$11:$S$103,13,0)</f>
        <v>3</v>
      </c>
      <c r="M56" s="234">
        <f>IF(L56&lt;&gt;"",VLOOKUP($B56,Invulblad!$A$11:$S$103,7,0),"")</f>
        <v>0</v>
      </c>
      <c r="N56" s="229" t="s">
        <v>29</v>
      </c>
      <c r="O56" s="234">
        <f>IF(L56&lt;&gt;"",VLOOKUP($B56,Invulblad!$A$11:$S$103,9,0),"")</f>
        <v>0</v>
      </c>
      <c r="P56" s="235">
        <f t="shared" ref="P56:P61" si="10">IF(L56&lt;&gt;"",IF(AND(M56=H56,O56=J56),10,IF(K56=L56,5,0)),"")</f>
        <v>5</v>
      </c>
    </row>
    <row r="57" spans="1:16">
      <c r="A57" s="205">
        <v>50</v>
      </c>
      <c r="B57" s="212">
        <v>14</v>
      </c>
      <c r="C57" s="226">
        <v>40344</v>
      </c>
      <c r="D57" s="227">
        <v>0.85416666666666663</v>
      </c>
      <c r="E57" s="228" t="s">
        <v>157</v>
      </c>
      <c r="F57" s="229" t="s">
        <v>29</v>
      </c>
      <c r="G57" s="212" t="s">
        <v>158</v>
      </c>
      <c r="H57" s="229">
        <v>3</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2</v>
      </c>
      <c r="K58" s="235">
        <f t="shared" si="8"/>
        <v>3</v>
      </c>
      <c r="L58" s="233" t="str">
        <f>VLOOKUP($B58,Invulblad!$A$11:$S$103,13,0)</f>
        <v>1</v>
      </c>
      <c r="M58" s="234">
        <f>IF(L58&lt;&gt;"",VLOOKUP($B58,Invulblad!$A$11:$S$103,7,0),"")</f>
        <v>3</v>
      </c>
      <c r="N58" s="229" t="s">
        <v>29</v>
      </c>
      <c r="O58" s="234">
        <f>IF(L58&lt;&gt;"",VLOOKUP($B58,Invulblad!$A$11:$S$103,9,0),"")</f>
        <v>1</v>
      </c>
      <c r="P58" s="235">
        <f t="shared" si="10"/>
        <v>0</v>
      </c>
    </row>
    <row r="59" spans="1:16">
      <c r="A59" s="205">
        <v>52</v>
      </c>
      <c r="B59" s="212">
        <v>30</v>
      </c>
      <c r="C59" s="226">
        <v>40350</v>
      </c>
      <c r="D59" s="227">
        <v>0.5625</v>
      </c>
      <c r="E59" s="228" t="s">
        <v>160</v>
      </c>
      <c r="F59" s="229" t="s">
        <v>29</v>
      </c>
      <c r="G59" s="212" t="s">
        <v>158</v>
      </c>
      <c r="H59" s="229">
        <v>1</v>
      </c>
      <c r="I59" s="229" t="s">
        <v>29</v>
      </c>
      <c r="J59" s="229">
        <v>1</v>
      </c>
      <c r="K59" s="235">
        <f t="shared" si="8"/>
        <v>3</v>
      </c>
      <c r="L59" s="233" t="str">
        <f>VLOOKUP($B59,Invulblad!$A$11:$S$103,13,0)</f>
        <v>1</v>
      </c>
      <c r="M59" s="234">
        <f>IF(L59&lt;&gt;"",VLOOKUP($B59,Invulblad!$A$11:$S$103,7,0),"")</f>
        <v>7</v>
      </c>
      <c r="N59" s="229" t="s">
        <v>29</v>
      </c>
      <c r="O59" s="234">
        <f>IF(L59&lt;&gt;"",VLOOKUP($B59,Invulblad!$A$11:$S$103,9,0),"")</f>
        <v>0</v>
      </c>
      <c r="P59" s="235">
        <f t="shared" si="10"/>
        <v>0</v>
      </c>
    </row>
    <row r="60" spans="1:16">
      <c r="A60" s="205">
        <v>53</v>
      </c>
      <c r="B60" s="212">
        <v>45</v>
      </c>
      <c r="C60" s="226">
        <v>40354</v>
      </c>
      <c r="D60" s="227">
        <v>0.66666666666666663</v>
      </c>
      <c r="E60" s="228" t="s">
        <v>160</v>
      </c>
      <c r="F60" s="229" t="s">
        <v>29</v>
      </c>
      <c r="G60" s="212" t="s">
        <v>161</v>
      </c>
      <c r="H60" s="229">
        <v>2</v>
      </c>
      <c r="I60" s="229" t="s">
        <v>29</v>
      </c>
      <c r="J60" s="229">
        <v>2</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2</v>
      </c>
      <c r="I61" s="229" t="s">
        <v>29</v>
      </c>
      <c r="J61" s="229">
        <v>1</v>
      </c>
      <c r="K61" s="235" t="str">
        <f t="shared" si="8"/>
        <v>1</v>
      </c>
      <c r="L61" s="233">
        <f>VLOOKUP($B61,Invulblad!$A$11:$S$103,13,0)</f>
        <v>2</v>
      </c>
      <c r="M61" s="234">
        <f>IF(L61&lt;&gt;"",VLOOKUP($B61,Invulblad!$A$11:$S$103,7,0),"")</f>
        <v>0</v>
      </c>
      <c r="N61" s="229" t="s">
        <v>29</v>
      </c>
      <c r="O61" s="234">
        <f>IF(L61&lt;&gt;"",VLOOKUP($B61,Invulblad!$A$11:$S$103,9,0),"")</f>
        <v>3</v>
      </c>
      <c r="P61" s="235">
        <f t="shared" si="10"/>
        <v>0</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1</v>
      </c>
      <c r="K63" s="235">
        <f t="shared" si="8"/>
        <v>3</v>
      </c>
      <c r="L63" s="233">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3</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5</v>
      </c>
    </row>
    <row r="66" spans="1:16">
      <c r="A66" s="205">
        <v>60</v>
      </c>
      <c r="B66" s="212">
        <v>32</v>
      </c>
      <c r="C66" s="226">
        <v>40350</v>
      </c>
      <c r="D66" s="227">
        <v>0.85416666666666663</v>
      </c>
      <c r="E66" s="228" t="s">
        <v>165</v>
      </c>
      <c r="F66" s="229" t="s">
        <v>29</v>
      </c>
      <c r="G66" s="212" t="s">
        <v>168</v>
      </c>
      <c r="H66" s="229">
        <v>1</v>
      </c>
      <c r="I66" s="229" t="s">
        <v>29</v>
      </c>
      <c r="J66" s="229">
        <v>1</v>
      </c>
      <c r="K66" s="235">
        <f t="shared" si="8"/>
        <v>3</v>
      </c>
      <c r="L66" s="233" t="str">
        <f>VLOOKUP($B66,Invulblad!$A$11:$S$103,13,0)</f>
        <v>1</v>
      </c>
      <c r="M66" s="234">
        <f>IF(L66&lt;&gt;"",VLOOKUP($B66,Invulblad!$A$11:$S$103,7,0),"")</f>
        <v>2</v>
      </c>
      <c r="N66" s="229" t="s">
        <v>29</v>
      </c>
      <c r="O66" s="234">
        <f>IF(L66&lt;&gt;"",VLOOKUP($B66,Invulblad!$A$11:$S$103,9,0),"")</f>
        <v>0</v>
      </c>
      <c r="P66" s="235">
        <f t="shared" si="11"/>
        <v>0</v>
      </c>
    </row>
    <row r="67" spans="1:16">
      <c r="A67" s="205">
        <v>61</v>
      </c>
      <c r="B67" s="212">
        <v>47</v>
      </c>
      <c r="C67" s="226">
        <v>40354</v>
      </c>
      <c r="D67" s="227">
        <v>0.85416666666666663</v>
      </c>
      <c r="E67" s="228" t="s">
        <v>167</v>
      </c>
      <c r="F67" s="229" t="s">
        <v>29</v>
      </c>
      <c r="G67" s="212" t="s">
        <v>169</v>
      </c>
      <c r="H67" s="229">
        <v>1</v>
      </c>
      <c r="I67" s="229" t="s">
        <v>29</v>
      </c>
      <c r="J67" s="229">
        <v>1</v>
      </c>
      <c r="K67" s="235">
        <f t="shared" si="8"/>
        <v>3</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0</v>
      </c>
      <c r="I68" s="229" t="s">
        <v>29</v>
      </c>
      <c r="J68" s="229">
        <v>1</v>
      </c>
      <c r="K68" s="235">
        <f t="shared" si="8"/>
        <v>2</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214</v>
      </c>
      <c r="F70" s="229" t="s">
        <v>29</v>
      </c>
      <c r="G70" s="212" t="s">
        <v>118</v>
      </c>
      <c r="H70" s="229">
        <v>1</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c r="A71" s="205">
        <v>66</v>
      </c>
      <c r="B71" s="212">
        <v>50</v>
      </c>
      <c r="C71" s="226">
        <v>40355</v>
      </c>
      <c r="D71" s="227">
        <v>0.85416666666666663</v>
      </c>
      <c r="E71" s="223" t="s">
        <v>32</v>
      </c>
      <c r="F71" s="229" t="s">
        <v>29</v>
      </c>
      <c r="G71" s="212" t="s">
        <v>242</v>
      </c>
      <c r="H71" s="229">
        <v>3</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124</v>
      </c>
      <c r="H72" s="229">
        <v>2</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205</v>
      </c>
      <c r="H73" s="229">
        <v>2</v>
      </c>
      <c r="I73" s="229" t="s">
        <v>29</v>
      </c>
      <c r="J73" s="229">
        <v>2</v>
      </c>
      <c r="K73" s="235">
        <f t="shared" si="8"/>
        <v>3</v>
      </c>
      <c r="L73" s="233" t="str">
        <f>VLOOKUP($B73,Invulblad!$A$11:$S$103,13,0)</f>
        <v>1</v>
      </c>
      <c r="M73" s="234">
        <f>IF(L73&lt;&gt;"",VLOOKUP($B73,Invulblad!$A$11:$S$103,7,0),"")</f>
        <v>3</v>
      </c>
      <c r="N73" s="229" t="s">
        <v>29</v>
      </c>
      <c r="O73" s="234">
        <f>IF(L73&lt;&gt;"",VLOOKUP($B73,Invulblad!$A$11:$S$103,9,0),"")</f>
        <v>1</v>
      </c>
      <c r="P73" s="235">
        <f t="shared" si="12"/>
        <v>0</v>
      </c>
    </row>
    <row r="74" spans="1:16">
      <c r="A74" s="205">
        <v>69</v>
      </c>
      <c r="B74" s="212">
        <v>53</v>
      </c>
      <c r="C74" s="226">
        <v>40357</v>
      </c>
      <c r="D74" s="227">
        <v>0.66666666666666663</v>
      </c>
      <c r="E74" s="223" t="s">
        <v>178</v>
      </c>
      <c r="F74" s="229" t="s">
        <v>29</v>
      </c>
      <c r="G74" s="212" t="s">
        <v>257</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274</v>
      </c>
      <c r="H75" s="229">
        <v>3</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10</v>
      </c>
    </row>
    <row r="76" spans="1:16">
      <c r="A76" s="205">
        <v>71</v>
      </c>
      <c r="B76" s="212">
        <v>55</v>
      </c>
      <c r="C76" s="226">
        <v>40358</v>
      </c>
      <c r="D76" s="227">
        <v>0.66666666666666663</v>
      </c>
      <c r="E76" s="228" t="s">
        <v>259</v>
      </c>
      <c r="F76" s="229" t="s">
        <v>29</v>
      </c>
      <c r="G76" s="222" t="s">
        <v>250</v>
      </c>
      <c r="H76" s="229">
        <v>0</v>
      </c>
      <c r="I76" s="229" t="s">
        <v>29</v>
      </c>
      <c r="J76" s="229">
        <v>0</v>
      </c>
      <c r="K76" s="235">
        <f t="shared" si="8"/>
        <v>3</v>
      </c>
      <c r="L76" s="233">
        <f>VLOOKUP($B76,Invulblad!$A$11:$S$103,13,0)</f>
        <v>3</v>
      </c>
      <c r="M76" s="234">
        <f>IF(L76&lt;&gt;"",VLOOKUP($B76,Invulblad!$A$11:$S$103,7,0),"")</f>
        <v>0</v>
      </c>
      <c r="N76" s="229" t="s">
        <v>29</v>
      </c>
      <c r="O76" s="234">
        <f>IF(L76&lt;&gt;"",VLOOKUP($B76,Invulblad!$A$11:$S$103,9,0),"")</f>
        <v>0</v>
      </c>
      <c r="P76" s="235">
        <f t="shared" si="12"/>
        <v>10</v>
      </c>
    </row>
    <row r="77" spans="1:16">
      <c r="A77" s="205">
        <v>72</v>
      </c>
      <c r="B77" s="212">
        <v>56</v>
      </c>
      <c r="C77" s="226">
        <v>40358</v>
      </c>
      <c r="D77" s="227">
        <v>0.85416666666666663</v>
      </c>
      <c r="E77" s="223" t="s">
        <v>200</v>
      </c>
      <c r="F77" s="229" t="s">
        <v>29</v>
      </c>
      <c r="G77" s="212" t="s">
        <v>269</v>
      </c>
      <c r="H77" s="229">
        <v>3</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3</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3" t="s">
        <v>214</v>
      </c>
      <c r="F80" s="229" t="s">
        <v>29</v>
      </c>
      <c r="G80" s="212" t="s">
        <v>32</v>
      </c>
      <c r="H80" s="229">
        <v>1</v>
      </c>
      <c r="I80" s="229" t="s">
        <v>29</v>
      </c>
      <c r="J80" s="229">
        <v>1</v>
      </c>
      <c r="K80" s="235">
        <f t="shared" si="13"/>
        <v>3</v>
      </c>
      <c r="L80" s="233">
        <f>VLOOKUP($B80,Invulblad!$A$11:$S$103,13,0)</f>
        <v>3</v>
      </c>
      <c r="M80" s="234">
        <f>IF(L80&lt;&gt;"",VLOOKUP($B80,Invulblad!$A$11:$S$103,7,0),"")</f>
        <v>1</v>
      </c>
      <c r="N80" s="229" t="s">
        <v>29</v>
      </c>
      <c r="O80" s="234">
        <f>IF(L80&lt;&gt;"",VLOOKUP($B80,Invulblad!$A$11:$S$103,9,0),"")</f>
        <v>1</v>
      </c>
      <c r="P80" s="235">
        <f>IF(L80&lt;&gt;"",IF(AND(M80=H80,O80=J80),10,IF(K80=L80,5,0)),"")</f>
        <v>10</v>
      </c>
    </row>
    <row r="81" spans="1:16">
      <c r="A81" s="205">
        <v>77</v>
      </c>
      <c r="B81" s="212">
        <v>59</v>
      </c>
      <c r="C81" s="226">
        <v>40362</v>
      </c>
      <c r="D81" s="227">
        <v>0.66666666666666663</v>
      </c>
      <c r="E81" s="228" t="s">
        <v>116</v>
      </c>
      <c r="F81" s="229" t="s">
        <v>29</v>
      </c>
      <c r="G81" s="222" t="s">
        <v>239</v>
      </c>
      <c r="H81" s="229">
        <v>1</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250</v>
      </c>
      <c r="F82" s="229" t="s">
        <v>29</v>
      </c>
      <c r="G82" s="222" t="s">
        <v>200</v>
      </c>
      <c r="H82" s="229">
        <v>0</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214</v>
      </c>
      <c r="F84" s="229" t="s">
        <v>29</v>
      </c>
      <c r="G84" s="222" t="s">
        <v>265</v>
      </c>
      <c r="H84" s="229">
        <v>0</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239</v>
      </c>
      <c r="F85" s="229" t="s">
        <v>29</v>
      </c>
      <c r="G85" s="212" t="s">
        <v>200</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214</v>
      </c>
      <c r="F87" s="229" t="s">
        <v>29</v>
      </c>
      <c r="G87" s="222" t="s">
        <v>200</v>
      </c>
      <c r="H87" s="229">
        <v>0</v>
      </c>
      <c r="I87" s="229" t="s">
        <v>29</v>
      </c>
      <c r="J87" s="229">
        <v>2</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239</v>
      </c>
      <c r="H89" s="229">
        <v>2</v>
      </c>
      <c r="I89" s="229" t="s">
        <v>29</v>
      </c>
      <c r="J89" s="229">
        <v>2</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214</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211</v>
      </c>
      <c r="D101" s="241" t="s">
        <v>212</v>
      </c>
      <c r="E101" s="241" t="s">
        <v>213</v>
      </c>
    </row>
    <row r="102" spans="2:5">
      <c r="B102" s="242" t="s">
        <v>214</v>
      </c>
      <c r="C102" s="242" t="s">
        <v>234</v>
      </c>
      <c r="D102" s="242" t="s">
        <v>213</v>
      </c>
      <c r="E102" s="242" t="s">
        <v>217</v>
      </c>
    </row>
    <row r="103" spans="2:5">
      <c r="B103" s="241" t="s">
        <v>109</v>
      </c>
      <c r="C103" s="241" t="s">
        <v>218</v>
      </c>
      <c r="D103" s="241" t="s">
        <v>233</v>
      </c>
      <c r="E103" s="241" t="s">
        <v>212</v>
      </c>
    </row>
    <row r="104" spans="2:5">
      <c r="B104" s="242" t="s">
        <v>107</v>
      </c>
      <c r="C104" s="242" t="s">
        <v>211</v>
      </c>
      <c r="D104" s="242" t="s">
        <v>212</v>
      </c>
      <c r="E104" s="242" t="s">
        <v>213</v>
      </c>
    </row>
    <row r="107" spans="2:5">
      <c r="B107" s="218" t="s">
        <v>219</v>
      </c>
    </row>
    <row r="108" spans="2:5">
      <c r="B108" s="212"/>
    </row>
    <row r="109" spans="2:5">
      <c r="B109" s="212" t="s">
        <v>220</v>
      </c>
    </row>
    <row r="110" spans="2:5">
      <c r="B110" s="212" t="s">
        <v>341</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118</v>
      </c>
    </row>
    <row r="122" spans="1:15">
      <c r="B122" s="218" t="s">
        <v>223</v>
      </c>
    </row>
    <row r="124" spans="1:15">
      <c r="B124" s="240" t="s">
        <v>207</v>
      </c>
      <c r="C124" s="240" t="s">
        <v>208</v>
      </c>
      <c r="D124" s="240" t="s">
        <v>209</v>
      </c>
      <c r="E124" s="240" t="s">
        <v>210</v>
      </c>
    </row>
    <row r="125" spans="1:15">
      <c r="B125" s="241" t="s">
        <v>120</v>
      </c>
      <c r="C125" s="241" t="s">
        <v>215</v>
      </c>
      <c r="D125" s="241" t="s">
        <v>216</v>
      </c>
      <c r="E125" s="241" t="s">
        <v>218</v>
      </c>
    </row>
    <row r="126" spans="1:15">
      <c r="B126" s="242" t="s">
        <v>116</v>
      </c>
      <c r="C126" s="242" t="s">
        <v>234</v>
      </c>
      <c r="D126" s="242" t="s">
        <v>211</v>
      </c>
      <c r="E126" s="242" t="s">
        <v>226</v>
      </c>
    </row>
    <row r="127" spans="1:15">
      <c r="B127" s="241" t="s">
        <v>122</v>
      </c>
      <c r="C127" s="241" t="s">
        <v>218</v>
      </c>
      <c r="D127" s="241" t="s">
        <v>243</v>
      </c>
      <c r="E127" s="241" t="s">
        <v>218</v>
      </c>
    </row>
    <row r="128" spans="1:15">
      <c r="B128" s="242" t="s">
        <v>118</v>
      </c>
      <c r="C128" s="242" t="s">
        <v>226</v>
      </c>
      <c r="D128" s="242" t="s">
        <v>218</v>
      </c>
      <c r="E128" s="242" t="s">
        <v>211</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32</v>
      </c>
    </row>
    <row r="143" spans="1:15">
      <c r="A143" s="205" t="s">
        <v>78</v>
      </c>
      <c r="B143" s="206" t="s">
        <v>204</v>
      </c>
      <c r="C143" s="206" t="s">
        <v>203</v>
      </c>
      <c r="D143" s="218" t="s">
        <v>124</v>
      </c>
    </row>
    <row r="146" spans="2:5">
      <c r="B146" s="218" t="s">
        <v>232</v>
      </c>
    </row>
    <row r="148" spans="2:5">
      <c r="B148" s="240" t="s">
        <v>207</v>
      </c>
      <c r="C148" s="240" t="s">
        <v>208</v>
      </c>
      <c r="D148" s="240" t="s">
        <v>209</v>
      </c>
      <c r="E148" s="240" t="s">
        <v>210</v>
      </c>
    </row>
    <row r="149" spans="2:5">
      <c r="B149" s="241" t="s">
        <v>126</v>
      </c>
      <c r="C149" s="241" t="s">
        <v>213</v>
      </c>
      <c r="D149" s="241" t="s">
        <v>233</v>
      </c>
      <c r="E149" s="241" t="s">
        <v>215</v>
      </c>
    </row>
    <row r="150" spans="2:5">
      <c r="B150" s="242" t="s">
        <v>124</v>
      </c>
      <c r="C150" s="242" t="s">
        <v>211</v>
      </c>
      <c r="D150" s="242" t="s">
        <v>218</v>
      </c>
      <c r="E150" s="242" t="s">
        <v>217</v>
      </c>
    </row>
    <row r="151" spans="2:5">
      <c r="B151" s="241" t="s">
        <v>128</v>
      </c>
      <c r="C151" s="241" t="s">
        <v>215</v>
      </c>
      <c r="D151" s="241" t="s">
        <v>216</v>
      </c>
      <c r="E151" s="241" t="s">
        <v>218</v>
      </c>
    </row>
    <row r="152" spans="2:5">
      <c r="B152" s="242" t="s">
        <v>32</v>
      </c>
      <c r="C152" s="242" t="s">
        <v>234</v>
      </c>
      <c r="D152" s="242" t="s">
        <v>213</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234</v>
      </c>
      <c r="D173" s="241" t="s">
        <v>213</v>
      </c>
      <c r="E173" s="241" t="s">
        <v>217</v>
      </c>
    </row>
    <row r="174" spans="1:15">
      <c r="B174" s="242" t="s">
        <v>242</v>
      </c>
      <c r="C174" s="242" t="s">
        <v>226</v>
      </c>
      <c r="D174" s="242" t="s">
        <v>218</v>
      </c>
      <c r="E174" s="242" t="s">
        <v>217</v>
      </c>
    </row>
    <row r="175" spans="1:15">
      <c r="B175" s="241" t="s">
        <v>244</v>
      </c>
      <c r="C175" s="241" t="s">
        <v>218</v>
      </c>
      <c r="D175" s="241" t="s">
        <v>233</v>
      </c>
      <c r="E175" s="241" t="s">
        <v>213</v>
      </c>
    </row>
    <row r="176" spans="1:15">
      <c r="B176" s="242" t="s">
        <v>240</v>
      </c>
      <c r="C176" s="242" t="s">
        <v>213</v>
      </c>
      <c r="D176" s="242" t="s">
        <v>216</v>
      </c>
      <c r="E176" s="242" t="s">
        <v>211</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15">
      <c r="B194" s="218" t="s">
        <v>249</v>
      </c>
    </row>
    <row r="196" spans="2:15">
      <c r="B196" s="240" t="s">
        <v>207</v>
      </c>
      <c r="C196" s="240" t="s">
        <v>208</v>
      </c>
      <c r="D196" s="240" t="s">
        <v>209</v>
      </c>
      <c r="E196" s="240" t="s">
        <v>210</v>
      </c>
    </row>
    <row r="197" spans="2:15">
      <c r="B197" s="241" t="s">
        <v>178</v>
      </c>
      <c r="C197" s="241" t="s">
        <v>234</v>
      </c>
      <c r="D197" s="241" t="s">
        <v>213</v>
      </c>
      <c r="E197" s="241" t="s">
        <v>234</v>
      </c>
    </row>
    <row r="198" spans="2:15">
      <c r="B198" s="242" t="s">
        <v>250</v>
      </c>
      <c r="C198" s="242" t="s">
        <v>226</v>
      </c>
      <c r="D198" s="242" t="s">
        <v>215</v>
      </c>
      <c r="E198" s="242" t="s">
        <v>217</v>
      </c>
    </row>
    <row r="199" spans="2:15">
      <c r="B199" s="241" t="s">
        <v>251</v>
      </c>
      <c r="C199" s="241" t="s">
        <v>218</v>
      </c>
      <c r="D199" s="241" t="s">
        <v>243</v>
      </c>
      <c r="E199" s="241" t="s">
        <v>213</v>
      </c>
    </row>
    <row r="200" spans="2:15">
      <c r="B200" s="242" t="s">
        <v>248</v>
      </c>
      <c r="C200" s="242" t="s">
        <v>215</v>
      </c>
      <c r="D200" s="242" t="s">
        <v>216</v>
      </c>
      <c r="E200" s="242" t="s">
        <v>217</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259</v>
      </c>
    </row>
    <row r="215" spans="1:10">
      <c r="A215" s="205" t="s">
        <v>84</v>
      </c>
      <c r="B215" s="206" t="s">
        <v>204</v>
      </c>
      <c r="C215" s="206" t="s">
        <v>203</v>
      </c>
      <c r="D215" s="218" t="s">
        <v>257</v>
      </c>
    </row>
    <row r="218" spans="1:10">
      <c r="B218" s="218" t="s">
        <v>258</v>
      </c>
    </row>
    <row r="220" spans="1:10">
      <c r="B220" s="240" t="s">
        <v>207</v>
      </c>
      <c r="C220" s="240" t="s">
        <v>208</v>
      </c>
      <c r="D220" s="240" t="s">
        <v>209</v>
      </c>
      <c r="E220" s="240" t="s">
        <v>210</v>
      </c>
    </row>
    <row r="221" spans="1:10">
      <c r="B221" s="241" t="s">
        <v>257</v>
      </c>
      <c r="C221" s="241" t="s">
        <v>226</v>
      </c>
      <c r="D221" s="241" t="s">
        <v>215</v>
      </c>
      <c r="E221" s="241" t="s">
        <v>211</v>
      </c>
    </row>
    <row r="222" spans="1:10">
      <c r="B222" s="242" t="s">
        <v>259</v>
      </c>
      <c r="C222" s="242" t="s">
        <v>234</v>
      </c>
      <c r="D222" s="242" t="s">
        <v>213</v>
      </c>
      <c r="E222" s="242" t="s">
        <v>226</v>
      </c>
    </row>
    <row r="223" spans="1:10">
      <c r="B223" s="241" t="s">
        <v>182</v>
      </c>
      <c r="C223" s="241" t="s">
        <v>212</v>
      </c>
      <c r="D223" s="241" t="s">
        <v>224</v>
      </c>
      <c r="E223" s="241" t="s">
        <v>218</v>
      </c>
    </row>
    <row r="224" spans="1:10">
      <c r="B224" s="242" t="s">
        <v>260</v>
      </c>
      <c r="C224" s="242" t="s">
        <v>211</v>
      </c>
      <c r="D224" s="242" t="s">
        <v>212</v>
      </c>
      <c r="E224" s="242" t="s">
        <v>215</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269</v>
      </c>
    </row>
    <row r="242" spans="2:10">
      <c r="B242" s="218" t="s">
        <v>267</v>
      </c>
    </row>
    <row r="244" spans="2:10">
      <c r="B244" s="240" t="s">
        <v>207</v>
      </c>
      <c r="C244" s="240" t="s">
        <v>208</v>
      </c>
      <c r="D244" s="240" t="s">
        <v>209</v>
      </c>
      <c r="E244" s="240" t="s">
        <v>210</v>
      </c>
    </row>
    <row r="245" spans="2:10">
      <c r="B245" s="241" t="s">
        <v>268</v>
      </c>
      <c r="C245" s="241" t="s">
        <v>213</v>
      </c>
      <c r="D245" s="241" t="s">
        <v>212</v>
      </c>
      <c r="E245" s="241" t="s">
        <v>211</v>
      </c>
    </row>
    <row r="246" spans="2:10">
      <c r="B246" s="242" t="s">
        <v>265</v>
      </c>
      <c r="C246" s="242" t="s">
        <v>217</v>
      </c>
      <c r="D246" s="242" t="s">
        <v>213</v>
      </c>
      <c r="E246" s="242" t="s">
        <v>234</v>
      </c>
    </row>
    <row r="247" spans="2:10">
      <c r="B247" s="241" t="s">
        <v>266</v>
      </c>
      <c r="C247" s="241" t="s">
        <v>215</v>
      </c>
      <c r="D247" s="241" t="s">
        <v>216</v>
      </c>
      <c r="E247" s="241" t="s">
        <v>211</v>
      </c>
    </row>
    <row r="248" spans="2:10">
      <c r="B248" s="242" t="s">
        <v>269</v>
      </c>
      <c r="C248" s="242" t="s">
        <v>211</v>
      </c>
      <c r="D248" s="242" t="s">
        <v>227</v>
      </c>
      <c r="E248" s="242" t="s">
        <v>213</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217</v>
      </c>
      <c r="D268" s="241" t="s">
        <v>215</v>
      </c>
      <c r="E268" s="241" t="s">
        <v>211</v>
      </c>
    </row>
    <row r="269" spans="1:5">
      <c r="B269" s="242" t="s">
        <v>200</v>
      </c>
      <c r="C269" s="242" t="s">
        <v>217</v>
      </c>
      <c r="D269" s="242" t="s">
        <v>215</v>
      </c>
      <c r="E269" s="242" t="s">
        <v>217</v>
      </c>
    </row>
    <row r="270" spans="1:5">
      <c r="B270" s="241" t="s">
        <v>276</v>
      </c>
      <c r="C270" s="241" t="s">
        <v>212</v>
      </c>
      <c r="D270" s="241" t="s">
        <v>224</v>
      </c>
      <c r="E270" s="241" t="s">
        <v>218</v>
      </c>
    </row>
    <row r="271" spans="1:5">
      <c r="B271" s="242" t="s">
        <v>277</v>
      </c>
      <c r="C271" s="242" t="s">
        <v>217</v>
      </c>
      <c r="D271" s="242" t="s">
        <v>218</v>
      </c>
      <c r="E271" s="242" t="s">
        <v>213</v>
      </c>
    </row>
    <row r="274" spans="2:15">
      <c r="B274" s="218" t="s">
        <v>278</v>
      </c>
    </row>
    <row r="275" spans="2:15">
      <c r="B275" s="212"/>
    </row>
    <row r="276" spans="2:15">
      <c r="B276" s="212" t="s">
        <v>342</v>
      </c>
    </row>
    <row r="277" spans="2:15">
      <c r="B277" s="212"/>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5.xml><?xml version="1.0" encoding="utf-8"?>
<worksheet xmlns="http://schemas.openxmlformats.org/spreadsheetml/2006/main" xmlns:r="http://schemas.openxmlformats.org/officeDocument/2006/relationships">
  <dimension ref="A1:Q309"/>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351</v>
      </c>
      <c r="L1" s="211"/>
      <c r="P1" s="210">
        <f>SUM(P14:P89)+E11+H11+L7+L11</f>
        <v>415</v>
      </c>
    </row>
    <row r="2" spans="1:17" s="212" customFormat="1" ht="15" customHeight="1">
      <c r="B2" s="213" t="s">
        <v>97</v>
      </c>
      <c r="G2" s="213" t="s">
        <v>98</v>
      </c>
      <c r="J2" s="213" t="s">
        <v>99</v>
      </c>
      <c r="L2" s="214"/>
    </row>
    <row r="3" spans="1:17" s="212" customFormat="1" ht="15" customHeight="1">
      <c r="B3" s="212" t="str">
        <f t="shared" ref="B3:B10" si="0">E70</f>
        <v>Uruguay</v>
      </c>
      <c r="C3" s="247">
        <f>IF(AND(ISNA(MATCH(B3,Invulblad!$F$76:$F$83,0)),ISNA(MATCH(B3,Invulblad!$J$76:$J$83,0))),0,10)</f>
        <v>10</v>
      </c>
      <c r="D3" s="212" t="str">
        <f t="shared" ref="D3:D10" si="1">G70</f>
        <v>Argentinië</v>
      </c>
      <c r="E3" s="247">
        <f>IF(AND(ISNA(MATCH(D3,Invulblad!$F$76:$F$83,0)),ISNA(MATCH(D3,Invulblad!$J$76:$J$83,0))),0,10)</f>
        <v>10</v>
      </c>
      <c r="G3" s="212" t="str">
        <f>E79</f>
        <v>Italië</v>
      </c>
      <c r="H3" s="247">
        <f>IF(AND(ISNA(MATCH(G3,Invulblad!$F$87:$F$90,0)),ISNA(MATCH(G3,Invulblad!$J$87:$J$90,0))),0,15)</f>
        <v>0</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Uruguay</v>
      </c>
      <c r="H4" s="247">
        <f>IF(AND(ISNA(MATCH(G4,Invulblad!$F$87:$F$90,0)),ISNA(MATCH(G4,Invulblad!$J$87:$J$90,0))),0,15)</f>
        <v>15</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Algerije</v>
      </c>
      <c r="E5" s="247">
        <f>IF(AND(ISNA(MATCH(D5,Invulblad!$F$76:$F$83,0)),ISNA(MATCH(D5,Invulblad!$J$76:$J$83,0))),0,10)</f>
        <v>0</v>
      </c>
      <c r="G5" s="212" t="str">
        <f>E81</f>
        <v>Nigeria</v>
      </c>
      <c r="H5" s="247">
        <f>IF(AND(ISNA(MATCH(G5,Invulblad!$F$87:$F$90,0)),ISNA(MATCH(G5,Invulblad!$J$87:$J$90,0))),0,15)</f>
        <v>0</v>
      </c>
      <c r="J5" s="212" t="str">
        <f>G84</f>
        <v>Brazilië</v>
      </c>
      <c r="L5" s="247">
        <f>IF(AND(ISNA(MATCH(J5,Invulblad!$F$94:$F$95,0)),ISNA(MATCH(J5,Invulblad!$J$94:$J$95,0))),0,20+25)</f>
        <v>0</v>
      </c>
    </row>
    <row r="6" spans="1:17" s="212" customFormat="1" ht="15" customHeight="1">
      <c r="B6" s="212" t="str">
        <f t="shared" si="0"/>
        <v>Nigeria</v>
      </c>
      <c r="C6" s="247">
        <f>IF(AND(ISNA(MATCH(B6,Invulblad!$F$76:$F$83,0)),ISNA(MATCH(B6,Invulblad!$J$76:$J$83,0))),0,10)</f>
        <v>0</v>
      </c>
      <c r="D6" s="212" t="str">
        <f t="shared" si="1"/>
        <v>Frankrijk</v>
      </c>
      <c r="E6" s="247">
        <f>IF(AND(ISNA(MATCH(D6,Invulblad!$F$76:$F$83,0)),ISNA(MATCH(D6,Invulblad!$J$76:$J$83,0))),0,10)</f>
        <v>0</v>
      </c>
      <c r="G6" s="212" t="str">
        <f>E82</f>
        <v>Slowakije</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Italië</v>
      </c>
      <c r="E7" s="247">
        <f>IF(AND(ISNA(MATCH(D7,Invulblad!$F$76:$F$83,0)),ISNA(MATCH(D7,Invulblad!$J$76:$J$83,0))),0,10)</f>
        <v>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Slowakije</v>
      </c>
      <c r="C9" s="247">
        <f>IF(AND(ISNA(MATCH(B9,Invulblad!$F$76:$F$83,0)),ISNA(MATCH(B9,Invulblad!$J$76:$J$83,0))),0,10)</f>
        <v>10</v>
      </c>
      <c r="D9" s="212" t="str">
        <f t="shared" si="1"/>
        <v>Denemarken</v>
      </c>
      <c r="E9" s="247">
        <f>IF(AND(ISNA(MATCH(D9,Invulblad!$F$76:$F$83,0)),ISNA(MATCH(D9,Invulblad!$J$76:$J$83,0))),0,10)</f>
        <v>0</v>
      </c>
      <c r="G9" s="212" t="str">
        <f>G81</f>
        <v>Duitsland</v>
      </c>
      <c r="H9" s="247">
        <f>IF(AND(ISNA(MATCH(G9,Invulblad!$F$87:$F$90,0)),ISNA(MATCH(G9,Invulblad!$J$87:$J$90,0))),0,15)</f>
        <v>15</v>
      </c>
      <c r="J9" s="212" t="str">
        <f>E89</f>
        <v>Engeland</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Duitsland</v>
      </c>
      <c r="L10" s="247">
        <f>IF(AND(ISNA(MATCH(J10,Invulblad!$F$103,0)),ISNA(MATCH(J10,Invulblad!$J$103,0))),0,5)</f>
        <v>0</v>
      </c>
    </row>
    <row r="11" spans="1:17" s="212" customFormat="1" ht="15" customHeight="1">
      <c r="D11" s="215" t="s">
        <v>100</v>
      </c>
      <c r="E11" s="250">
        <f>SUM(C3:E10)</f>
        <v>90</v>
      </c>
      <c r="G11" s="215" t="s">
        <v>92</v>
      </c>
      <c r="H11" s="250">
        <f>SUM(H3:H10)</f>
        <v>60</v>
      </c>
      <c r="J11" s="215" t="s">
        <v>101</v>
      </c>
      <c r="K11" s="216"/>
      <c r="L11" s="250">
        <f>SUM(L9:L10)</f>
        <v>0</v>
      </c>
    </row>
    <row r="12" spans="1:17">
      <c r="B12" s="218" t="s">
        <v>19</v>
      </c>
      <c r="C12" s="218"/>
      <c r="D12" s="218"/>
      <c r="E12" s="219" t="str">
        <f>IF(H89&gt;J89,E89,G89)</f>
        <v>Duitsland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2</v>
      </c>
      <c r="I15" s="229"/>
      <c r="J15" s="229">
        <v>1</v>
      </c>
      <c r="K15" s="235" t="str">
        <f t="shared" si="2"/>
        <v>1</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0</v>
      </c>
      <c r="I16" s="229"/>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2</v>
      </c>
      <c r="I17" s="229"/>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c r="J18" s="229">
        <v>1</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3</v>
      </c>
      <c r="I19" s="229"/>
      <c r="J19" s="229">
        <v>1</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1</v>
      </c>
      <c r="I21" s="229" t="s">
        <v>29</v>
      </c>
      <c r="J21" s="229">
        <v>2</v>
      </c>
      <c r="K21" s="235">
        <f t="shared" si="2"/>
        <v>2</v>
      </c>
      <c r="L21" s="233" t="str">
        <f>VLOOKUP($B21,Invulblad!$A$11:$S$103,13,0)</f>
        <v>1</v>
      </c>
      <c r="M21" s="234">
        <f>IF(L21&lt;&gt;"",VLOOKUP($B21,Invulblad!$A$11:$S$103,7,0),"")</f>
        <v>1</v>
      </c>
      <c r="N21" s="229" t="s">
        <v>29</v>
      </c>
      <c r="O21" s="234">
        <f>IF(L21&lt;&gt;"",VLOOKUP($B21,Invulblad!$A$11:$S$103,9,0),"")</f>
        <v>0</v>
      </c>
      <c r="P21" s="235">
        <f t="shared" ref="P21:P26" si="4">IF(L21&lt;&gt;"",IF(AND(M21=H21,O21=J21),10,IF(K21=L21,5,0)),"")</f>
        <v>0</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1</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1</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3</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1</v>
      </c>
      <c r="K29" s="235">
        <f t="shared" si="2"/>
        <v>3</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1</v>
      </c>
      <c r="I30" s="229" t="s">
        <v>29</v>
      </c>
      <c r="J30" s="229">
        <v>2</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1</v>
      </c>
      <c r="I31" s="229" t="s">
        <v>29</v>
      </c>
      <c r="J31" s="229">
        <v>1</v>
      </c>
      <c r="K31" s="235">
        <f t="shared" si="2"/>
        <v>3</v>
      </c>
      <c r="L31" s="233">
        <f>VLOOKUP($B31,Invulblad!$A$11:$S$103,13,0)</f>
        <v>3</v>
      </c>
      <c r="M31" s="234">
        <f>IF(L31&lt;&gt;"",VLOOKUP($B31,Invulblad!$A$11:$S$103,7,0),"")</f>
        <v>0</v>
      </c>
      <c r="N31" s="229" t="s">
        <v>29</v>
      </c>
      <c r="O31" s="234">
        <f>IF(L31&lt;&gt;"",VLOOKUP($B31,Invulblad!$A$11:$S$103,9,0),"")</f>
        <v>0</v>
      </c>
      <c r="P31" s="235">
        <f t="shared" si="5"/>
        <v>5</v>
      </c>
    </row>
    <row r="32" spans="1:16">
      <c r="A32" s="205">
        <v>21</v>
      </c>
      <c r="B32" s="212">
        <v>37</v>
      </c>
      <c r="C32" s="226">
        <v>40352</v>
      </c>
      <c r="D32" s="227">
        <v>0.66666666666666663</v>
      </c>
      <c r="E32" s="228" t="s">
        <v>308</v>
      </c>
      <c r="F32" s="229" t="s">
        <v>29</v>
      </c>
      <c r="G32" s="212" t="s">
        <v>130</v>
      </c>
      <c r="H32" s="229">
        <v>1</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1</v>
      </c>
      <c r="I33" s="229" t="s">
        <v>29</v>
      </c>
      <c r="J33" s="229">
        <v>2</v>
      </c>
      <c r="K33" s="235">
        <f t="shared" si="2"/>
        <v>2</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1</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0</v>
      </c>
      <c r="I36" s="229" t="s">
        <v>29</v>
      </c>
      <c r="J36" s="229">
        <v>0</v>
      </c>
      <c r="K36" s="235">
        <f t="shared" si="2"/>
        <v>3</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1</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0</v>
      </c>
      <c r="K38" s="235" t="str">
        <f t="shared" si="2"/>
        <v>1</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3</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2</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3</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10</v>
      </c>
    </row>
    <row r="46" spans="1:16">
      <c r="A46" s="205">
        <v>37</v>
      </c>
      <c r="B46" s="212">
        <v>43</v>
      </c>
      <c r="C46" s="226">
        <v>40353</v>
      </c>
      <c r="D46" s="227">
        <v>0.85416666666666663</v>
      </c>
      <c r="E46" s="228" t="s">
        <v>145</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0</v>
      </c>
      <c r="I49" s="229" t="s">
        <v>29</v>
      </c>
      <c r="J49" s="229">
        <v>0</v>
      </c>
      <c r="K49" s="235">
        <f t="shared" si="8"/>
        <v>3</v>
      </c>
      <c r="L49" s="233">
        <f>VLOOKUP($B49,Invulblad!$A$11:$S$103,13,0)</f>
        <v>3</v>
      </c>
      <c r="M49" s="234">
        <f>IF(L49&lt;&gt;"",VLOOKUP($B49,Invulblad!$A$11:$S$103,7,0),"")</f>
        <v>1</v>
      </c>
      <c r="N49" s="229" t="s">
        <v>29</v>
      </c>
      <c r="O49" s="234">
        <f>IF(L49&lt;&gt;"",VLOOKUP($B49,Invulblad!$A$11:$S$103,9,0),"")</f>
        <v>1</v>
      </c>
      <c r="P49" s="235">
        <f t="shared" ref="P49:P54" si="9">IF(L49&lt;&gt;"",IF(AND(M49=H49,O49=J49),10,IF(K49=L49,5,0)),"")</f>
        <v>5</v>
      </c>
    </row>
    <row r="50" spans="1:16">
      <c r="A50" s="205">
        <v>42</v>
      </c>
      <c r="B50" s="212">
        <v>12</v>
      </c>
      <c r="C50" s="226">
        <v>40344</v>
      </c>
      <c r="D50" s="227">
        <v>0.5625</v>
      </c>
      <c r="E50" s="228" t="s">
        <v>149</v>
      </c>
      <c r="F50" s="229" t="s">
        <v>29</v>
      </c>
      <c r="G50" s="212" t="s">
        <v>150</v>
      </c>
      <c r="H50" s="229">
        <v>0</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2</v>
      </c>
      <c r="I51" s="229" t="s">
        <v>29</v>
      </c>
      <c r="J51" s="229">
        <v>1</v>
      </c>
      <c r="K51" s="235" t="str">
        <f t="shared" si="8"/>
        <v>1</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4</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2</v>
      </c>
      <c r="I56" s="229" t="s">
        <v>29</v>
      </c>
      <c r="J56" s="229">
        <v>1</v>
      </c>
      <c r="K56" s="235" t="str">
        <f t="shared" si="8"/>
        <v>1</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2</v>
      </c>
      <c r="I57" s="229" t="s">
        <v>29</v>
      </c>
      <c r="J57" s="229">
        <v>1</v>
      </c>
      <c r="K57" s="235" t="str">
        <f t="shared" si="8"/>
        <v>1</v>
      </c>
      <c r="L57" s="233" t="str">
        <f>VLOOKUP($B57,Invulblad!$A$11:$S$103,13,0)</f>
        <v>1</v>
      </c>
      <c r="M57" s="234">
        <f>IF(L57&lt;&gt;"",VLOOKUP($B57,Invulblad!$A$11:$S$103,7,0),"")</f>
        <v>2</v>
      </c>
      <c r="N57" s="229" t="s">
        <v>29</v>
      </c>
      <c r="O57" s="234">
        <f>IF(L57&lt;&gt;"",VLOOKUP($B57,Invulblad!$A$11:$S$103,9,0),"")</f>
        <v>1</v>
      </c>
      <c r="P57" s="235">
        <f t="shared" si="10"/>
        <v>10</v>
      </c>
    </row>
    <row r="58" spans="1:16">
      <c r="A58" s="205">
        <v>51</v>
      </c>
      <c r="B58" s="212">
        <v>29</v>
      </c>
      <c r="C58" s="226">
        <v>40349</v>
      </c>
      <c r="D58" s="227">
        <v>0.85416666666666663</v>
      </c>
      <c r="E58" s="228" t="s">
        <v>157</v>
      </c>
      <c r="F58" s="229" t="s">
        <v>29</v>
      </c>
      <c r="G58" s="212" t="s">
        <v>159</v>
      </c>
      <c r="H58" s="229">
        <v>2</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3</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1</v>
      </c>
      <c r="K65" s="235" t="str">
        <f t="shared" si="8"/>
        <v>1</v>
      </c>
      <c r="L65" s="233" t="str">
        <f>VLOOKUP($B65,Invulblad!$A$11:$S$103,13,0)</f>
        <v>1</v>
      </c>
      <c r="M65" s="234">
        <f>IF(L65&lt;&gt;"",VLOOKUP($B65,Invulblad!$A$11:$S$103,7,0),"")</f>
        <v>1</v>
      </c>
      <c r="N65" s="229" t="s">
        <v>29</v>
      </c>
      <c r="O65" s="234">
        <f>IF(L65&lt;&gt;"",VLOOKUP($B65,Invulblad!$A$11:$S$103,9,0),"")</f>
        <v>0</v>
      </c>
      <c r="P65" s="235">
        <f t="shared" si="11"/>
        <v>5</v>
      </c>
    </row>
    <row r="66" spans="1:16">
      <c r="A66" s="205">
        <v>60</v>
      </c>
      <c r="B66" s="212">
        <v>32</v>
      </c>
      <c r="C66" s="226">
        <v>40350</v>
      </c>
      <c r="D66" s="227">
        <v>0.85416666666666663</v>
      </c>
      <c r="E66" s="228" t="s">
        <v>165</v>
      </c>
      <c r="F66" s="229" t="s">
        <v>29</v>
      </c>
      <c r="G66" s="212" t="s">
        <v>168</v>
      </c>
      <c r="H66" s="229">
        <v>2</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10</v>
      </c>
    </row>
    <row r="67" spans="1:16">
      <c r="A67" s="205">
        <v>61</v>
      </c>
      <c r="B67" s="212">
        <v>47</v>
      </c>
      <c r="C67" s="226">
        <v>40354</v>
      </c>
      <c r="D67" s="227">
        <v>0.85416666666666663</v>
      </c>
      <c r="E67" s="228" t="s">
        <v>167</v>
      </c>
      <c r="F67" s="229" t="s">
        <v>29</v>
      </c>
      <c r="G67" s="212" t="s">
        <v>169</v>
      </c>
      <c r="H67" s="229">
        <v>1</v>
      </c>
      <c r="I67" s="229" t="s">
        <v>29</v>
      </c>
      <c r="J67" s="229">
        <v>3</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109</v>
      </c>
      <c r="F70" s="229" t="s">
        <v>29</v>
      </c>
      <c r="G70" s="230" t="s">
        <v>116</v>
      </c>
      <c r="H70" s="229">
        <v>1</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c r="A71" s="205">
        <v>66</v>
      </c>
      <c r="B71" s="212">
        <v>50</v>
      </c>
      <c r="C71" s="226">
        <v>40355</v>
      </c>
      <c r="D71" s="227">
        <v>0.85416666666666663</v>
      </c>
      <c r="E71" s="223" t="s">
        <v>124</v>
      </c>
      <c r="F71" s="229" t="s">
        <v>29</v>
      </c>
      <c r="G71" s="230" t="s">
        <v>240</v>
      </c>
      <c r="H71" s="229">
        <v>2</v>
      </c>
      <c r="I71" s="229" t="s">
        <v>29</v>
      </c>
      <c r="J71" s="229">
        <v>1</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126</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122</v>
      </c>
      <c r="F73" s="229" t="s">
        <v>29</v>
      </c>
      <c r="G73" s="212" t="s">
        <v>205</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8" t="s">
        <v>178</v>
      </c>
      <c r="F74" s="229" t="s">
        <v>29</v>
      </c>
      <c r="G74" s="212" t="s">
        <v>257</v>
      </c>
      <c r="H74" s="229">
        <v>0</v>
      </c>
      <c r="I74" s="229" t="s">
        <v>29</v>
      </c>
      <c r="J74" s="229">
        <v>0</v>
      </c>
      <c r="K74" s="235">
        <f t="shared" si="8"/>
        <v>3</v>
      </c>
      <c r="L74" s="233" t="str">
        <f>VLOOKUP($B74,Invulblad!$A$11:$S$103,13,0)</f>
        <v>1</v>
      </c>
      <c r="M74" s="234">
        <f>IF(L74&lt;&gt;"",VLOOKUP($B74,Invulblad!$A$11:$S$103,7,0),"")</f>
        <v>2</v>
      </c>
      <c r="N74" s="229" t="s">
        <v>29</v>
      </c>
      <c r="O74" s="234">
        <f>IF(L74&lt;&gt;"",VLOOKUP($B74,Invulblad!$A$11:$S$103,9,0),"")</f>
        <v>1</v>
      </c>
      <c r="P74" s="235">
        <f t="shared" si="12"/>
        <v>0</v>
      </c>
    </row>
    <row r="75" spans="1:16">
      <c r="A75" s="205">
        <v>70</v>
      </c>
      <c r="B75" s="212">
        <v>54</v>
      </c>
      <c r="C75" s="226">
        <v>40357</v>
      </c>
      <c r="D75" s="227">
        <v>0.85416666666666663</v>
      </c>
      <c r="E75" s="223" t="s">
        <v>265</v>
      </c>
      <c r="F75" s="229" t="s">
        <v>29</v>
      </c>
      <c r="G75" s="212" t="s">
        <v>274</v>
      </c>
      <c r="H75" s="229">
        <v>1</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260</v>
      </c>
      <c r="F76" s="229" t="s">
        <v>29</v>
      </c>
      <c r="G76" s="230" t="s">
        <v>250</v>
      </c>
      <c r="H76" s="229">
        <v>1</v>
      </c>
      <c r="I76" s="229" t="s">
        <v>29</v>
      </c>
      <c r="J76" s="229">
        <v>0</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06" t="s">
        <v>266</v>
      </c>
      <c r="H77" s="229">
        <v>1</v>
      </c>
      <c r="I77" s="229" t="s">
        <v>29</v>
      </c>
      <c r="J77" s="229">
        <v>0</v>
      </c>
      <c r="K77" s="235" t="str">
        <f t="shared" si="8"/>
        <v>1</v>
      </c>
      <c r="L77" s="233" t="str">
        <f>VLOOKUP($B77,Invulblad!$A$11:$S$103,13,0)</f>
        <v>1</v>
      </c>
      <c r="M77" s="234">
        <f>IF(L77&lt;&gt;"",VLOOKUP($B77,Invulblad!$A$11:$S$103,7,0),"")</f>
        <v>1</v>
      </c>
      <c r="N77" s="229" t="s">
        <v>29</v>
      </c>
      <c r="O77" s="234">
        <f>IF(L77&lt;&gt;"",VLOOKUP($B77,Invulblad!$A$11:$S$103,9,0),"")</f>
        <v>0</v>
      </c>
      <c r="P77" s="235">
        <f t="shared" si="12"/>
        <v>10</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257</v>
      </c>
      <c r="F79" s="229" t="s">
        <v>29</v>
      </c>
      <c r="G79" s="222" t="s">
        <v>265</v>
      </c>
      <c r="H79" s="229">
        <v>0</v>
      </c>
      <c r="I79" s="229" t="s">
        <v>29</v>
      </c>
      <c r="J79" s="229">
        <v>1</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109</v>
      </c>
      <c r="F80" s="229" t="s">
        <v>29</v>
      </c>
      <c r="G80" s="222" t="s">
        <v>124</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122</v>
      </c>
      <c r="F81" s="229" t="s">
        <v>29</v>
      </c>
      <c r="G81" s="222" t="s">
        <v>239</v>
      </c>
      <c r="H81" s="229">
        <v>0</v>
      </c>
      <c r="I81" s="229" t="s">
        <v>29</v>
      </c>
      <c r="J81" s="229">
        <v>1</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260</v>
      </c>
      <c r="F82" s="229" t="s">
        <v>29</v>
      </c>
      <c r="G82" s="218" t="s">
        <v>200</v>
      </c>
      <c r="H82" s="229">
        <v>0</v>
      </c>
      <c r="I82" s="229" t="s">
        <v>29</v>
      </c>
      <c r="J82" s="229">
        <v>1</v>
      </c>
      <c r="K82" s="235">
        <f t="shared" si="13"/>
        <v>2</v>
      </c>
      <c r="L82" s="233">
        <f>VLOOKUP($B82,Invulblad!$A$11:$S$103,13,0)</f>
        <v>2</v>
      </c>
      <c r="M82" s="234">
        <f>IF(L82&lt;&gt;"",VLOOKUP($B82,Invulblad!$A$11:$S$103,7,0),"")</f>
        <v>0</v>
      </c>
      <c r="N82" s="229" t="s">
        <v>29</v>
      </c>
      <c r="O82" s="234">
        <f>IF(L82&lt;&gt;"",VLOOKUP($B82,Invulblad!$A$11:$S$103,9,0),"")</f>
        <v>1</v>
      </c>
      <c r="P82" s="235">
        <f>IF(L82&lt;&gt;"",IF(AND(M82=H82,O82=J82),10,IF(K82=L82,5,0)),"")</f>
        <v>10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3" t="s">
        <v>124</v>
      </c>
      <c r="F84" s="229" t="s">
        <v>29</v>
      </c>
      <c r="G84" s="212" t="s">
        <v>265</v>
      </c>
      <c r="H84" s="229">
        <v>1</v>
      </c>
      <c r="I84" s="229" t="s">
        <v>29</v>
      </c>
      <c r="J84" s="229">
        <v>0</v>
      </c>
      <c r="K84" s="235" t="str">
        <f t="shared" si="13"/>
        <v>1</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3" t="s">
        <v>239</v>
      </c>
      <c r="F85" s="229" t="s">
        <v>29</v>
      </c>
      <c r="G85" s="212" t="s">
        <v>200</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265</v>
      </c>
      <c r="F87" s="229" t="s">
        <v>29</v>
      </c>
      <c r="G87" s="222" t="s">
        <v>200</v>
      </c>
      <c r="H87" s="229">
        <v>1</v>
      </c>
      <c r="I87" s="229" t="s">
        <v>29</v>
      </c>
      <c r="J87" s="229">
        <v>3</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124</v>
      </c>
      <c r="F89" s="229" t="s">
        <v>29</v>
      </c>
      <c r="G89" s="222" t="s">
        <v>239</v>
      </c>
      <c r="H89" s="229">
        <v>0</v>
      </c>
      <c r="I89" s="229" t="s">
        <v>29</v>
      </c>
      <c r="J89" s="229">
        <v>1</v>
      </c>
      <c r="K89" s="235">
        <f t="shared" si="13"/>
        <v>2</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109</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226</v>
      </c>
      <c r="D101" s="241" t="s">
        <v>215</v>
      </c>
      <c r="E101" s="241" t="s">
        <v>226</v>
      </c>
    </row>
    <row r="102" spans="2:5">
      <c r="B102" s="242" t="s">
        <v>214</v>
      </c>
      <c r="C102" s="242" t="s">
        <v>211</v>
      </c>
      <c r="D102" s="242" t="s">
        <v>212</v>
      </c>
      <c r="E102" s="242" t="s">
        <v>211</v>
      </c>
    </row>
    <row r="103" spans="2:5">
      <c r="B103" s="241" t="s">
        <v>109</v>
      </c>
      <c r="C103" s="241" t="s">
        <v>234</v>
      </c>
      <c r="D103" s="241" t="s">
        <v>213</v>
      </c>
      <c r="E103" s="241" t="s">
        <v>217</v>
      </c>
    </row>
    <row r="104" spans="2:5">
      <c r="B104" s="242" t="s">
        <v>107</v>
      </c>
      <c r="C104" s="242" t="s">
        <v>212</v>
      </c>
      <c r="D104" s="242" t="s">
        <v>224</v>
      </c>
      <c r="E104" s="242" t="s">
        <v>215</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122</v>
      </c>
    </row>
    <row r="119" spans="1:15">
      <c r="A119" s="205" t="s">
        <v>76</v>
      </c>
      <c r="B119" s="206" t="s">
        <v>204</v>
      </c>
      <c r="C119" s="206" t="s">
        <v>203</v>
      </c>
      <c r="D119" s="218" t="s">
        <v>116</v>
      </c>
    </row>
    <row r="122" spans="1:15">
      <c r="B122" s="218" t="s">
        <v>223</v>
      </c>
    </row>
    <row r="124" spans="1:15">
      <c r="B124" s="240" t="s">
        <v>207</v>
      </c>
      <c r="C124" s="240" t="s">
        <v>208</v>
      </c>
      <c r="D124" s="240" t="s">
        <v>209</v>
      </c>
      <c r="E124" s="240" t="s">
        <v>210</v>
      </c>
    </row>
    <row r="125" spans="1:15">
      <c r="B125" s="241" t="s">
        <v>120</v>
      </c>
      <c r="C125" s="241" t="s">
        <v>212</v>
      </c>
      <c r="D125" s="241" t="s">
        <v>233</v>
      </c>
      <c r="E125" s="241" t="s">
        <v>218</v>
      </c>
    </row>
    <row r="126" spans="1:15">
      <c r="B126" s="242" t="s">
        <v>116</v>
      </c>
      <c r="C126" s="242" t="s">
        <v>226</v>
      </c>
      <c r="D126" s="242" t="s">
        <v>218</v>
      </c>
      <c r="E126" s="242" t="s">
        <v>211</v>
      </c>
    </row>
    <row r="127" spans="1:15">
      <c r="B127" s="241" t="s">
        <v>122</v>
      </c>
      <c r="C127" s="241" t="s">
        <v>225</v>
      </c>
      <c r="D127" s="241" t="s">
        <v>213</v>
      </c>
      <c r="E127" s="241" t="s">
        <v>226</v>
      </c>
    </row>
    <row r="128" spans="1:15">
      <c r="B128" s="242" t="s">
        <v>118</v>
      </c>
      <c r="C128" s="242" t="s">
        <v>213</v>
      </c>
      <c r="D128" s="242" t="s">
        <v>216</v>
      </c>
      <c r="E128" s="242" t="s">
        <v>213</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126</v>
      </c>
    </row>
    <row r="146" spans="2:5">
      <c r="B146" s="218" t="s">
        <v>232</v>
      </c>
    </row>
    <row r="148" spans="2:5">
      <c r="B148" s="240" t="s">
        <v>207</v>
      </c>
      <c r="C148" s="240" t="s">
        <v>208</v>
      </c>
      <c r="D148" s="240" t="s">
        <v>209</v>
      </c>
      <c r="E148" s="240" t="s">
        <v>210</v>
      </c>
    </row>
    <row r="149" spans="2:5">
      <c r="B149" s="241" t="s">
        <v>126</v>
      </c>
      <c r="C149" s="241" t="s">
        <v>217</v>
      </c>
      <c r="D149" s="241" t="s">
        <v>218</v>
      </c>
      <c r="E149" s="241" t="s">
        <v>211</v>
      </c>
    </row>
    <row r="150" spans="2:5">
      <c r="B150" s="242" t="s">
        <v>124</v>
      </c>
      <c r="C150" s="242" t="s">
        <v>234</v>
      </c>
      <c r="D150" s="242" t="s">
        <v>213</v>
      </c>
      <c r="E150" s="242" t="s">
        <v>226</v>
      </c>
    </row>
    <row r="151" spans="2:5">
      <c r="B151" s="241" t="s">
        <v>128</v>
      </c>
      <c r="C151" s="241" t="s">
        <v>218</v>
      </c>
      <c r="D151" s="241" t="s">
        <v>227</v>
      </c>
      <c r="E151" s="241" t="s">
        <v>213</v>
      </c>
    </row>
    <row r="152" spans="2:5">
      <c r="B152" s="242" t="s">
        <v>32</v>
      </c>
      <c r="C152" s="242" t="s">
        <v>213</v>
      </c>
      <c r="D152" s="242" t="s">
        <v>227</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234</v>
      </c>
      <c r="D173" s="241" t="s">
        <v>213</v>
      </c>
      <c r="E173" s="241" t="s">
        <v>217</v>
      </c>
    </row>
    <row r="174" spans="1:15">
      <c r="B174" s="242" t="s">
        <v>242</v>
      </c>
      <c r="C174" s="242" t="s">
        <v>212</v>
      </c>
      <c r="D174" s="242" t="s">
        <v>233</v>
      </c>
      <c r="E174" s="242" t="s">
        <v>218</v>
      </c>
    </row>
    <row r="175" spans="1:15">
      <c r="B175" s="241" t="s">
        <v>244</v>
      </c>
      <c r="C175" s="241" t="s">
        <v>211</v>
      </c>
      <c r="D175" s="241" t="s">
        <v>216</v>
      </c>
      <c r="E175" s="241" t="s">
        <v>215</v>
      </c>
    </row>
    <row r="176" spans="1:15">
      <c r="B176" s="242" t="s">
        <v>240</v>
      </c>
      <c r="C176" s="242" t="s">
        <v>217</v>
      </c>
      <c r="D176" s="242" t="s">
        <v>218</v>
      </c>
      <c r="E176" s="242" t="s">
        <v>213</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15">
      <c r="B194" s="218" t="s">
        <v>249</v>
      </c>
    </row>
    <row r="196" spans="2:15">
      <c r="B196" s="240" t="s">
        <v>207</v>
      </c>
      <c r="C196" s="240" t="s">
        <v>208</v>
      </c>
      <c r="D196" s="240" t="s">
        <v>209</v>
      </c>
      <c r="E196" s="240" t="s">
        <v>210</v>
      </c>
    </row>
    <row r="197" spans="2:15">
      <c r="B197" s="241" t="s">
        <v>178</v>
      </c>
      <c r="C197" s="241" t="s">
        <v>225</v>
      </c>
      <c r="D197" s="241" t="s">
        <v>217</v>
      </c>
      <c r="E197" s="241" t="s">
        <v>234</v>
      </c>
    </row>
    <row r="198" spans="2:15">
      <c r="B198" s="242" t="s">
        <v>250</v>
      </c>
      <c r="C198" s="242" t="s">
        <v>226</v>
      </c>
      <c r="D198" s="242" t="s">
        <v>218</v>
      </c>
      <c r="E198" s="242" t="s">
        <v>217</v>
      </c>
    </row>
    <row r="199" spans="2:15">
      <c r="B199" s="241" t="s">
        <v>251</v>
      </c>
      <c r="C199" s="241" t="s">
        <v>212</v>
      </c>
      <c r="D199" s="241" t="s">
        <v>252</v>
      </c>
      <c r="E199" s="241" t="s">
        <v>218</v>
      </c>
    </row>
    <row r="200" spans="2:15">
      <c r="B200" s="242" t="s">
        <v>248</v>
      </c>
      <c r="C200" s="242" t="s">
        <v>213</v>
      </c>
      <c r="D200" s="242" t="s">
        <v>218</v>
      </c>
      <c r="E200" s="242" t="s">
        <v>217</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260</v>
      </c>
    </row>
    <row r="215" spans="1:10">
      <c r="A215" s="205" t="s">
        <v>84</v>
      </c>
      <c r="B215" s="206" t="s">
        <v>204</v>
      </c>
      <c r="C215" s="206" t="s">
        <v>203</v>
      </c>
      <c r="D215" s="218" t="s">
        <v>257</v>
      </c>
    </row>
    <row r="218" spans="1:10">
      <c r="B218" s="218" t="s">
        <v>258</v>
      </c>
    </row>
    <row r="220" spans="1:10">
      <c r="B220" s="240" t="s">
        <v>207</v>
      </c>
      <c r="C220" s="240" t="s">
        <v>208</v>
      </c>
      <c r="D220" s="240" t="s">
        <v>209</v>
      </c>
      <c r="E220" s="240" t="s">
        <v>210</v>
      </c>
    </row>
    <row r="221" spans="1:10">
      <c r="B221" s="241" t="s">
        <v>257</v>
      </c>
      <c r="C221" s="241" t="s">
        <v>217</v>
      </c>
      <c r="D221" s="241" t="s">
        <v>211</v>
      </c>
      <c r="E221" s="241" t="s">
        <v>217</v>
      </c>
    </row>
    <row r="222" spans="1:10">
      <c r="B222" s="242" t="s">
        <v>259</v>
      </c>
      <c r="C222" s="242" t="s">
        <v>212</v>
      </c>
      <c r="D222" s="242" t="s">
        <v>320</v>
      </c>
      <c r="E222" s="242" t="s">
        <v>212</v>
      </c>
    </row>
    <row r="223" spans="1:10">
      <c r="B223" s="241" t="s">
        <v>182</v>
      </c>
      <c r="C223" s="241" t="s">
        <v>211</v>
      </c>
      <c r="D223" s="241" t="s">
        <v>218</v>
      </c>
      <c r="E223" s="241" t="s">
        <v>213</v>
      </c>
    </row>
    <row r="224" spans="1:10">
      <c r="B224" s="242" t="s">
        <v>260</v>
      </c>
      <c r="C224" s="242" t="s">
        <v>234</v>
      </c>
      <c r="D224" s="242" t="s">
        <v>213</v>
      </c>
      <c r="E224" s="242" t="s">
        <v>217</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0">
      <c r="B242" s="218" t="s">
        <v>267</v>
      </c>
    </row>
    <row r="244" spans="2:10">
      <c r="B244" s="240" t="s">
        <v>207</v>
      </c>
      <c r="C244" s="240" t="s">
        <v>208</v>
      </c>
      <c r="D244" s="240" t="s">
        <v>209</v>
      </c>
      <c r="E244" s="240" t="s">
        <v>210</v>
      </c>
    </row>
    <row r="245" spans="2:10">
      <c r="B245" s="241" t="s">
        <v>268</v>
      </c>
      <c r="C245" s="241" t="s">
        <v>211</v>
      </c>
      <c r="D245" s="241" t="s">
        <v>218</v>
      </c>
      <c r="E245" s="241" t="s">
        <v>211</v>
      </c>
    </row>
    <row r="246" spans="2:10">
      <c r="B246" s="242" t="s">
        <v>265</v>
      </c>
      <c r="C246" s="242" t="s">
        <v>234</v>
      </c>
      <c r="D246" s="242" t="s">
        <v>213</v>
      </c>
      <c r="E246" s="242" t="s">
        <v>217</v>
      </c>
    </row>
    <row r="247" spans="2:10">
      <c r="B247" s="241" t="s">
        <v>266</v>
      </c>
      <c r="C247" s="241" t="s">
        <v>226</v>
      </c>
      <c r="D247" s="241" t="s">
        <v>212</v>
      </c>
      <c r="E247" s="241" t="s">
        <v>213</v>
      </c>
    </row>
    <row r="248" spans="2:10">
      <c r="B248" s="242" t="s">
        <v>269</v>
      </c>
      <c r="C248" s="242" t="s">
        <v>212</v>
      </c>
      <c r="D248" s="242" t="s">
        <v>243</v>
      </c>
      <c r="E248" s="242" t="s">
        <v>218</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226</v>
      </c>
      <c r="D268" s="241" t="s">
        <v>212</v>
      </c>
      <c r="E268" s="241" t="s">
        <v>217</v>
      </c>
    </row>
    <row r="269" spans="1:5">
      <c r="B269" s="242" t="s">
        <v>200</v>
      </c>
      <c r="C269" s="242" t="s">
        <v>225</v>
      </c>
      <c r="D269" s="242" t="s">
        <v>226</v>
      </c>
      <c r="E269" s="242" t="s">
        <v>316</v>
      </c>
    </row>
    <row r="270" spans="1:5">
      <c r="B270" s="241" t="s">
        <v>276</v>
      </c>
      <c r="C270" s="241" t="s">
        <v>213</v>
      </c>
      <c r="D270" s="241" t="s">
        <v>227</v>
      </c>
      <c r="E270" s="241" t="s">
        <v>213</v>
      </c>
    </row>
    <row r="271" spans="1:5">
      <c r="B271" s="242" t="s">
        <v>277</v>
      </c>
      <c r="C271" s="242" t="s">
        <v>212</v>
      </c>
      <c r="D271" s="242" t="s">
        <v>243</v>
      </c>
      <c r="E271" s="242" t="s">
        <v>218</v>
      </c>
    </row>
    <row r="273" spans="2:15">
      <c r="B273" s="218" t="s">
        <v>278</v>
      </c>
    </row>
    <row r="274" spans="2:15">
      <c r="B274" s="212"/>
    </row>
    <row r="275" spans="2:15">
      <c r="B275" s="212" t="s">
        <v>279</v>
      </c>
    </row>
    <row r="276" spans="2:15">
      <c r="B276" s="212" t="s">
        <v>280</v>
      </c>
    </row>
    <row r="279" spans="2:15">
      <c r="B279" s="243"/>
      <c r="C279" s="243"/>
      <c r="D279" s="243"/>
      <c r="E279" s="243"/>
      <c r="F279" s="243"/>
      <c r="G279" s="243"/>
      <c r="H279" s="243"/>
      <c r="I279" s="243"/>
      <c r="J279" s="243"/>
      <c r="K279" s="243"/>
      <c r="L279" s="244"/>
      <c r="M279" s="243"/>
      <c r="N279" s="243"/>
      <c r="O279" s="243"/>
    </row>
    <row r="284" spans="2:15">
      <c r="B284" s="206" t="s">
        <v>281</v>
      </c>
    </row>
    <row r="286" spans="2:15">
      <c r="B286" s="245" t="s">
        <v>282</v>
      </c>
    </row>
    <row r="287" spans="2:15">
      <c r="B287" s="245"/>
    </row>
    <row r="289" spans="2:2">
      <c r="B289" s="245" t="s">
        <v>283</v>
      </c>
    </row>
    <row r="290" spans="2:2">
      <c r="B290" s="245"/>
    </row>
    <row r="292" spans="2:2">
      <c r="B292" s="212"/>
    </row>
    <row r="293" spans="2:2">
      <c r="B293" s="222" t="s">
        <v>284</v>
      </c>
    </row>
    <row r="294" spans="2:2">
      <c r="B294" s="246" t="s">
        <v>285</v>
      </c>
    </row>
    <row r="295" spans="2:2">
      <c r="B295" s="246" t="s">
        <v>286</v>
      </c>
    </row>
    <row r="296" spans="2:2">
      <c r="B296" s="246" t="s">
        <v>287</v>
      </c>
    </row>
    <row r="297" spans="2:2">
      <c r="B297" s="246" t="s">
        <v>288</v>
      </c>
    </row>
    <row r="298" spans="2:2">
      <c r="B298" s="222" t="s">
        <v>289</v>
      </c>
    </row>
    <row r="299" spans="2:2">
      <c r="B299" s="246" t="s">
        <v>290</v>
      </c>
    </row>
    <row r="300" spans="2:2">
      <c r="B300" s="246" t="s">
        <v>291</v>
      </c>
    </row>
    <row r="301" spans="2:2">
      <c r="B301" s="246" t="s">
        <v>292</v>
      </c>
    </row>
    <row r="302" spans="2:2">
      <c r="B302" s="222" t="s">
        <v>293</v>
      </c>
    </row>
    <row r="303" spans="2:2">
      <c r="B303" s="246" t="s">
        <v>294</v>
      </c>
    </row>
    <row r="304" spans="2:2">
      <c r="B304" s="246" t="s">
        <v>295</v>
      </c>
    </row>
    <row r="305" spans="2:2">
      <c r="B305" s="246" t="s">
        <v>296</v>
      </c>
    </row>
    <row r="306" spans="2:2">
      <c r="B306" s="222" t="s">
        <v>297</v>
      </c>
    </row>
    <row r="307" spans="2:2">
      <c r="B307" s="246" t="s">
        <v>298</v>
      </c>
    </row>
    <row r="309" spans="2:2">
      <c r="B309"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6.xml><?xml version="1.0" encoding="utf-8"?>
<worksheet xmlns="http://schemas.openxmlformats.org/spreadsheetml/2006/main" xmlns:r="http://schemas.openxmlformats.org/officeDocument/2006/relationships">
  <dimension ref="A1:Q309"/>
  <sheetViews>
    <sheetView topLeftCell="A46" zoomScale="80" zoomScaleNormal="80" workbookViewId="0">
      <selection activeCell="B84" sqref="B84:P84"/>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393</v>
      </c>
      <c r="L1" s="211"/>
      <c r="P1" s="210">
        <f>SUM(P14:P89)+E11+H11+L7+L11</f>
        <v>405</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Griekenland</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Servië</v>
      </c>
      <c r="E4" s="247">
        <f>IF(AND(ISNA(MATCH(D4,Invulblad!$F$76:$F$83,0)),ISNA(MATCH(D4,Invulblad!$J$76:$J$83,0))),0,10)</f>
        <v>0</v>
      </c>
      <c r="G4" s="212" t="str">
        <f>E80</f>
        <v>Frankrijk</v>
      </c>
      <c r="H4" s="247">
        <f>IF(AND(ISNA(MATCH(G4,Invulblad!$F$87:$F$90,0)),ISNA(MATCH(G4,Invulblad!$J$87:$J$90,0))),0,15)</f>
        <v>0</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Slovenië</v>
      </c>
      <c r="E5" s="247">
        <f>IF(AND(ISNA(MATCH(D5,Invulblad!$F$76:$F$83,0)),ISNA(MATCH(D5,Invulblad!$J$76:$J$83,0))),0,10)</f>
        <v>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Zuid-Afrika</v>
      </c>
      <c r="E6" s="247">
        <f>IF(AND(ISNA(MATCH(D6,Invulblad!$F$76:$F$83,0)),ISNA(MATCH(D6,Invulblad!$J$76:$J$83,0))),0,10)</f>
        <v>0</v>
      </c>
      <c r="G6" s="212" t="str">
        <f>E82</f>
        <v>Paraguay</v>
      </c>
      <c r="H6" s="247">
        <f>IF(AND(ISNA(MATCH(G6,Invulblad!$F$87:$F$90,0)),ISNA(MATCH(G6,Invulblad!$J$87:$J$90,0))),0,15)</f>
        <v>15</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Italië</v>
      </c>
      <c r="E7" s="247">
        <f>IF(AND(ISNA(MATCH(D7,Invulblad!$F$76:$F$83,0)),ISNA(MATCH(D7,Invulblad!$J$76:$J$83,0))),0,10)</f>
        <v>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Paraguay</v>
      </c>
      <c r="C9" s="247">
        <f>IF(AND(ISNA(MATCH(B9,Invulblad!$F$76:$F$83,0)),ISNA(MATCH(B9,Invulblad!$J$76:$J$83,0))),0,10)</f>
        <v>10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Spanje</v>
      </c>
      <c r="L10" s="247">
        <f>IF(AND(ISNA(MATCH(J10,Invulblad!$F$103,0)),ISNA(MATCH(J10,Invulblad!$J$103,0))),0,5)</f>
        <v>0</v>
      </c>
    </row>
    <row r="11" spans="1:17" s="212" customFormat="1" ht="15" customHeight="1">
      <c r="D11" s="215" t="s">
        <v>100</v>
      </c>
      <c r="E11" s="250">
        <f>SUM(C3:E10)</f>
        <v>80</v>
      </c>
      <c r="G11" s="215" t="s">
        <v>92</v>
      </c>
      <c r="H11" s="250">
        <f>SUM(H3:H10)</f>
        <v>90</v>
      </c>
      <c r="J11" s="215" t="s">
        <v>101</v>
      </c>
      <c r="K11" s="216"/>
      <c r="L11" s="250">
        <f>SUM(L9:L10)</f>
        <v>0</v>
      </c>
    </row>
    <row r="12" spans="1:17">
      <c r="B12" s="218" t="s">
        <v>19</v>
      </c>
      <c r="C12" s="218"/>
      <c r="D12" s="218"/>
      <c r="E12" s="219" t="s">
        <v>265</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0</v>
      </c>
      <c r="I14" s="229" t="s">
        <v>29</v>
      </c>
      <c r="J14" s="229">
        <v>1</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2</v>
      </c>
      <c r="K15" s="235">
        <f t="shared" si="2"/>
        <v>2</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1</v>
      </c>
      <c r="I16" s="229" t="s">
        <v>29</v>
      </c>
      <c r="J16" s="229">
        <v>1</v>
      </c>
      <c r="K16" s="235">
        <f t="shared" si="2"/>
        <v>3</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3</v>
      </c>
      <c r="I17" s="229" t="s">
        <v>29</v>
      </c>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2</v>
      </c>
      <c r="I18" s="229" t="s">
        <v>29</v>
      </c>
      <c r="J18" s="229">
        <v>2</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0</v>
      </c>
      <c r="I19" s="229" t="s">
        <v>29</v>
      </c>
      <c r="J19" s="229">
        <v>1</v>
      </c>
      <c r="K19" s="235">
        <f t="shared" si="2"/>
        <v>2</v>
      </c>
      <c r="L19" s="233">
        <f>VLOOKUP($B19,Invulblad!$A$11:$S$103,13,0)</f>
        <v>2</v>
      </c>
      <c r="M19" s="234">
        <f>IF(L19&lt;&gt;"",VLOOKUP($B19,Invulblad!$A$11:$S$103,7,0),"")</f>
        <v>1</v>
      </c>
      <c r="N19" s="229" t="s">
        <v>29</v>
      </c>
      <c r="O19" s="234">
        <f>IF(L19&lt;&gt;"",VLOOKUP($B19,Invulblad!$A$11:$S$103,9,0),"")</f>
        <v>2</v>
      </c>
      <c r="P19" s="235">
        <f t="shared" si="3"/>
        <v>5</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2</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1</v>
      </c>
      <c r="K22" s="235">
        <f t="shared" si="2"/>
        <v>3</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2</v>
      </c>
      <c r="I23" s="229" t="s">
        <v>29</v>
      </c>
      <c r="J23" s="229">
        <v>1</v>
      </c>
      <c r="K23" s="235" t="str">
        <f t="shared" si="2"/>
        <v>1</v>
      </c>
      <c r="L23" s="233" t="str">
        <f>VLOOKUP($B23,Invulblad!$A$11:$S$103,13,0)</f>
        <v>1</v>
      </c>
      <c r="M23" s="234">
        <f>IF(L23&lt;&gt;"",VLOOKUP($B23,Invulblad!$A$11:$S$103,7,0),"")</f>
        <v>2</v>
      </c>
      <c r="N23" s="229" t="s">
        <v>29</v>
      </c>
      <c r="O23" s="234">
        <f>IF(L23&lt;&gt;"",VLOOKUP($B23,Invulblad!$A$11:$S$103,9,0),"")</f>
        <v>1</v>
      </c>
      <c r="P23" s="235">
        <f t="shared" si="4"/>
        <v>10</v>
      </c>
    </row>
    <row r="24" spans="1:16">
      <c r="A24" s="205">
        <v>12</v>
      </c>
      <c r="B24" s="212">
        <v>20</v>
      </c>
      <c r="C24" s="226">
        <v>40346</v>
      </c>
      <c r="D24" s="227">
        <v>0.5625</v>
      </c>
      <c r="E24" s="228" t="s">
        <v>302</v>
      </c>
      <c r="F24" s="229" t="s">
        <v>29</v>
      </c>
      <c r="G24" s="212" t="s">
        <v>121</v>
      </c>
      <c r="H24" s="229">
        <v>4</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2</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1</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2</v>
      </c>
      <c r="K29" s="235">
        <f t="shared" si="2"/>
        <v>2</v>
      </c>
      <c r="L29" s="233">
        <f>VLOOKUP($B29,Invulblad!$A$11:$S$103,13,0)</f>
        <v>2</v>
      </c>
      <c r="M29" s="234">
        <f>IF(L29&lt;&gt;"",VLOOKUP($B29,Invulblad!$A$11:$S$103,7,0),"")</f>
        <v>0</v>
      </c>
      <c r="N29" s="229" t="s">
        <v>29</v>
      </c>
      <c r="O29" s="234">
        <f>IF(L29&lt;&gt;"",VLOOKUP($B29,Invulblad!$A$11:$S$103,9,0),"")</f>
        <v>1</v>
      </c>
      <c r="P29" s="235">
        <f t="shared" si="5"/>
        <v>5</v>
      </c>
    </row>
    <row r="30" spans="1:16">
      <c r="A30" s="205">
        <v>19</v>
      </c>
      <c r="B30" s="212">
        <v>22</v>
      </c>
      <c r="C30" s="226">
        <v>40347</v>
      </c>
      <c r="D30" s="227">
        <v>0.66666666666666663</v>
      </c>
      <c r="E30" s="228" t="s">
        <v>308</v>
      </c>
      <c r="F30" s="229" t="s">
        <v>29</v>
      </c>
      <c r="G30" s="212" t="s">
        <v>125</v>
      </c>
      <c r="H30" s="229">
        <v>1</v>
      </c>
      <c r="I30" s="229" t="s">
        <v>29</v>
      </c>
      <c r="J30" s="229">
        <v>1</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1</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2</v>
      </c>
      <c r="I33" s="229" t="s">
        <v>29</v>
      </c>
      <c r="J33" s="229">
        <v>2</v>
      </c>
      <c r="K33" s="235">
        <f t="shared" si="2"/>
        <v>3</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3</v>
      </c>
      <c r="I35" s="229" t="s">
        <v>29</v>
      </c>
      <c r="J35" s="229">
        <v>1</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2</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1</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2</v>
      </c>
      <c r="I38" s="229" t="s">
        <v>29</v>
      </c>
      <c r="J38" s="229">
        <v>1</v>
      </c>
      <c r="K38" s="235" t="str">
        <f t="shared" si="2"/>
        <v>1</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0</v>
      </c>
      <c r="I40" s="229" t="s">
        <v>29</v>
      </c>
      <c r="J40" s="229">
        <v>2</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1</v>
      </c>
      <c r="I43" s="229" t="s">
        <v>29</v>
      </c>
      <c r="J43" s="229">
        <v>3</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1</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1</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2</v>
      </c>
      <c r="K49" s="235">
        <f t="shared" si="8"/>
        <v>2</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3</v>
      </c>
      <c r="K51" s="235">
        <f t="shared" si="8"/>
        <v>2</v>
      </c>
      <c r="L51" s="233">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3</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2</v>
      </c>
      <c r="K53" s="235">
        <f t="shared" si="8"/>
        <v>2</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3</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0</v>
      </c>
      <c r="K56" s="235" t="str">
        <f t="shared" si="8"/>
        <v>1</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5</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3</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1</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2</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5</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0</v>
      </c>
      <c r="K65" s="235" t="str">
        <f t="shared" si="8"/>
        <v>1</v>
      </c>
      <c r="L65" s="233" t="str">
        <f>VLOOKUP($B65,Invulblad!$A$11:$S$103,13,0)</f>
        <v>1</v>
      </c>
      <c r="M65" s="234">
        <f>IF(L65&lt;&gt;"",VLOOKUP($B65,Invulblad!$A$11:$S$103,7,0),"")</f>
        <v>1</v>
      </c>
      <c r="N65" s="229" t="s">
        <v>29</v>
      </c>
      <c r="O65" s="234">
        <f>IF(L65&lt;&gt;"",VLOOKUP($B65,Invulblad!$A$11:$S$103,9,0),"")</f>
        <v>0</v>
      </c>
      <c r="P65" s="235">
        <f t="shared" si="11"/>
        <v>10</v>
      </c>
    </row>
    <row r="66" spans="1:16">
      <c r="A66" s="205">
        <v>60</v>
      </c>
      <c r="B66" s="212">
        <v>32</v>
      </c>
      <c r="C66" s="226">
        <v>40350</v>
      </c>
      <c r="D66" s="227">
        <v>0.85416666666666663</v>
      </c>
      <c r="E66" s="228" t="s">
        <v>165</v>
      </c>
      <c r="F66" s="229" t="s">
        <v>29</v>
      </c>
      <c r="G66" s="212" t="s">
        <v>168</v>
      </c>
      <c r="H66" s="229">
        <v>4</v>
      </c>
      <c r="I66" s="229" t="s">
        <v>29</v>
      </c>
      <c r="J66" s="229">
        <v>1</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2</v>
      </c>
      <c r="I67" s="229" t="s">
        <v>29</v>
      </c>
      <c r="J67" s="229">
        <v>2</v>
      </c>
      <c r="K67" s="235">
        <f t="shared" si="8"/>
        <v>3</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120</v>
      </c>
      <c r="H70" s="229">
        <v>1</v>
      </c>
      <c r="I70" s="229" t="s">
        <v>29</v>
      </c>
      <c r="J70" s="229">
        <v>0</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5</v>
      </c>
    </row>
    <row r="71" spans="1:16">
      <c r="A71" s="205">
        <v>66</v>
      </c>
      <c r="B71" s="212">
        <v>50</v>
      </c>
      <c r="C71" s="226">
        <v>40355</v>
      </c>
      <c r="D71" s="227">
        <v>0.85416666666666663</v>
      </c>
      <c r="E71" s="223" t="s">
        <v>124</v>
      </c>
      <c r="F71" s="229" t="s">
        <v>29</v>
      </c>
      <c r="G71" s="212" t="s">
        <v>240</v>
      </c>
      <c r="H71" s="229">
        <v>2</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128</v>
      </c>
      <c r="H72" s="229">
        <v>3</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107</v>
      </c>
      <c r="H73" s="229">
        <v>2</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257</v>
      </c>
      <c r="H74" s="229">
        <v>1</v>
      </c>
      <c r="I74" s="229" t="s">
        <v>29</v>
      </c>
      <c r="J74" s="229">
        <v>1</v>
      </c>
      <c r="K74" s="235">
        <f t="shared" si="8"/>
        <v>3</v>
      </c>
      <c r="L74" s="233" t="str">
        <f>VLOOKUP($B74,Invulblad!$A$11:$S$103,13,0)</f>
        <v>1</v>
      </c>
      <c r="M74" s="234">
        <f>IF(L74&lt;&gt;"",VLOOKUP($B74,Invulblad!$A$11:$S$103,7,0),"")</f>
        <v>2</v>
      </c>
      <c r="N74" s="229" t="s">
        <v>29</v>
      </c>
      <c r="O74" s="234">
        <f>IF(L74&lt;&gt;"",VLOOKUP($B74,Invulblad!$A$11:$S$103,9,0),"")</f>
        <v>1</v>
      </c>
      <c r="P74" s="235">
        <f t="shared" si="12"/>
        <v>0</v>
      </c>
    </row>
    <row r="75" spans="1:16">
      <c r="A75" s="205">
        <v>70</v>
      </c>
      <c r="B75" s="212">
        <v>54</v>
      </c>
      <c r="C75" s="226">
        <v>40357</v>
      </c>
      <c r="D75" s="227">
        <v>0.85416666666666663</v>
      </c>
      <c r="E75" s="223" t="s">
        <v>265</v>
      </c>
      <c r="F75" s="229" t="s">
        <v>29</v>
      </c>
      <c r="G75" s="212" t="s">
        <v>274</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182</v>
      </c>
      <c r="F76" s="229" t="s">
        <v>29</v>
      </c>
      <c r="G76" s="212" t="s">
        <v>248</v>
      </c>
      <c r="H76" s="229">
        <v>3</v>
      </c>
      <c r="I76" s="229" t="s">
        <v>29</v>
      </c>
      <c r="J76" s="229">
        <v>2</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266</v>
      </c>
      <c r="H77" s="229">
        <v>3</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2</v>
      </c>
      <c r="I79" s="229" t="s">
        <v>29</v>
      </c>
      <c r="J79" s="229">
        <v>3</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124</v>
      </c>
      <c r="H80" s="229">
        <v>0</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116</v>
      </c>
      <c r="F81" s="229" t="s">
        <v>29</v>
      </c>
      <c r="G81" s="222" t="s">
        <v>239</v>
      </c>
      <c r="H81" s="229">
        <v>2</v>
      </c>
      <c r="I81" s="229" t="s">
        <v>29</v>
      </c>
      <c r="J81" s="229">
        <v>2</v>
      </c>
      <c r="K81" s="235">
        <f t="shared" si="13"/>
        <v>3</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182</v>
      </c>
      <c r="F82" s="229" t="s">
        <v>29</v>
      </c>
      <c r="G82" s="222" t="s">
        <v>200</v>
      </c>
      <c r="H82" s="229">
        <v>1</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2</v>
      </c>
      <c r="I84" s="229" t="s">
        <v>29</v>
      </c>
      <c r="J84" s="229">
        <v>2</v>
      </c>
      <c r="K84" s="235">
        <f t="shared" si="13"/>
        <v>3</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8" t="s">
        <v>239</v>
      </c>
      <c r="F85" s="229" t="s">
        <v>29</v>
      </c>
      <c r="G85" s="222" t="s">
        <v>200</v>
      </c>
      <c r="H85" s="229">
        <v>1</v>
      </c>
      <c r="I85" s="229" t="s">
        <v>29</v>
      </c>
      <c r="J85" s="229">
        <v>2</v>
      </c>
      <c r="K85" s="235">
        <f t="shared" si="13"/>
        <v>2</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239</v>
      </c>
      <c r="H87" s="229">
        <v>0</v>
      </c>
      <c r="I87" s="229" t="s">
        <v>29</v>
      </c>
      <c r="J87" s="229">
        <v>0</v>
      </c>
      <c r="K87" s="235">
        <f t="shared" si="13"/>
        <v>3</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200</v>
      </c>
      <c r="H89" s="229">
        <v>1</v>
      </c>
      <c r="I89" s="229" t="s">
        <v>29</v>
      </c>
      <c r="J89" s="229">
        <v>1</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107</v>
      </c>
    </row>
    <row r="98" spans="2:5">
      <c r="B98" s="218" t="s">
        <v>206</v>
      </c>
    </row>
    <row r="100" spans="2:5">
      <c r="B100" s="240" t="s">
        <v>207</v>
      </c>
      <c r="C100" s="240" t="s">
        <v>208</v>
      </c>
      <c r="D100" s="240" t="s">
        <v>209</v>
      </c>
      <c r="E100" s="240" t="s">
        <v>210</v>
      </c>
    </row>
    <row r="101" spans="2:5">
      <c r="B101" s="241" t="s">
        <v>205</v>
      </c>
      <c r="C101" s="241" t="s">
        <v>226</v>
      </c>
      <c r="D101" s="241" t="s">
        <v>215</v>
      </c>
      <c r="E101" s="241" t="s">
        <v>217</v>
      </c>
    </row>
    <row r="102" spans="2:5">
      <c r="B102" s="242" t="s">
        <v>214</v>
      </c>
      <c r="C102" s="242" t="s">
        <v>211</v>
      </c>
      <c r="D102" s="242" t="s">
        <v>216</v>
      </c>
      <c r="E102" s="242" t="s">
        <v>211</v>
      </c>
    </row>
    <row r="103" spans="2:5">
      <c r="B103" s="241" t="s">
        <v>109</v>
      </c>
      <c r="C103" s="241" t="s">
        <v>215</v>
      </c>
      <c r="D103" s="241" t="s">
        <v>216</v>
      </c>
      <c r="E103" s="241" t="s">
        <v>211</v>
      </c>
    </row>
    <row r="104" spans="2:5">
      <c r="B104" s="242" t="s">
        <v>107</v>
      </c>
      <c r="C104" s="242" t="s">
        <v>211</v>
      </c>
      <c r="D104" s="242" t="s">
        <v>212</v>
      </c>
      <c r="E104" s="242" t="s">
        <v>215</v>
      </c>
    </row>
    <row r="107" spans="2:5">
      <c r="B107" s="218" t="s">
        <v>219</v>
      </c>
    </row>
    <row r="108" spans="2:5">
      <c r="B108" s="212"/>
    </row>
    <row r="109" spans="2:5">
      <c r="B109" s="212" t="s">
        <v>220</v>
      </c>
    </row>
    <row r="110" spans="2:5">
      <c r="B110" s="212" t="s">
        <v>323</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116</v>
      </c>
    </row>
    <row r="119" spans="1:15">
      <c r="A119" s="205" t="s">
        <v>76</v>
      </c>
      <c r="B119" s="206" t="s">
        <v>204</v>
      </c>
      <c r="C119" s="206" t="s">
        <v>203</v>
      </c>
      <c r="D119" s="218" t="s">
        <v>120</v>
      </c>
    </row>
    <row r="122" spans="1:15">
      <c r="B122" s="218" t="s">
        <v>223</v>
      </c>
    </row>
    <row r="124" spans="1:15">
      <c r="B124" s="240" t="s">
        <v>207</v>
      </c>
      <c r="C124" s="240" t="s">
        <v>208</v>
      </c>
      <c r="D124" s="240" t="s">
        <v>209</v>
      </c>
      <c r="E124" s="240" t="s">
        <v>210</v>
      </c>
    </row>
    <row r="125" spans="1:15">
      <c r="B125" s="241" t="s">
        <v>120</v>
      </c>
      <c r="C125" s="241" t="s">
        <v>211</v>
      </c>
      <c r="D125" s="241" t="s">
        <v>212</v>
      </c>
      <c r="E125" s="241" t="s">
        <v>213</v>
      </c>
    </row>
    <row r="126" spans="1:15">
      <c r="B126" s="242" t="s">
        <v>116</v>
      </c>
      <c r="C126" s="242" t="s">
        <v>225</v>
      </c>
      <c r="D126" s="242" t="s">
        <v>234</v>
      </c>
      <c r="E126" s="242" t="s">
        <v>234</v>
      </c>
    </row>
    <row r="127" spans="1:15">
      <c r="B127" s="241" t="s">
        <v>122</v>
      </c>
      <c r="C127" s="241" t="s">
        <v>212</v>
      </c>
      <c r="D127" s="241" t="s">
        <v>243</v>
      </c>
      <c r="E127" s="241" t="s">
        <v>215</v>
      </c>
    </row>
    <row r="128" spans="1:15">
      <c r="B128" s="242" t="s">
        <v>118</v>
      </c>
      <c r="C128" s="242" t="s">
        <v>211</v>
      </c>
      <c r="D128" s="242" t="s">
        <v>233</v>
      </c>
      <c r="E128" s="242" t="s">
        <v>213</v>
      </c>
    </row>
    <row r="131" spans="1:15">
      <c r="B131" s="218" t="s">
        <v>228</v>
      </c>
    </row>
    <row r="132" spans="1:15">
      <c r="B132" s="212"/>
    </row>
    <row r="133" spans="1:15">
      <c r="B133" s="212" t="s">
        <v>229</v>
      </c>
    </row>
    <row r="134" spans="1:15">
      <c r="B134" s="212" t="s">
        <v>394</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218</v>
      </c>
      <c r="D149" s="241" t="s">
        <v>243</v>
      </c>
      <c r="E149" s="241" t="s">
        <v>213</v>
      </c>
    </row>
    <row r="150" spans="2:5">
      <c r="B150" s="242" t="s">
        <v>124</v>
      </c>
      <c r="C150" s="242" t="s">
        <v>234</v>
      </c>
      <c r="D150" s="242" t="s">
        <v>213</v>
      </c>
      <c r="E150" s="242" t="s">
        <v>226</v>
      </c>
    </row>
    <row r="151" spans="2:5">
      <c r="B151" s="241" t="s">
        <v>128</v>
      </c>
      <c r="C151" s="241" t="s">
        <v>217</v>
      </c>
      <c r="D151" s="241" t="s">
        <v>215</v>
      </c>
      <c r="E151" s="241" t="s">
        <v>211</v>
      </c>
    </row>
    <row r="152" spans="2:5">
      <c r="B152" s="242" t="s">
        <v>32</v>
      </c>
      <c r="C152" s="242" t="s">
        <v>215</v>
      </c>
      <c r="D152" s="242" t="s">
        <v>216</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240</v>
      </c>
    </row>
    <row r="170" spans="1:15">
      <c r="B170" s="218" t="s">
        <v>241</v>
      </c>
    </row>
    <row r="172" spans="1:15">
      <c r="B172" s="240" t="s">
        <v>207</v>
      </c>
      <c r="C172" s="240" t="s">
        <v>208</v>
      </c>
      <c r="D172" s="240" t="s">
        <v>209</v>
      </c>
      <c r="E172" s="240" t="s">
        <v>210</v>
      </c>
    </row>
    <row r="173" spans="1:15">
      <c r="B173" s="241" t="s">
        <v>239</v>
      </c>
      <c r="C173" s="241" t="s">
        <v>234</v>
      </c>
      <c r="D173" s="241" t="s">
        <v>211</v>
      </c>
      <c r="E173" s="241" t="s">
        <v>226</v>
      </c>
    </row>
    <row r="174" spans="1:15">
      <c r="B174" s="242" t="s">
        <v>242</v>
      </c>
      <c r="C174" s="242" t="s">
        <v>212</v>
      </c>
      <c r="D174" s="242" t="s">
        <v>224</v>
      </c>
      <c r="E174" s="242" t="s">
        <v>215</v>
      </c>
    </row>
    <row r="175" spans="1:15">
      <c r="B175" s="241" t="s">
        <v>244</v>
      </c>
      <c r="C175" s="241" t="s">
        <v>213</v>
      </c>
      <c r="D175" s="241" t="s">
        <v>233</v>
      </c>
      <c r="E175" s="241" t="s">
        <v>215</v>
      </c>
    </row>
    <row r="176" spans="1:15">
      <c r="B176" s="242" t="s">
        <v>240</v>
      </c>
      <c r="C176" s="242" t="s">
        <v>234</v>
      </c>
      <c r="D176" s="242" t="s">
        <v>211</v>
      </c>
      <c r="E176" s="242" t="s">
        <v>217</v>
      </c>
    </row>
    <row r="179" spans="1:15">
      <c r="B179" s="218" t="s">
        <v>245</v>
      </c>
    </row>
    <row r="180" spans="1:15">
      <c r="B180" s="212"/>
    </row>
    <row r="181" spans="1:15">
      <c r="B181" s="212" t="s">
        <v>395</v>
      </c>
    </row>
    <row r="182" spans="1:15">
      <c r="B182" s="212"/>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225</v>
      </c>
      <c r="D197" s="241" t="s">
        <v>211</v>
      </c>
      <c r="E197" s="241" t="s">
        <v>217</v>
      </c>
    </row>
    <row r="198" spans="2:5">
      <c r="B198" s="242" t="s">
        <v>250</v>
      </c>
      <c r="C198" s="242" t="s">
        <v>211</v>
      </c>
      <c r="D198" s="242" t="s">
        <v>212</v>
      </c>
      <c r="E198" s="242" t="s">
        <v>213</v>
      </c>
    </row>
    <row r="199" spans="2:5">
      <c r="B199" s="241" t="s">
        <v>251</v>
      </c>
      <c r="C199" s="241" t="s">
        <v>212</v>
      </c>
      <c r="D199" s="241" t="s">
        <v>224</v>
      </c>
      <c r="E199" s="241" t="s">
        <v>215</v>
      </c>
    </row>
    <row r="200" spans="2:5">
      <c r="B200" s="242" t="s">
        <v>248</v>
      </c>
      <c r="C200" s="242" t="s">
        <v>211</v>
      </c>
      <c r="D200" s="242" t="s">
        <v>218</v>
      </c>
      <c r="E200" s="242" t="s">
        <v>217</v>
      </c>
    </row>
    <row r="203" spans="2:5">
      <c r="B203" s="218" t="s">
        <v>253</v>
      </c>
    </row>
    <row r="204" spans="2:5">
      <c r="B204" s="212"/>
    </row>
    <row r="205" spans="2:5">
      <c r="B205" s="212" t="s">
        <v>254</v>
      </c>
    </row>
    <row r="206" spans="2:5">
      <c r="B206" s="212" t="s">
        <v>355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182</v>
      </c>
    </row>
    <row r="215" spans="1:15">
      <c r="A215" s="205" t="s">
        <v>84</v>
      </c>
      <c r="B215" s="206" t="s">
        <v>204</v>
      </c>
      <c r="C215" s="206" t="s">
        <v>203</v>
      </c>
      <c r="D215" s="218" t="s">
        <v>257</v>
      </c>
    </row>
    <row r="218" spans="1:15">
      <c r="B218" s="218" t="s">
        <v>258</v>
      </c>
    </row>
    <row r="220" spans="1:15">
      <c r="B220" s="240" t="s">
        <v>207</v>
      </c>
      <c r="C220" s="240" t="s">
        <v>208</v>
      </c>
      <c r="D220" s="240" t="s">
        <v>209</v>
      </c>
      <c r="E220" s="240" t="s">
        <v>210</v>
      </c>
    </row>
    <row r="221" spans="1:15">
      <c r="B221" s="241" t="s">
        <v>257</v>
      </c>
      <c r="C221" s="241" t="s">
        <v>226</v>
      </c>
      <c r="D221" s="241" t="s">
        <v>213</v>
      </c>
      <c r="E221" s="241" t="s">
        <v>226</v>
      </c>
    </row>
    <row r="222" spans="1:15">
      <c r="B222" s="242" t="s">
        <v>259</v>
      </c>
      <c r="C222" s="242" t="s">
        <v>212</v>
      </c>
      <c r="D222" s="242" t="s">
        <v>320</v>
      </c>
      <c r="E222" s="242" t="s">
        <v>212</v>
      </c>
    </row>
    <row r="223" spans="1:15">
      <c r="B223" s="241" t="s">
        <v>182</v>
      </c>
      <c r="C223" s="241" t="s">
        <v>225</v>
      </c>
      <c r="D223" s="241" t="s">
        <v>226</v>
      </c>
      <c r="E223" s="241" t="s">
        <v>316</v>
      </c>
    </row>
    <row r="224" spans="1:15">
      <c r="B224" s="242" t="s">
        <v>260</v>
      </c>
      <c r="C224" s="242" t="s">
        <v>213</v>
      </c>
      <c r="D224" s="242" t="s">
        <v>216</v>
      </c>
      <c r="E224" s="242" t="s">
        <v>211</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5">
      <c r="B242" s="218" t="s">
        <v>267</v>
      </c>
    </row>
    <row r="244" spans="2:15">
      <c r="B244" s="240" t="s">
        <v>207</v>
      </c>
      <c r="C244" s="240" t="s">
        <v>208</v>
      </c>
      <c r="D244" s="240" t="s">
        <v>209</v>
      </c>
      <c r="E244" s="240" t="s">
        <v>210</v>
      </c>
    </row>
    <row r="245" spans="2:15">
      <c r="B245" s="241" t="s">
        <v>268</v>
      </c>
      <c r="C245" s="241" t="s">
        <v>213</v>
      </c>
      <c r="D245" s="241" t="s">
        <v>218</v>
      </c>
      <c r="E245" s="241" t="s">
        <v>211</v>
      </c>
    </row>
    <row r="246" spans="2:15">
      <c r="B246" s="242" t="s">
        <v>265</v>
      </c>
      <c r="C246" s="242" t="s">
        <v>225</v>
      </c>
      <c r="D246" s="242" t="s">
        <v>316</v>
      </c>
      <c r="E246" s="242" t="s">
        <v>225</v>
      </c>
    </row>
    <row r="247" spans="2:15">
      <c r="B247" s="241" t="s">
        <v>266</v>
      </c>
      <c r="C247" s="241" t="s">
        <v>226</v>
      </c>
      <c r="D247" s="241" t="s">
        <v>212</v>
      </c>
      <c r="E247" s="241" t="s">
        <v>213</v>
      </c>
    </row>
    <row r="248" spans="2:15">
      <c r="B248" s="242" t="s">
        <v>269</v>
      </c>
      <c r="C248" s="242" t="s">
        <v>212</v>
      </c>
      <c r="D248" s="242" t="s">
        <v>327</v>
      </c>
      <c r="E248" s="242" t="s">
        <v>218</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234</v>
      </c>
      <c r="D268" s="241" t="s">
        <v>213</v>
      </c>
      <c r="E268" s="241" t="s">
        <v>217</v>
      </c>
    </row>
    <row r="269" spans="1:5">
      <c r="B269" s="242" t="s">
        <v>200</v>
      </c>
      <c r="C269" s="242" t="s">
        <v>234</v>
      </c>
      <c r="D269" s="242" t="s">
        <v>217</v>
      </c>
      <c r="E269" s="242" t="s">
        <v>316</v>
      </c>
    </row>
    <row r="270" spans="1:5">
      <c r="B270" s="241" t="s">
        <v>276</v>
      </c>
      <c r="C270" s="241" t="s">
        <v>213</v>
      </c>
      <c r="D270" s="241" t="s">
        <v>227</v>
      </c>
      <c r="E270" s="241" t="s">
        <v>218</v>
      </c>
    </row>
    <row r="271" spans="1:5">
      <c r="B271" s="242" t="s">
        <v>277</v>
      </c>
      <c r="C271" s="242" t="s">
        <v>212</v>
      </c>
      <c r="D271" s="242" t="s">
        <v>314</v>
      </c>
      <c r="E271" s="242" t="s">
        <v>218</v>
      </c>
    </row>
    <row r="274" spans="2:15">
      <c r="B274" s="218" t="s">
        <v>278</v>
      </c>
    </row>
    <row r="275" spans="2:15">
      <c r="B275" s="212"/>
    </row>
    <row r="276" spans="2:15">
      <c r="B276" s="212" t="s">
        <v>353</v>
      </c>
    </row>
    <row r="279" spans="2:15">
      <c r="B279" s="243"/>
      <c r="C279" s="243"/>
      <c r="D279" s="243"/>
      <c r="E279" s="243"/>
      <c r="F279" s="243"/>
      <c r="G279" s="243"/>
      <c r="H279" s="243"/>
      <c r="I279" s="243"/>
      <c r="J279" s="243"/>
    </row>
    <row r="280" spans="2:15">
      <c r="K280" s="243"/>
      <c r="L280" s="244"/>
      <c r="M280" s="243"/>
      <c r="N280" s="243"/>
      <c r="O280" s="243"/>
    </row>
    <row r="284" spans="2:15">
      <c r="B284" s="206" t="s">
        <v>281</v>
      </c>
    </row>
    <row r="286" spans="2:15">
      <c r="B286" s="245" t="s">
        <v>282</v>
      </c>
    </row>
    <row r="287" spans="2:15">
      <c r="B287" s="245"/>
    </row>
    <row r="289" spans="2:2">
      <c r="B289" s="245" t="s">
        <v>283</v>
      </c>
    </row>
    <row r="290" spans="2:2">
      <c r="B290" s="245"/>
    </row>
    <row r="292" spans="2:2">
      <c r="B292" s="212"/>
    </row>
    <row r="293" spans="2:2">
      <c r="B293" s="222" t="s">
        <v>284</v>
      </c>
    </row>
    <row r="294" spans="2:2">
      <c r="B294" s="246" t="s">
        <v>285</v>
      </c>
    </row>
    <row r="295" spans="2:2">
      <c r="B295" s="246" t="s">
        <v>286</v>
      </c>
    </row>
    <row r="296" spans="2:2">
      <c r="B296" s="246" t="s">
        <v>287</v>
      </c>
    </row>
    <row r="297" spans="2:2">
      <c r="B297" s="246" t="s">
        <v>288</v>
      </c>
    </row>
    <row r="298" spans="2:2">
      <c r="B298" s="222" t="s">
        <v>289</v>
      </c>
    </row>
    <row r="299" spans="2:2">
      <c r="B299" s="246" t="s">
        <v>290</v>
      </c>
    </row>
    <row r="300" spans="2:2">
      <c r="B300" s="246" t="s">
        <v>291</v>
      </c>
    </row>
    <row r="301" spans="2:2">
      <c r="B301" s="246" t="s">
        <v>292</v>
      </c>
    </row>
    <row r="302" spans="2:2">
      <c r="B302" s="222" t="s">
        <v>293</v>
      </c>
    </row>
    <row r="303" spans="2:2">
      <c r="B303" s="246" t="s">
        <v>294</v>
      </c>
    </row>
    <row r="304" spans="2:2">
      <c r="B304" s="246" t="s">
        <v>295</v>
      </c>
    </row>
    <row r="305" spans="2:2">
      <c r="B305" s="246" t="s">
        <v>296</v>
      </c>
    </row>
    <row r="306" spans="2:2">
      <c r="B306" s="222" t="s">
        <v>297</v>
      </c>
    </row>
    <row r="307" spans="2:2">
      <c r="B307" s="246" t="s">
        <v>298</v>
      </c>
    </row>
    <row r="309" spans="2:2">
      <c r="B309"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7.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396</v>
      </c>
      <c r="L1" s="211"/>
      <c r="P1" s="210">
        <f>SUM(P14:P89)+E11+H11+L7+L11</f>
        <v>410</v>
      </c>
    </row>
    <row r="2" spans="1:17" s="212" customFormat="1" ht="15" customHeight="1">
      <c r="B2" s="213" t="s">
        <v>97</v>
      </c>
      <c r="G2" s="213" t="s">
        <v>98</v>
      </c>
      <c r="J2" s="213" t="s">
        <v>99</v>
      </c>
      <c r="L2" s="214"/>
    </row>
    <row r="3" spans="1:17" s="212" customFormat="1" ht="15" customHeight="1">
      <c r="B3" s="212" t="str">
        <f t="shared" ref="B3:B10" si="0">E70</f>
        <v>Frankrijk</v>
      </c>
      <c r="C3" s="247">
        <f>IF(AND(ISNA(MATCH(B3,Invulblad!$F$76:$F$83,0)),ISNA(MATCH(B3,Invulblad!$J$76:$J$83,0))),0,10)</f>
        <v>0</v>
      </c>
      <c r="D3" s="212" t="str">
        <f t="shared" ref="D3:D10" si="1">G70</f>
        <v>Argentinië</v>
      </c>
      <c r="E3" s="247">
        <f>IF(AND(ISNA(MATCH(D3,Invulblad!$F$76:$F$83,0)),ISNA(MATCH(D3,Invulblad!$J$76:$J$83,0))),0,10)</f>
        <v>10</v>
      </c>
      <c r="G3" s="212" t="str">
        <f>E79</f>
        <v>Nederland</v>
      </c>
      <c r="H3" s="247">
        <f>IF(AND(ISNA(MATCH(G3,Invulblad!$F$87:$F$90,0)),ISNA(MATCH(G3,Invulblad!$J$87:$J$90,0))),0,15)</f>
        <v>15</v>
      </c>
      <c r="J3" s="212" t="str">
        <f>E84</f>
        <v>Duitsland</v>
      </c>
      <c r="L3" s="247">
        <f>IF(AND(ISNA(MATCH(J3,Invulblad!$F$94:$F$95,0)),ISNA(MATCH(J3,Invulblad!$J$94:$J$95,0))),0,20+25)</f>
        <v>45</v>
      </c>
      <c r="Q3" s="248"/>
    </row>
    <row r="4" spans="1:17" s="212" customFormat="1" ht="15" customHeight="1">
      <c r="B4" s="212" t="str">
        <f t="shared" si="0"/>
        <v>Engeland</v>
      </c>
      <c r="C4" s="247">
        <f>IF(AND(ISNA(MATCH(B4,Invulblad!$F$76:$F$83,0)),ISNA(MATCH(B4,Invulblad!$J$76:$J$83,0))),0,10)</f>
        <v>10</v>
      </c>
      <c r="D4" s="212" t="str">
        <f t="shared" si="1"/>
        <v>Duitsland</v>
      </c>
      <c r="E4" s="247">
        <f>IF(AND(ISNA(MATCH(D4,Invulblad!$F$76:$F$83,0)),ISNA(MATCH(D4,Invulblad!$J$76:$J$83,0))),0,10)</f>
        <v>10</v>
      </c>
      <c r="G4" s="212" t="str">
        <f>E80</f>
        <v>Frankrijk</v>
      </c>
      <c r="H4" s="247">
        <f>IF(AND(ISNA(MATCH(G4,Invulblad!$F$87:$F$90,0)),ISNA(MATCH(G4,Invulblad!$J$87:$J$90,0))),0,15)</f>
        <v>0</v>
      </c>
      <c r="J4" s="212" t="str">
        <f>E85</f>
        <v>Servië</v>
      </c>
      <c r="L4" s="247">
        <f>IF(AND(ISNA(MATCH(J4,Invulblad!$F$94:$F$95,0)),ISNA(MATCH(J4,Invulblad!$J$94:$J$95,0))),0,20+25)</f>
        <v>0</v>
      </c>
      <c r="Q4" s="249"/>
    </row>
    <row r="5" spans="1:17" s="212" customFormat="1" ht="15" customHeight="1">
      <c r="B5" s="212" t="str">
        <f t="shared" si="0"/>
        <v>Servië</v>
      </c>
      <c r="C5" s="247">
        <f>IF(AND(ISNA(MATCH(B5,Invulblad!$F$76:$F$83,0)),ISNA(MATCH(B5,Invulblad!$J$76:$J$83,0))),0,10)</f>
        <v>0</v>
      </c>
      <c r="D5" s="212" t="str">
        <f t="shared" si="1"/>
        <v>USA</v>
      </c>
      <c r="E5" s="247">
        <f>IF(AND(ISNA(MATCH(D5,Invulblad!$F$76:$F$83,0)),ISNA(MATCH(D5,Invulblad!$J$76:$J$83,0))),0,10)</f>
        <v>10</v>
      </c>
      <c r="G5" s="212" t="str">
        <f>E81</f>
        <v>Zuid-Korea</v>
      </c>
      <c r="H5" s="247">
        <f>IF(AND(ISNA(MATCH(G5,Invulblad!$F$87:$F$90,0)),ISNA(MATCH(G5,Invulblad!$J$87:$J$90,0))),0,15)</f>
        <v>0</v>
      </c>
      <c r="J5" s="212" t="str">
        <f>G84</f>
        <v>Brazilië</v>
      </c>
      <c r="L5" s="247">
        <f>IF(AND(ISNA(MATCH(J5,Invulblad!$F$94:$F$95,0)),ISNA(MATCH(J5,Invulblad!$J$94:$J$95,0))),0,20+25)</f>
        <v>0</v>
      </c>
    </row>
    <row r="6" spans="1:17" s="212" customFormat="1" ht="15" customHeight="1">
      <c r="B6" s="212" t="str">
        <f t="shared" si="0"/>
        <v>Zuid-Korea</v>
      </c>
      <c r="C6" s="247">
        <f>IF(AND(ISNA(MATCH(B6,Invulblad!$F$76:$F$83,0)),ISNA(MATCH(B6,Invulblad!$J$76:$J$83,0))),0,10)</f>
        <v>10</v>
      </c>
      <c r="D6" s="212" t="str">
        <f t="shared" si="1"/>
        <v>Zuid-Afrika</v>
      </c>
      <c r="E6" s="247">
        <f>IF(AND(ISNA(MATCH(D6,Invulblad!$F$76:$F$83,0)),ISNA(MATCH(D6,Invulblad!$J$76:$J$83,0))),0,10)</f>
        <v>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Nieuw-Zeeland</v>
      </c>
      <c r="E7" s="247">
        <f>IF(AND(ISNA(MATCH(D7,Invulblad!$F$76:$F$83,0)),ISNA(MATCH(D7,Invulblad!$J$76:$J$83,0))),0,10)</f>
        <v>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Honduras</v>
      </c>
      <c r="E8" s="247">
        <f>IF(AND(ISNA(MATCH(D8,Invulblad!$F$76:$F$83,0)),ISNA(MATCH(D8,Invulblad!$J$76:$J$83,0))),0,10)</f>
        <v>0</v>
      </c>
      <c r="G8" s="212" t="str">
        <f>G80</f>
        <v>Duitsland</v>
      </c>
      <c r="H8" s="247">
        <f>IF(AND(ISNA(MATCH(G8,Invulblad!$F$87:$F$90,0)),ISNA(MATCH(G8,Invulblad!$J$87:$J$90,0))),0,15)</f>
        <v>15</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Servië</v>
      </c>
      <c r="H9" s="247">
        <f>IF(AND(ISNA(MATCH(G9,Invulblad!$F$87:$F$90,0)),ISNA(MATCH(G9,Invulblad!$J$87:$J$90,0))),0,15)</f>
        <v>0</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Servië</v>
      </c>
      <c r="L10" s="247">
        <f>IF(AND(ISNA(MATCH(J10,Invulblad!$F$103,0)),ISNA(MATCH(J10,Invulblad!$J$103,0))),0,5)</f>
        <v>0</v>
      </c>
    </row>
    <row r="11" spans="1:17" s="212" customFormat="1" ht="15" customHeight="1">
      <c r="D11" s="215" t="s">
        <v>100</v>
      </c>
      <c r="E11" s="250">
        <f>SUM(C3:E10)</f>
        <v>90</v>
      </c>
      <c r="G11" s="215" t="s">
        <v>92</v>
      </c>
      <c r="H11" s="250">
        <f>SUM(H3:H10)</f>
        <v>60</v>
      </c>
      <c r="J11" s="215" t="s">
        <v>101</v>
      </c>
      <c r="K11" s="216"/>
      <c r="L11" s="250">
        <f>SUM(L9:L10)</f>
        <v>0</v>
      </c>
    </row>
    <row r="12" spans="1:17">
      <c r="B12" s="218" t="s">
        <v>19</v>
      </c>
      <c r="C12" s="218"/>
      <c r="D12" s="218"/>
      <c r="E12" s="219" t="str">
        <f>IF(H89&gt;J89,E89,G89)</f>
        <v>Brazilië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0</v>
      </c>
      <c r="K14" s="235" t="str">
        <f t="shared" ref="K14:K45" si="2">IF(AND(H14="",J14=""),"",IF(OR(H14="",J14=""),"FOUT",IF(H14&gt;J14,"1",IF(H14=J14,3,2))))</f>
        <v>1</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2</v>
      </c>
      <c r="I15" s="229" t="s">
        <v>29</v>
      </c>
      <c r="J15" s="229">
        <v>0</v>
      </c>
      <c r="K15" s="235" t="str">
        <f t="shared" si="2"/>
        <v>1</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1</v>
      </c>
      <c r="I16" s="229" t="s">
        <v>29</v>
      </c>
      <c r="J16" s="229">
        <v>0</v>
      </c>
      <c r="K16" s="235" t="str">
        <f t="shared" si="2"/>
        <v>1</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2</v>
      </c>
      <c r="I17" s="229" t="s">
        <v>29</v>
      </c>
      <c r="J17" s="229">
        <v>0</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2</v>
      </c>
      <c r="I18" s="229" t="s">
        <v>29</v>
      </c>
      <c r="J18" s="229">
        <v>1</v>
      </c>
      <c r="K18" s="235" t="str">
        <f t="shared" si="2"/>
        <v>1</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1</v>
      </c>
      <c r="I21" s="229" t="s">
        <v>29</v>
      </c>
      <c r="J21" s="229">
        <v>1</v>
      </c>
      <c r="K21" s="235">
        <f t="shared" si="2"/>
        <v>3</v>
      </c>
      <c r="L21" s="233" t="str">
        <f>VLOOKUP($B21,Invulblad!$A$11:$S$103,13,0)</f>
        <v>1</v>
      </c>
      <c r="M21" s="234">
        <f>IF(L21&lt;&gt;"",VLOOKUP($B21,Invulblad!$A$11:$S$103,7,0),"")</f>
        <v>1</v>
      </c>
      <c r="N21" s="229" t="s">
        <v>29</v>
      </c>
      <c r="O21" s="234">
        <f>IF(L21&lt;&gt;"",VLOOKUP($B21,Invulblad!$A$11:$S$103,9,0),"")</f>
        <v>0</v>
      </c>
      <c r="P21" s="235">
        <f t="shared" ref="P21:P26" si="4">IF(L21&lt;&gt;"",IF(AND(M21=H21,O21=J21),10,IF(K21=L21,5,0)),"")</f>
        <v>0</v>
      </c>
    </row>
    <row r="22" spans="1:16">
      <c r="A22" s="205">
        <v>10</v>
      </c>
      <c r="B22" s="212">
        <v>4</v>
      </c>
      <c r="C22" s="226">
        <v>40341</v>
      </c>
      <c r="D22" s="227">
        <v>0.5625</v>
      </c>
      <c r="E22" s="228" t="s">
        <v>303</v>
      </c>
      <c r="F22" s="229" t="s">
        <v>29</v>
      </c>
      <c r="G22" s="212" t="s">
        <v>119</v>
      </c>
      <c r="H22" s="229">
        <v>1</v>
      </c>
      <c r="I22" s="229" t="s">
        <v>29</v>
      </c>
      <c r="J22" s="229">
        <v>0</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0</v>
      </c>
      <c r="I23" s="229" t="s">
        <v>29</v>
      </c>
      <c r="J23" s="229">
        <v>2</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1</v>
      </c>
      <c r="I24" s="229" t="s">
        <v>29</v>
      </c>
      <c r="J24" s="229">
        <v>1</v>
      </c>
      <c r="K24" s="235">
        <f t="shared" si="2"/>
        <v>3</v>
      </c>
      <c r="L24" s="233" t="str">
        <f>VLOOKUP($B24,Invulblad!$A$11:$S$103,13,0)</f>
        <v>1</v>
      </c>
      <c r="M24" s="234">
        <f>IF(L24&lt;&gt;"",VLOOKUP($B24,Invulblad!$A$11:$S$103,7,0),"")</f>
        <v>4</v>
      </c>
      <c r="N24" s="229" t="s">
        <v>29</v>
      </c>
      <c r="O24" s="234">
        <f>IF(L24&lt;&gt;"",VLOOKUP($B24,Invulblad!$A$11:$S$103,9,0),"")</f>
        <v>1</v>
      </c>
      <c r="P24" s="235">
        <f t="shared" si="4"/>
        <v>0</v>
      </c>
    </row>
    <row r="25" spans="1:16">
      <c r="A25" s="205">
        <v>13</v>
      </c>
      <c r="B25" s="212">
        <v>35</v>
      </c>
      <c r="C25" s="226">
        <v>40351</v>
      </c>
      <c r="D25" s="227">
        <v>0.85416666666666663</v>
      </c>
      <c r="E25" s="228" t="s">
        <v>305</v>
      </c>
      <c r="F25" s="229" t="s">
        <v>29</v>
      </c>
      <c r="G25" s="212" t="s">
        <v>121</v>
      </c>
      <c r="H25" s="229">
        <v>0</v>
      </c>
      <c r="I25" s="229" t="s">
        <v>29</v>
      </c>
      <c r="J25" s="229">
        <v>1</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3</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0</v>
      </c>
      <c r="I30" s="229" t="s">
        <v>29</v>
      </c>
      <c r="J30" s="229">
        <v>2</v>
      </c>
      <c r="K30" s="235">
        <f t="shared" si="2"/>
        <v>2</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0</v>
      </c>
      <c r="I32" s="229" t="s">
        <v>29</v>
      </c>
      <c r="J32" s="229">
        <v>1</v>
      </c>
      <c r="K32" s="235">
        <f t="shared" si="2"/>
        <v>2</v>
      </c>
      <c r="L32" s="233">
        <f>VLOOKUP($B32,Invulblad!$A$11:$S$103,13,0)</f>
        <v>2</v>
      </c>
      <c r="M32" s="234">
        <f>IF(L32&lt;&gt;"",VLOOKUP($B32,Invulblad!$A$11:$S$103,7,0),"")</f>
        <v>0</v>
      </c>
      <c r="N32" s="229" t="s">
        <v>29</v>
      </c>
      <c r="O32" s="234">
        <f>IF(L32&lt;&gt;"",VLOOKUP($B32,Invulblad!$A$11:$S$103,9,0),"")</f>
        <v>1</v>
      </c>
      <c r="P32" s="235">
        <f t="shared" si="5"/>
        <v>10</v>
      </c>
    </row>
    <row r="33" spans="1:16">
      <c r="A33" s="205">
        <v>22</v>
      </c>
      <c r="B33" s="212">
        <v>38</v>
      </c>
      <c r="C33" s="226">
        <v>40352</v>
      </c>
      <c r="D33" s="227">
        <v>0.66666666666666663</v>
      </c>
      <c r="E33" s="228" t="s">
        <v>309</v>
      </c>
      <c r="F33" s="229" t="s">
        <v>29</v>
      </c>
      <c r="G33" s="212" t="s">
        <v>129</v>
      </c>
      <c r="H33" s="229">
        <v>1</v>
      </c>
      <c r="I33" s="229" t="s">
        <v>29</v>
      </c>
      <c r="J33" s="229">
        <v>0</v>
      </c>
      <c r="K33" s="235" t="str">
        <f t="shared" si="2"/>
        <v>1</v>
      </c>
      <c r="L33" s="233" t="str">
        <f>VLOOKUP($B33,Invulblad!$A$11:$S$103,13,0)</f>
        <v>1</v>
      </c>
      <c r="M33" s="234">
        <f>IF(L33&lt;&gt;"",VLOOKUP($B33,Invulblad!$A$11:$S$103,7,0),"")</f>
        <v>1</v>
      </c>
      <c r="N33" s="229" t="s">
        <v>29</v>
      </c>
      <c r="O33" s="234">
        <f>IF(L33&lt;&gt;"",VLOOKUP($B33,Invulblad!$A$11:$S$103,9,0),"")</f>
        <v>0</v>
      </c>
      <c r="P33" s="235">
        <f t="shared" si="5"/>
        <v>10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1</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0</v>
      </c>
      <c r="K36" s="235" t="str">
        <f t="shared" si="2"/>
        <v>1</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0</v>
      </c>
      <c r="I37" s="229" t="s">
        <v>29</v>
      </c>
      <c r="J37" s="229">
        <v>0</v>
      </c>
      <c r="K37" s="235">
        <f t="shared" si="2"/>
        <v>3</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0</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0</v>
      </c>
      <c r="K39" s="235" t="str">
        <f t="shared" si="2"/>
        <v>1</v>
      </c>
      <c r="L39" s="233">
        <f>VLOOKUP($B39,Invulblad!$A$11:$S$103,13,0)</f>
        <v>2</v>
      </c>
      <c r="M39" s="234">
        <f>IF(L39&lt;&gt;"",VLOOKUP($B39,Invulblad!$A$11:$S$103,7,0),"")</f>
        <v>0</v>
      </c>
      <c r="N39" s="229" t="s">
        <v>29</v>
      </c>
      <c r="O39" s="234">
        <f>IF(L39&lt;&gt;"",VLOOKUP($B39,Invulblad!$A$11:$S$103,9,0),"")</f>
        <v>1</v>
      </c>
      <c r="P39" s="235">
        <f t="shared" si="6"/>
        <v>0</v>
      </c>
    </row>
    <row r="40" spans="1:16">
      <c r="A40" s="205">
        <v>30</v>
      </c>
      <c r="B40" s="212">
        <v>40</v>
      </c>
      <c r="C40" s="226">
        <v>40352</v>
      </c>
      <c r="D40" s="227">
        <v>0.85416666666666663</v>
      </c>
      <c r="E40" s="228" t="s">
        <v>138</v>
      </c>
      <c r="F40" s="229" t="s">
        <v>29</v>
      </c>
      <c r="G40" s="212" t="s">
        <v>135</v>
      </c>
      <c r="H40" s="229">
        <v>0</v>
      </c>
      <c r="I40" s="229" t="s">
        <v>29</v>
      </c>
      <c r="J40" s="229">
        <v>1</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1</v>
      </c>
      <c r="I42" s="229" t="s">
        <v>29</v>
      </c>
      <c r="J42" s="229">
        <v>1</v>
      </c>
      <c r="K42" s="235">
        <f t="shared" si="2"/>
        <v>3</v>
      </c>
      <c r="L42" s="233" t="str">
        <f>VLOOKUP($B42,Invulblad!$A$11:$S$103,13,0)</f>
        <v>1</v>
      </c>
      <c r="M42" s="234">
        <f>IF(L42&lt;&gt;"",VLOOKUP($B42,Invulblad!$A$11:$S$103,7,0),"")</f>
        <v>2</v>
      </c>
      <c r="N42" s="229" t="s">
        <v>29</v>
      </c>
      <c r="O42" s="234">
        <f>IF(L42&lt;&gt;"",VLOOKUP($B42,Invulblad!$A$11:$S$103,9,0),"")</f>
        <v>0</v>
      </c>
      <c r="P42" s="235">
        <f t="shared" ref="P42:P47" si="7">IF(L42&lt;&gt;"",IF(AND(M42=H42,O42=J42),10,IF(K42=L42,5,0)),"")</f>
        <v>0</v>
      </c>
    </row>
    <row r="43" spans="1:16">
      <c r="A43" s="205">
        <v>34</v>
      </c>
      <c r="B43" s="212">
        <v>10</v>
      </c>
      <c r="C43" s="226">
        <v>40343</v>
      </c>
      <c r="D43" s="227">
        <v>0.66666666666666663</v>
      </c>
      <c r="E43" s="228" t="s">
        <v>141</v>
      </c>
      <c r="F43" s="229" t="s">
        <v>29</v>
      </c>
      <c r="G43" s="212" t="s">
        <v>142</v>
      </c>
      <c r="H43" s="229">
        <v>1</v>
      </c>
      <c r="I43" s="229" t="s">
        <v>29</v>
      </c>
      <c r="J43" s="229">
        <v>0</v>
      </c>
      <c r="K43" s="235" t="str">
        <f t="shared" si="2"/>
        <v>1</v>
      </c>
      <c r="L43" s="233" t="str">
        <f>VLOOKUP($B43,Invulblad!$A$11:$S$103,13,0)</f>
        <v>1</v>
      </c>
      <c r="M43" s="234">
        <f>IF(L43&lt;&gt;"",VLOOKUP($B43,Invulblad!$A$11:$S$103,7,0),"")</f>
        <v>1</v>
      </c>
      <c r="N43" s="229" t="s">
        <v>29</v>
      </c>
      <c r="O43" s="234">
        <f>IF(L43&lt;&gt;"",VLOOKUP($B43,Invulblad!$A$11:$S$103,9,0),"")</f>
        <v>0</v>
      </c>
      <c r="P43" s="235">
        <f t="shared" si="7"/>
        <v>10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10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0</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5</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1</v>
      </c>
      <c r="K50" s="235">
        <f t="shared" si="8"/>
        <v>3</v>
      </c>
      <c r="L50" s="233">
        <f>VLOOKUP($B50,Invulblad!$A$11:$S$103,13,0)</f>
        <v>3</v>
      </c>
      <c r="M50" s="234">
        <f>IF(L50&lt;&gt;"",VLOOKUP($B50,Invulblad!$A$11:$S$103,7,0),"")</f>
        <v>1</v>
      </c>
      <c r="N50" s="229" t="s">
        <v>29</v>
      </c>
      <c r="O50" s="234">
        <f>IF(L50&lt;&gt;"",VLOOKUP($B50,Invulblad!$A$11:$S$103,9,0),"")</f>
        <v>1</v>
      </c>
      <c r="P50" s="235">
        <f t="shared" si="9"/>
        <v>10</v>
      </c>
    </row>
    <row r="51" spans="1:16">
      <c r="A51" s="205">
        <v>43</v>
      </c>
      <c r="B51" s="212">
        <v>27</v>
      </c>
      <c r="C51" s="226">
        <v>40349</v>
      </c>
      <c r="D51" s="227">
        <v>0.5625</v>
      </c>
      <c r="E51" s="228" t="s">
        <v>151</v>
      </c>
      <c r="F51" s="229" t="s">
        <v>29</v>
      </c>
      <c r="G51" s="212" t="s">
        <v>148</v>
      </c>
      <c r="H51" s="229">
        <v>0</v>
      </c>
      <c r="I51" s="229" t="s">
        <v>29</v>
      </c>
      <c r="J51" s="229">
        <v>2</v>
      </c>
      <c r="K51" s="235">
        <f t="shared" si="8"/>
        <v>2</v>
      </c>
      <c r="L51" s="233">
        <f>VLOOKUP($B51,Invulblad!$A$11:$S$103,13,0)</f>
        <v>2</v>
      </c>
      <c r="M51" s="234">
        <f>IF(L51&lt;&gt;"",VLOOKUP($B51,Invulblad!$A$11:$S$103,7,0),"")</f>
        <v>0</v>
      </c>
      <c r="N51" s="229" t="s">
        <v>29</v>
      </c>
      <c r="O51" s="234">
        <f>IF(L51&lt;&gt;"",VLOOKUP($B51,Invulblad!$A$11:$S$103,9,0),"")</f>
        <v>2</v>
      </c>
      <c r="P51" s="235">
        <f t="shared" si="9"/>
        <v>10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0</v>
      </c>
      <c r="K53" s="235" t="str">
        <f t="shared" si="8"/>
        <v>1</v>
      </c>
      <c r="L53" s="233" t="str">
        <f>VLOOKUP($B53,Invulblad!$A$11:$S$103,13,0)</f>
        <v>1</v>
      </c>
      <c r="M53" s="234">
        <f>IF(L53&lt;&gt;"",VLOOKUP($B53,Invulblad!$A$11:$S$103,7,0),"")</f>
        <v>3</v>
      </c>
      <c r="N53" s="229" t="s">
        <v>29</v>
      </c>
      <c r="O53" s="234">
        <f>IF(L53&lt;&gt;"",VLOOKUP($B53,Invulblad!$A$11:$S$103,9,0),"")</f>
        <v>2</v>
      </c>
      <c r="P53" s="235">
        <f t="shared" si="9"/>
        <v>5</v>
      </c>
    </row>
    <row r="54" spans="1:16">
      <c r="A54" s="205">
        <v>46</v>
      </c>
      <c r="B54" s="212">
        <v>42</v>
      </c>
      <c r="C54" s="226">
        <v>40353</v>
      </c>
      <c r="D54" s="227">
        <v>0.66666666666666663</v>
      </c>
      <c r="E54" s="228" t="s">
        <v>154</v>
      </c>
      <c r="F54" s="229" t="s">
        <v>29</v>
      </c>
      <c r="G54" s="212" t="s">
        <v>152</v>
      </c>
      <c r="H54" s="229">
        <v>0</v>
      </c>
      <c r="I54" s="229" t="s">
        <v>29</v>
      </c>
      <c r="J54" s="229">
        <v>1</v>
      </c>
      <c r="K54" s="235">
        <f t="shared" si="8"/>
        <v>2</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0</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2</v>
      </c>
      <c r="I57" s="229" t="s">
        <v>29</v>
      </c>
      <c r="J57" s="229">
        <v>1</v>
      </c>
      <c r="K57" s="235" t="str">
        <f t="shared" si="8"/>
        <v>1</v>
      </c>
      <c r="L57" s="233" t="str">
        <f>VLOOKUP($B57,Invulblad!$A$11:$S$103,13,0)</f>
        <v>1</v>
      </c>
      <c r="M57" s="234">
        <f>IF(L57&lt;&gt;"",VLOOKUP($B57,Invulblad!$A$11:$S$103,7,0),"")</f>
        <v>2</v>
      </c>
      <c r="N57" s="229" t="s">
        <v>29</v>
      </c>
      <c r="O57" s="234">
        <f>IF(L57&lt;&gt;"",VLOOKUP($B57,Invulblad!$A$11:$S$103,9,0),"")</f>
        <v>1</v>
      </c>
      <c r="P57" s="235">
        <f t="shared" si="10"/>
        <v>10</v>
      </c>
    </row>
    <row r="58" spans="1:16">
      <c r="A58" s="205">
        <v>51</v>
      </c>
      <c r="B58" s="212">
        <v>29</v>
      </c>
      <c r="C58" s="226">
        <v>40349</v>
      </c>
      <c r="D58" s="227">
        <v>0.85416666666666663</v>
      </c>
      <c r="E58" s="228" t="s">
        <v>157</v>
      </c>
      <c r="F58" s="229" t="s">
        <v>29</v>
      </c>
      <c r="G58" s="212" t="s">
        <v>159</v>
      </c>
      <c r="H58" s="229">
        <v>3</v>
      </c>
      <c r="I58" s="229" t="s">
        <v>29</v>
      </c>
      <c r="J58" s="229">
        <v>0</v>
      </c>
      <c r="K58" s="235" t="str">
        <f t="shared" si="8"/>
        <v>1</v>
      </c>
      <c r="L58" s="233" t="str">
        <f>VLOOKUP($B58,Invulblad!$A$11:$S$103,13,0)</f>
        <v>1</v>
      </c>
      <c r="M58" s="234">
        <f>IF(L58&lt;&gt;"",VLOOKUP($B58,Invulblad!$A$11:$S$103,7,0),"")</f>
        <v>3</v>
      </c>
      <c r="N58" s="229" t="s">
        <v>29</v>
      </c>
      <c r="O58" s="234">
        <f>IF(L58&lt;&gt;"",VLOOKUP($B58,Invulblad!$A$11:$S$103,9,0),"")</f>
        <v>1</v>
      </c>
      <c r="P58" s="235">
        <f t="shared" si="10"/>
        <v>5</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1</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1</v>
      </c>
      <c r="I61" s="229" t="s">
        <v>29</v>
      </c>
      <c r="J61" s="229">
        <v>0</v>
      </c>
      <c r="K61" s="235" t="str">
        <f t="shared" si="8"/>
        <v>1</v>
      </c>
      <c r="L61" s="233">
        <f>VLOOKUP($B61,Invulblad!$A$11:$S$103,13,0)</f>
        <v>2</v>
      </c>
      <c r="M61" s="234">
        <f>IF(L61&lt;&gt;"",VLOOKUP($B61,Invulblad!$A$11:$S$103,7,0),"")</f>
        <v>0</v>
      </c>
      <c r="N61" s="229" t="s">
        <v>29</v>
      </c>
      <c r="O61" s="234">
        <f>IF(L61&lt;&gt;"",VLOOKUP($B61,Invulblad!$A$11:$S$103,9,0),"")</f>
        <v>3</v>
      </c>
      <c r="P61" s="235">
        <f t="shared" si="10"/>
        <v>0</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0</v>
      </c>
      <c r="K63" s="235" t="str">
        <f t="shared" si="8"/>
        <v>1</v>
      </c>
      <c r="L63" s="233">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0</v>
      </c>
      <c r="I65" s="229" t="s">
        <v>29</v>
      </c>
      <c r="J65" s="229">
        <v>1</v>
      </c>
      <c r="K65" s="235">
        <f t="shared" si="8"/>
        <v>2</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2</v>
      </c>
      <c r="I66" s="229" t="s">
        <v>29</v>
      </c>
      <c r="J66" s="229">
        <v>1</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0</v>
      </c>
      <c r="K67" s="235" t="str">
        <f t="shared" si="8"/>
        <v>1</v>
      </c>
      <c r="L67" s="233">
        <f>VLOOKUP($B67,Invulblad!$A$11:$S$103,13,0)</f>
        <v>2</v>
      </c>
      <c r="M67" s="234">
        <f>IF(L67&lt;&gt;"",VLOOKUP($B67,Invulblad!$A$11:$S$103,7,0),"")</f>
        <v>1</v>
      </c>
      <c r="N67" s="229" t="s">
        <v>29</v>
      </c>
      <c r="O67" s="234">
        <f>IF(L67&lt;&gt;"",VLOOKUP($B67,Invulblad!$A$11:$S$103,9,0),"")</f>
        <v>2</v>
      </c>
      <c r="P67" s="235">
        <f t="shared" si="11"/>
        <v>0</v>
      </c>
    </row>
    <row r="68" spans="1:16">
      <c r="A68" s="205">
        <v>62</v>
      </c>
      <c r="B68" s="212">
        <v>48</v>
      </c>
      <c r="C68" s="226">
        <v>40354</v>
      </c>
      <c r="D68" s="227">
        <v>0.85416666666666663</v>
      </c>
      <c r="E68" s="228" t="s">
        <v>170</v>
      </c>
      <c r="F68" s="229" t="s">
        <v>29</v>
      </c>
      <c r="G68" s="212" t="s">
        <v>168</v>
      </c>
      <c r="H68" s="229">
        <v>0</v>
      </c>
      <c r="I68" s="229" t="s">
        <v>29</v>
      </c>
      <c r="J68" s="229">
        <v>2</v>
      </c>
      <c r="K68" s="235">
        <f t="shared" si="8"/>
        <v>2</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116</v>
      </c>
      <c r="H70" s="229">
        <v>2</v>
      </c>
      <c r="I70" s="229" t="s">
        <v>29</v>
      </c>
      <c r="J70" s="229">
        <v>2</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8" t="s">
        <v>124</v>
      </c>
      <c r="F71" s="229" t="s">
        <v>29</v>
      </c>
      <c r="G71" s="222" t="s">
        <v>239</v>
      </c>
      <c r="H71" s="229">
        <v>0</v>
      </c>
      <c r="I71" s="229" t="s">
        <v>29</v>
      </c>
      <c r="J71" s="229">
        <v>2</v>
      </c>
      <c r="K71" s="235">
        <f t="shared" si="8"/>
        <v>2</v>
      </c>
      <c r="L71" s="233">
        <f>VLOOKUP($B71,Invulblad!$A$11:$S$103,13,0)</f>
        <v>2</v>
      </c>
      <c r="M71" s="234">
        <f>IF(L71&lt;&gt;"",VLOOKUP($B71,Invulblad!$A$11:$S$103,7,0),"")</f>
        <v>1</v>
      </c>
      <c r="N71" s="229" t="s">
        <v>29</v>
      </c>
      <c r="O71" s="234">
        <f>IF(L71&lt;&gt;"",VLOOKUP($B71,Invulblad!$A$11:$S$103,9,0),"")</f>
        <v>2</v>
      </c>
      <c r="P71" s="235">
        <f t="shared" si="12"/>
        <v>5</v>
      </c>
    </row>
    <row r="72" spans="1:16">
      <c r="A72" s="205">
        <v>67</v>
      </c>
      <c r="B72" s="212">
        <v>51</v>
      </c>
      <c r="C72" s="226">
        <v>40356</v>
      </c>
      <c r="D72" s="227">
        <v>0.66666666666666663</v>
      </c>
      <c r="E72" s="223" t="s">
        <v>240</v>
      </c>
      <c r="F72" s="229" t="s">
        <v>29</v>
      </c>
      <c r="G72" s="212" t="s">
        <v>32</v>
      </c>
      <c r="H72" s="229">
        <v>1</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118</v>
      </c>
      <c r="F73" s="229" t="s">
        <v>29</v>
      </c>
      <c r="G73" s="212" t="s">
        <v>107</v>
      </c>
      <c r="H73" s="229">
        <v>1</v>
      </c>
      <c r="I73" s="229" t="s">
        <v>29</v>
      </c>
      <c r="J73" s="229">
        <v>0</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259</v>
      </c>
      <c r="H74" s="229">
        <v>2</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277</v>
      </c>
      <c r="H75" s="229">
        <v>3</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10</v>
      </c>
    </row>
    <row r="76" spans="1:16">
      <c r="A76" s="205">
        <v>71</v>
      </c>
      <c r="B76" s="212">
        <v>55</v>
      </c>
      <c r="C76" s="226">
        <v>40358</v>
      </c>
      <c r="D76" s="227">
        <v>0.66666666666666663</v>
      </c>
      <c r="E76" s="223" t="s">
        <v>257</v>
      </c>
      <c r="F76" s="229" t="s">
        <v>29</v>
      </c>
      <c r="G76" s="212" t="s">
        <v>250</v>
      </c>
      <c r="H76" s="229">
        <v>1</v>
      </c>
      <c r="I76" s="229" t="s">
        <v>29</v>
      </c>
      <c r="J76" s="229">
        <v>1</v>
      </c>
      <c r="K76" s="235">
        <f t="shared" si="8"/>
        <v>3</v>
      </c>
      <c r="L76" s="233">
        <f>VLOOKUP($B76,Invulblad!$A$11:$S$103,13,0)</f>
        <v>3</v>
      </c>
      <c r="M76" s="234">
        <f>IF(L76&lt;&gt;"",VLOOKUP($B76,Invulblad!$A$11:$S$103,7,0),"")</f>
        <v>0</v>
      </c>
      <c r="N76" s="229" t="s">
        <v>29</v>
      </c>
      <c r="O76" s="234">
        <f>IF(L76&lt;&gt;"",VLOOKUP($B76,Invulblad!$A$11:$S$103,9,0),"")</f>
        <v>0</v>
      </c>
      <c r="P76" s="235">
        <f t="shared" si="12"/>
        <v>5</v>
      </c>
    </row>
    <row r="77" spans="1:16">
      <c r="A77" s="205">
        <v>72</v>
      </c>
      <c r="B77" s="212">
        <v>56</v>
      </c>
      <c r="C77" s="226">
        <v>40358</v>
      </c>
      <c r="D77" s="227">
        <v>0.85416666666666663</v>
      </c>
      <c r="E77" s="223" t="s">
        <v>200</v>
      </c>
      <c r="F77" s="229" t="s">
        <v>29</v>
      </c>
      <c r="G77" s="212" t="s">
        <v>268</v>
      </c>
      <c r="H77" s="229">
        <v>2</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0</v>
      </c>
      <c r="I79" s="229" t="s">
        <v>29</v>
      </c>
      <c r="J79" s="229">
        <v>2</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239</v>
      </c>
      <c r="H80" s="229">
        <v>1</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118</v>
      </c>
      <c r="F81" s="229" t="s">
        <v>29</v>
      </c>
      <c r="G81" s="222" t="s">
        <v>240</v>
      </c>
      <c r="H81" s="229">
        <v>0</v>
      </c>
      <c r="I81" s="229" t="s">
        <v>29</v>
      </c>
      <c r="J81" s="229">
        <v>1</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8" t="s">
        <v>257</v>
      </c>
      <c r="F82" s="229" t="s">
        <v>29</v>
      </c>
      <c r="G82" s="222" t="s">
        <v>200</v>
      </c>
      <c r="H82" s="229">
        <v>0</v>
      </c>
      <c r="I82" s="229" t="s">
        <v>29</v>
      </c>
      <c r="J82" s="229">
        <v>0</v>
      </c>
      <c r="K82" s="235">
        <f t="shared" si="13"/>
        <v>3</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239</v>
      </c>
      <c r="F84" s="229" t="s">
        <v>29</v>
      </c>
      <c r="G84" s="222" t="s">
        <v>265</v>
      </c>
      <c r="H84" s="229">
        <v>0</v>
      </c>
      <c r="I84" s="229" t="s">
        <v>29</v>
      </c>
      <c r="J84" s="229">
        <v>1</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240</v>
      </c>
      <c r="F85" s="229" t="s">
        <v>29</v>
      </c>
      <c r="G85" s="212" t="s">
        <v>200</v>
      </c>
      <c r="H85" s="229">
        <v>1</v>
      </c>
      <c r="I85" s="229" t="s">
        <v>29</v>
      </c>
      <c r="J85" s="229">
        <v>0</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239</v>
      </c>
      <c r="F87" s="229" t="s">
        <v>29</v>
      </c>
      <c r="G87" s="222" t="s">
        <v>200</v>
      </c>
      <c r="H87" s="229">
        <v>0</v>
      </c>
      <c r="I87" s="229" t="s">
        <v>29</v>
      </c>
      <c r="J87" s="229">
        <v>1</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240</v>
      </c>
      <c r="H89" s="229">
        <v>2</v>
      </c>
      <c r="I89" s="229" t="s">
        <v>29</v>
      </c>
      <c r="J89" s="229">
        <v>0</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107</v>
      </c>
    </row>
    <row r="98" spans="2:5">
      <c r="B98" s="218" t="s">
        <v>206</v>
      </c>
    </row>
    <row r="100" spans="2:5">
      <c r="B100" s="240" t="s">
        <v>207</v>
      </c>
      <c r="C100" s="240" t="s">
        <v>208</v>
      </c>
      <c r="D100" s="240" t="s">
        <v>209</v>
      </c>
      <c r="E100" s="240" t="s">
        <v>210</v>
      </c>
    </row>
    <row r="101" spans="2:5">
      <c r="B101" s="241" t="s">
        <v>205</v>
      </c>
      <c r="C101" s="241" t="s">
        <v>226</v>
      </c>
      <c r="D101" s="241" t="s">
        <v>215</v>
      </c>
      <c r="E101" s="241" t="s">
        <v>211</v>
      </c>
    </row>
    <row r="102" spans="2:5">
      <c r="B102" s="242" t="s">
        <v>214</v>
      </c>
      <c r="C102" s="242" t="s">
        <v>213</v>
      </c>
      <c r="D102" s="242" t="s">
        <v>227</v>
      </c>
      <c r="E102" s="242" t="s">
        <v>215</v>
      </c>
    </row>
    <row r="103" spans="2:5">
      <c r="B103" s="241" t="s">
        <v>109</v>
      </c>
      <c r="C103" s="241" t="s">
        <v>213</v>
      </c>
      <c r="D103" s="241" t="s">
        <v>212</v>
      </c>
      <c r="E103" s="241" t="s">
        <v>213</v>
      </c>
    </row>
    <row r="104" spans="2:5">
      <c r="B104" s="242" t="s">
        <v>107</v>
      </c>
      <c r="C104" s="242" t="s">
        <v>226</v>
      </c>
      <c r="D104" s="242" t="s">
        <v>212</v>
      </c>
      <c r="E104" s="242" t="s">
        <v>215</v>
      </c>
    </row>
    <row r="107" spans="2:5">
      <c r="B107" s="218" t="s">
        <v>219</v>
      </c>
    </row>
    <row r="108" spans="2:5">
      <c r="B108" s="212"/>
    </row>
    <row r="109" spans="2:5">
      <c r="B109" s="212" t="s">
        <v>319</v>
      </c>
    </row>
    <row r="110" spans="2:5">
      <c r="B110" s="212"/>
    </row>
    <row r="113" spans="1:15">
      <c r="B113" s="243"/>
      <c r="C113" s="243"/>
      <c r="D113" s="243"/>
      <c r="E113" s="243"/>
      <c r="F113" s="243"/>
      <c r="G113" s="243"/>
      <c r="H113" s="243"/>
      <c r="I113" s="243"/>
      <c r="J113" s="243"/>
    </row>
    <row r="114" spans="1:15">
      <c r="K114" s="243"/>
      <c r="L114" s="244"/>
      <c r="M114" s="243"/>
      <c r="N114" s="243"/>
      <c r="O114" s="243"/>
    </row>
    <row r="116" spans="1:15">
      <c r="A116" s="206"/>
      <c r="B116" s="218" t="s">
        <v>222</v>
      </c>
    </row>
    <row r="118" spans="1:15">
      <c r="A118" s="205" t="s">
        <v>75</v>
      </c>
      <c r="B118" s="206" t="s">
        <v>202</v>
      </c>
      <c r="C118" s="206" t="s">
        <v>203</v>
      </c>
      <c r="D118" s="218" t="s">
        <v>118</v>
      </c>
    </row>
    <row r="119" spans="1:15">
      <c r="A119" s="252" t="s">
        <v>76</v>
      </c>
      <c r="B119" s="206" t="s">
        <v>204</v>
      </c>
      <c r="C119" s="206" t="s">
        <v>203</v>
      </c>
      <c r="D119" s="218" t="s">
        <v>116</v>
      </c>
    </row>
    <row r="122" spans="1:15">
      <c r="B122" s="218" t="s">
        <v>223</v>
      </c>
    </row>
    <row r="124" spans="1:15">
      <c r="B124" s="240" t="s">
        <v>207</v>
      </c>
      <c r="C124" s="240" t="s">
        <v>208</v>
      </c>
      <c r="D124" s="240" t="s">
        <v>209</v>
      </c>
      <c r="E124" s="240" t="s">
        <v>210</v>
      </c>
    </row>
    <row r="125" spans="1:15">
      <c r="B125" s="241" t="s">
        <v>120</v>
      </c>
      <c r="C125" s="241" t="s">
        <v>212</v>
      </c>
      <c r="D125" s="241" t="s">
        <v>314</v>
      </c>
      <c r="E125" s="241" t="s">
        <v>212</v>
      </c>
    </row>
    <row r="126" spans="1:15">
      <c r="B126" s="242" t="s">
        <v>116</v>
      </c>
      <c r="C126" s="242" t="s">
        <v>217</v>
      </c>
      <c r="D126" s="242" t="s">
        <v>213</v>
      </c>
      <c r="E126" s="242" t="s">
        <v>217</v>
      </c>
    </row>
    <row r="127" spans="1:15">
      <c r="B127" s="241" t="s">
        <v>122</v>
      </c>
      <c r="C127" s="241" t="s">
        <v>211</v>
      </c>
      <c r="D127" s="241" t="s">
        <v>218</v>
      </c>
      <c r="E127" s="241" t="s">
        <v>213</v>
      </c>
    </row>
    <row r="128" spans="1:15">
      <c r="B128" s="242" t="s">
        <v>118</v>
      </c>
      <c r="C128" s="242" t="s">
        <v>234</v>
      </c>
      <c r="D128" s="242" t="s">
        <v>215</v>
      </c>
      <c r="E128" s="242" t="s">
        <v>213</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32</v>
      </c>
    </row>
    <row r="146" spans="2:5">
      <c r="B146" s="218" t="s">
        <v>232</v>
      </c>
    </row>
    <row r="148" spans="2:5">
      <c r="B148" s="240" t="s">
        <v>207</v>
      </c>
      <c r="C148" s="240" t="s">
        <v>208</v>
      </c>
      <c r="D148" s="240" t="s">
        <v>209</v>
      </c>
      <c r="E148" s="240" t="s">
        <v>210</v>
      </c>
    </row>
    <row r="149" spans="2:5">
      <c r="B149" s="241" t="s">
        <v>126</v>
      </c>
      <c r="C149" s="241" t="s">
        <v>213</v>
      </c>
      <c r="D149" s="241" t="s">
        <v>227</v>
      </c>
      <c r="E149" s="241" t="s">
        <v>218</v>
      </c>
    </row>
    <row r="150" spans="2:5">
      <c r="B150" s="242" t="s">
        <v>124</v>
      </c>
      <c r="C150" s="242" t="s">
        <v>225</v>
      </c>
      <c r="D150" s="242" t="s">
        <v>211</v>
      </c>
      <c r="E150" s="242" t="s">
        <v>217</v>
      </c>
    </row>
    <row r="151" spans="2:5">
      <c r="B151" s="241" t="s">
        <v>128</v>
      </c>
      <c r="C151" s="241" t="s">
        <v>212</v>
      </c>
      <c r="D151" s="241" t="s">
        <v>243</v>
      </c>
      <c r="E151" s="241" t="s">
        <v>212</v>
      </c>
    </row>
    <row r="152" spans="2:5">
      <c r="B152" s="242" t="s">
        <v>32</v>
      </c>
      <c r="C152" s="242" t="s">
        <v>226</v>
      </c>
      <c r="D152" s="242" t="s">
        <v>215</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240</v>
      </c>
    </row>
    <row r="167" spans="1:15">
      <c r="A167" s="205" t="s">
        <v>80</v>
      </c>
      <c r="B167" s="206" t="s">
        <v>204</v>
      </c>
      <c r="C167" s="206" t="s">
        <v>203</v>
      </c>
      <c r="D167" s="218" t="s">
        <v>239</v>
      </c>
    </row>
    <row r="170" spans="1:15">
      <c r="B170" s="218" t="s">
        <v>241</v>
      </c>
    </row>
    <row r="172" spans="1:15">
      <c r="B172" s="240" t="s">
        <v>207</v>
      </c>
      <c r="C172" s="240" t="s">
        <v>208</v>
      </c>
      <c r="D172" s="240" t="s">
        <v>209</v>
      </c>
      <c r="E172" s="240" t="s">
        <v>210</v>
      </c>
    </row>
    <row r="173" spans="1:15">
      <c r="B173" s="241" t="s">
        <v>239</v>
      </c>
      <c r="C173" s="241" t="s">
        <v>211</v>
      </c>
      <c r="D173" s="241" t="s">
        <v>212</v>
      </c>
      <c r="E173" s="241" t="s">
        <v>215</v>
      </c>
    </row>
    <row r="174" spans="1:15">
      <c r="B174" s="242" t="s">
        <v>242</v>
      </c>
      <c r="C174" s="242" t="s">
        <v>213</v>
      </c>
      <c r="D174" s="242" t="s">
        <v>212</v>
      </c>
      <c r="E174" s="242" t="s">
        <v>213</v>
      </c>
    </row>
    <row r="175" spans="1:15">
      <c r="B175" s="241" t="s">
        <v>244</v>
      </c>
      <c r="C175" s="241" t="s">
        <v>213</v>
      </c>
      <c r="D175" s="241" t="s">
        <v>227</v>
      </c>
      <c r="E175" s="241" t="s">
        <v>218</v>
      </c>
    </row>
    <row r="176" spans="1:15">
      <c r="B176" s="242" t="s">
        <v>240</v>
      </c>
      <c r="C176" s="242" t="s">
        <v>234</v>
      </c>
      <c r="D176" s="242" t="s">
        <v>215</v>
      </c>
      <c r="E176" s="242" t="s">
        <v>215</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5">
      <c r="B194" s="218" t="s">
        <v>249</v>
      </c>
    </row>
    <row r="196" spans="2:5">
      <c r="B196" s="240" t="s">
        <v>207</v>
      </c>
      <c r="C196" s="240" t="s">
        <v>208</v>
      </c>
      <c r="D196" s="240" t="s">
        <v>209</v>
      </c>
      <c r="E196" s="240" t="s">
        <v>210</v>
      </c>
    </row>
    <row r="197" spans="2:5">
      <c r="B197" s="241" t="s">
        <v>178</v>
      </c>
      <c r="C197" s="241" t="s">
        <v>234</v>
      </c>
      <c r="D197" s="241" t="s">
        <v>211</v>
      </c>
      <c r="E197" s="241" t="s">
        <v>217</v>
      </c>
    </row>
    <row r="198" spans="2:5">
      <c r="B198" s="242" t="s">
        <v>250</v>
      </c>
      <c r="C198" s="242" t="s">
        <v>234</v>
      </c>
      <c r="D198" s="242" t="s">
        <v>213</v>
      </c>
      <c r="E198" s="242" t="s">
        <v>217</v>
      </c>
    </row>
    <row r="199" spans="2:5">
      <c r="B199" s="241" t="s">
        <v>251</v>
      </c>
      <c r="C199" s="241" t="s">
        <v>213</v>
      </c>
      <c r="D199" s="241" t="s">
        <v>233</v>
      </c>
      <c r="E199" s="241" t="s">
        <v>218</v>
      </c>
    </row>
    <row r="200" spans="2:5">
      <c r="B200" s="242" t="s">
        <v>248</v>
      </c>
      <c r="C200" s="242" t="s">
        <v>212</v>
      </c>
      <c r="D200" s="242" t="s">
        <v>243</v>
      </c>
      <c r="E200" s="242" t="s">
        <v>218</v>
      </c>
    </row>
    <row r="203" spans="2:5">
      <c r="B203" s="218" t="s">
        <v>253</v>
      </c>
    </row>
    <row r="204" spans="2:5">
      <c r="B204" s="212"/>
    </row>
    <row r="205" spans="2:5">
      <c r="B205" s="212" t="s">
        <v>397</v>
      </c>
    </row>
    <row r="206" spans="2:5">
      <c r="B206" s="212"/>
    </row>
    <row r="209" spans="1:15">
      <c r="B209" s="243"/>
      <c r="C209" s="243"/>
      <c r="D209" s="243"/>
      <c r="E209" s="243"/>
      <c r="F209" s="243"/>
      <c r="G209" s="243"/>
      <c r="H209" s="243"/>
      <c r="I209" s="243"/>
      <c r="J209" s="243"/>
    </row>
    <row r="210" spans="1:15">
      <c r="K210" s="243"/>
      <c r="L210" s="244"/>
      <c r="M210" s="243"/>
      <c r="N210" s="243"/>
      <c r="O210" s="243"/>
    </row>
    <row r="212" spans="1:15">
      <c r="B212" s="218" t="s">
        <v>256</v>
      </c>
    </row>
    <row r="214" spans="1:15">
      <c r="A214" s="205" t="s">
        <v>83</v>
      </c>
      <c r="B214" s="206" t="s">
        <v>202</v>
      </c>
      <c r="C214" s="206" t="s">
        <v>203</v>
      </c>
      <c r="D214" s="218" t="s">
        <v>257</v>
      </c>
    </row>
    <row r="215" spans="1:15">
      <c r="A215" s="205" t="s">
        <v>84</v>
      </c>
      <c r="B215" s="206" t="s">
        <v>204</v>
      </c>
      <c r="C215" s="206" t="s">
        <v>203</v>
      </c>
      <c r="D215" s="218" t="s">
        <v>259</v>
      </c>
    </row>
    <row r="218" spans="1:15">
      <c r="B218" s="218" t="s">
        <v>258</v>
      </c>
    </row>
    <row r="220" spans="1:15">
      <c r="B220" s="240" t="s">
        <v>207</v>
      </c>
      <c r="C220" s="240" t="s">
        <v>208</v>
      </c>
      <c r="D220" s="240" t="s">
        <v>209</v>
      </c>
      <c r="E220" s="240" t="s">
        <v>210</v>
      </c>
    </row>
    <row r="221" spans="1:15">
      <c r="B221" s="241" t="s">
        <v>257</v>
      </c>
      <c r="C221" s="241" t="s">
        <v>226</v>
      </c>
      <c r="D221" s="241" t="s">
        <v>215</v>
      </c>
      <c r="E221" s="241" t="s">
        <v>213</v>
      </c>
    </row>
    <row r="222" spans="1:15">
      <c r="B222" s="242" t="s">
        <v>259</v>
      </c>
      <c r="C222" s="242" t="s">
        <v>211</v>
      </c>
      <c r="D222" s="242" t="s">
        <v>216</v>
      </c>
      <c r="E222" s="242" t="s">
        <v>215</v>
      </c>
    </row>
    <row r="223" spans="1:15">
      <c r="B223" s="241" t="s">
        <v>182</v>
      </c>
      <c r="C223" s="241" t="s">
        <v>213</v>
      </c>
      <c r="D223" s="241" t="s">
        <v>212</v>
      </c>
      <c r="E223" s="241" t="s">
        <v>215</v>
      </c>
    </row>
    <row r="224" spans="1:15">
      <c r="B224" s="242" t="s">
        <v>260</v>
      </c>
      <c r="C224" s="242" t="s">
        <v>211</v>
      </c>
      <c r="D224" s="242" t="s">
        <v>216</v>
      </c>
      <c r="E224" s="242" t="s">
        <v>215</v>
      </c>
    </row>
    <row r="227" spans="1:15">
      <c r="B227" s="218" t="s">
        <v>261</v>
      </c>
    </row>
    <row r="228" spans="1:15">
      <c r="B228" s="212"/>
    </row>
    <row r="229" spans="1:15">
      <c r="B229" s="212" t="s">
        <v>262</v>
      </c>
    </row>
    <row r="230" spans="1:15">
      <c r="B230" s="212" t="s">
        <v>398</v>
      </c>
    </row>
    <row r="233" spans="1:15">
      <c r="B233" s="243"/>
      <c r="C233" s="243"/>
      <c r="D233" s="243"/>
      <c r="E233" s="243"/>
      <c r="F233" s="243"/>
      <c r="G233" s="243"/>
      <c r="H233" s="243"/>
      <c r="I233" s="243"/>
      <c r="J233" s="243"/>
    </row>
    <row r="234" spans="1:15">
      <c r="K234" s="243"/>
      <c r="L234" s="244"/>
      <c r="M234" s="243"/>
      <c r="N234" s="243"/>
      <c r="O234"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234</v>
      </c>
      <c r="D245" s="241" t="s">
        <v>211</v>
      </c>
      <c r="E245" s="241" t="s">
        <v>217</v>
      </c>
    </row>
    <row r="246" spans="2:10">
      <c r="B246" s="242" t="s">
        <v>265</v>
      </c>
      <c r="C246" s="242" t="s">
        <v>234</v>
      </c>
      <c r="D246" s="242" t="s">
        <v>211</v>
      </c>
      <c r="E246" s="242" t="s">
        <v>226</v>
      </c>
    </row>
    <row r="247" spans="2:10">
      <c r="B247" s="241" t="s">
        <v>266</v>
      </c>
      <c r="C247" s="241" t="s">
        <v>212</v>
      </c>
      <c r="D247" s="241" t="s">
        <v>314</v>
      </c>
      <c r="E247" s="241" t="s">
        <v>212</v>
      </c>
    </row>
    <row r="248" spans="2:10">
      <c r="B248" s="242" t="s">
        <v>269</v>
      </c>
      <c r="C248" s="242" t="s">
        <v>213</v>
      </c>
      <c r="D248" s="242" t="s">
        <v>227</v>
      </c>
      <c r="E248" s="242" t="s">
        <v>215</v>
      </c>
    </row>
    <row r="251" spans="2:10">
      <c r="B251" s="218" t="s">
        <v>270</v>
      </c>
    </row>
    <row r="252" spans="2:10">
      <c r="B252" s="212"/>
    </row>
    <row r="253" spans="2:10">
      <c r="B253" s="212" t="s">
        <v>335</v>
      </c>
    </row>
    <row r="254" spans="2:10">
      <c r="B254" s="212"/>
    </row>
    <row r="256" spans="2:10">
      <c r="B256" s="243"/>
      <c r="C256" s="243"/>
      <c r="D256" s="243"/>
      <c r="E256" s="243"/>
      <c r="F256" s="243"/>
      <c r="G256" s="243"/>
      <c r="H256" s="243"/>
      <c r="I256" s="243"/>
      <c r="J256" s="243"/>
    </row>
    <row r="258" spans="1:15">
      <c r="K258" s="243"/>
      <c r="L258" s="244"/>
      <c r="M258" s="243"/>
      <c r="N258" s="243"/>
      <c r="O258"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277</v>
      </c>
    </row>
    <row r="263" spans="1:15">
      <c r="A263" s="205" t="s">
        <v>87</v>
      </c>
    </row>
    <row r="264" spans="1:15">
      <c r="A264" s="205" t="s">
        <v>88</v>
      </c>
    </row>
    <row r="265" spans="1:15">
      <c r="B265" s="218" t="s">
        <v>275</v>
      </c>
    </row>
    <row r="267" spans="1:15">
      <c r="B267" s="240" t="s">
        <v>207</v>
      </c>
      <c r="C267" s="240" t="s">
        <v>208</v>
      </c>
      <c r="D267" s="240" t="s">
        <v>209</v>
      </c>
      <c r="E267" s="240" t="s">
        <v>210</v>
      </c>
    </row>
    <row r="268" spans="1:15">
      <c r="B268" s="241" t="s">
        <v>274</v>
      </c>
      <c r="C268" s="241" t="s">
        <v>213</v>
      </c>
      <c r="D268" s="241" t="s">
        <v>216</v>
      </c>
      <c r="E268" s="241" t="s">
        <v>218</v>
      </c>
    </row>
    <row r="269" spans="1:15">
      <c r="B269" s="242" t="s">
        <v>200</v>
      </c>
      <c r="C269" s="242" t="s">
        <v>226</v>
      </c>
      <c r="D269" s="242" t="s">
        <v>215</v>
      </c>
      <c r="E269" s="242" t="s">
        <v>211</v>
      </c>
    </row>
    <row r="270" spans="1:15">
      <c r="B270" s="241" t="s">
        <v>276</v>
      </c>
      <c r="C270" s="241" t="s">
        <v>213</v>
      </c>
      <c r="D270" s="241" t="s">
        <v>233</v>
      </c>
      <c r="E270" s="241" t="s">
        <v>218</v>
      </c>
    </row>
    <row r="271" spans="1:15">
      <c r="B271" s="242" t="s">
        <v>277</v>
      </c>
      <c r="C271" s="242" t="s">
        <v>226</v>
      </c>
      <c r="D271" s="242" t="s">
        <v>215</v>
      </c>
      <c r="E271" s="242" t="s">
        <v>211</v>
      </c>
    </row>
    <row r="274" spans="2:15">
      <c r="B274" s="218" t="s">
        <v>278</v>
      </c>
    </row>
    <row r="275" spans="2:15">
      <c r="B275" s="212"/>
    </row>
    <row r="276" spans="2:15">
      <c r="B276" s="212" t="s">
        <v>399</v>
      </c>
    </row>
    <row r="277" spans="2:15">
      <c r="B277" s="212"/>
    </row>
    <row r="280" spans="2:15">
      <c r="B280" s="243"/>
      <c r="C280" s="243"/>
      <c r="D280" s="243"/>
      <c r="E280" s="243"/>
      <c r="F280" s="243"/>
      <c r="G280" s="243"/>
      <c r="H280" s="243"/>
      <c r="I280" s="243"/>
      <c r="J280" s="243"/>
    </row>
    <row r="283" spans="2:15">
      <c r="K283" s="243"/>
      <c r="L283" s="244"/>
      <c r="M283" s="243"/>
      <c r="N283" s="243"/>
      <c r="O283"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8.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403</v>
      </c>
      <c r="L1" s="211"/>
      <c r="P1" s="210">
        <f>SUM(P14:P89)+E11+H11+L7+L11</f>
        <v>315</v>
      </c>
    </row>
    <row r="2" spans="1:17" s="212" customFormat="1" ht="15" customHeight="1">
      <c r="B2" s="213" t="s">
        <v>97</v>
      </c>
      <c r="G2" s="213" t="s">
        <v>98</v>
      </c>
      <c r="J2" s="213" t="s">
        <v>99</v>
      </c>
      <c r="L2" s="214"/>
    </row>
    <row r="3" spans="1:17" s="212" customFormat="1" ht="15" customHeight="1">
      <c r="B3" s="212" t="str">
        <f t="shared" ref="B3:B10" si="0">E70</f>
        <v>Uruguay</v>
      </c>
      <c r="C3" s="247">
        <f>IF(AND(ISNA(MATCH(B3,Invulblad!$F$76:$F$83,0)),ISNA(MATCH(B3,Invulblad!$J$76:$J$83,0))),0,10)</f>
        <v>10</v>
      </c>
      <c r="D3" s="212" t="str">
        <f t="shared" ref="D3:D10" si="1">G70</f>
        <v>Argentinië</v>
      </c>
      <c r="E3" s="247">
        <f>IF(AND(ISNA(MATCH(D3,Invulblad!$F$76:$F$83,0)),ISNA(MATCH(D3,Invulblad!$J$76:$J$83,0))),0,10)</f>
        <v>10</v>
      </c>
      <c r="G3" s="212" t="str">
        <f>E79</f>
        <v>Kameroen</v>
      </c>
      <c r="H3" s="247">
        <f>IF(AND(ISNA(MATCH(G3,Invulblad!$F$87:$F$90,0)),ISNA(MATCH(G3,Invulblad!$J$87:$J$90,0))),0,15)</f>
        <v>0</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Australië</v>
      </c>
      <c r="E4" s="247">
        <f>IF(AND(ISNA(MATCH(D4,Invulblad!$F$76:$F$83,0)),ISNA(MATCH(D4,Invulblad!$J$76:$J$83,0))),0,10)</f>
        <v>0</v>
      </c>
      <c r="G4" s="212" t="str">
        <f>E80</f>
        <v>Argentinië</v>
      </c>
      <c r="H4" s="247">
        <f>IF(AND(ISNA(MATCH(G4,Invulblad!$F$87:$F$90,0)),ISNA(MATCH(G4,Invulblad!$J$87:$J$90,0))),0,15)</f>
        <v>15</v>
      </c>
      <c r="J4" s="212" t="str">
        <f>E85</f>
        <v>Duitsland</v>
      </c>
      <c r="L4" s="247">
        <f>IF(AND(ISNA(MATCH(J4,Invulblad!$F$94:$F$95,0)),ISNA(MATCH(J4,Invulblad!$J$94:$J$95,0))),0,20+25)</f>
        <v>45</v>
      </c>
      <c r="Q4" s="249"/>
    </row>
    <row r="5" spans="1:17" s="212" customFormat="1" ht="15" customHeight="1">
      <c r="B5" s="212" t="str">
        <f t="shared" si="0"/>
        <v>Duitsland</v>
      </c>
      <c r="C5" s="247">
        <f>IF(AND(ISNA(MATCH(B5,Invulblad!$F$76:$F$83,0)),ISNA(MATCH(B5,Invulblad!$J$76:$J$83,0))),0,10)</f>
        <v>10</v>
      </c>
      <c r="D5" s="212" t="str">
        <f t="shared" si="1"/>
        <v>Slovenië</v>
      </c>
      <c r="E5" s="247">
        <f>IF(AND(ISNA(MATCH(D5,Invulblad!$F$76:$F$83,0)),ISNA(MATCH(D5,Invulblad!$J$76:$J$83,0))),0,10)</f>
        <v>0</v>
      </c>
      <c r="G5" s="212" t="str">
        <f>E81</f>
        <v>Nigeria</v>
      </c>
      <c r="H5" s="247">
        <f>IF(AND(ISNA(MATCH(G5,Invulblad!$F$87:$F$90,0)),ISNA(MATCH(G5,Invulblad!$J$87:$J$90,0))),0,15)</f>
        <v>0</v>
      </c>
      <c r="J5" s="212" t="str">
        <f>G84</f>
        <v>Brazilië</v>
      </c>
      <c r="L5" s="247">
        <f>IF(AND(ISNA(MATCH(J5,Invulblad!$F$94:$F$95,0)),ISNA(MATCH(J5,Invulblad!$J$94:$J$95,0))),0,20+25)</f>
        <v>0</v>
      </c>
    </row>
    <row r="6" spans="1:17" s="212" customFormat="1" ht="15" customHeight="1">
      <c r="B6" s="212" t="str">
        <f t="shared" si="0"/>
        <v>Nigeria</v>
      </c>
      <c r="C6" s="247">
        <f>IF(AND(ISNA(MATCH(B6,Invulblad!$F$76:$F$83,0)),ISNA(MATCH(B6,Invulblad!$J$76:$J$83,0))),0,10)</f>
        <v>0</v>
      </c>
      <c r="D6" s="212" t="str">
        <f t="shared" si="1"/>
        <v>Frankrijk</v>
      </c>
      <c r="E6" s="247">
        <f>IF(AND(ISNA(MATCH(D6,Invulblad!$F$76:$F$83,0)),ISNA(MATCH(D6,Invulblad!$J$76:$J$83,0))),0,10)</f>
        <v>0</v>
      </c>
      <c r="G6" s="212" t="str">
        <f>E82</f>
        <v>Italië</v>
      </c>
      <c r="H6" s="247">
        <f>IF(AND(ISNA(MATCH(G6,Invulblad!$F$87:$F$90,0)),ISNA(MATCH(G6,Invulblad!$J$87:$J$90,0))),0,15)</f>
        <v>0</v>
      </c>
      <c r="J6" s="212" t="str">
        <f>G85</f>
        <v>Italië</v>
      </c>
      <c r="L6" s="247">
        <f>IF(AND(ISNA(MATCH(J6,Invulblad!$F$94:$F$95,0)),ISNA(MATCH(J6,Invulblad!$J$94:$J$95,0))),0,20+25)</f>
        <v>0</v>
      </c>
    </row>
    <row r="7" spans="1:17" s="212" customFormat="1" ht="15" customHeight="1">
      <c r="B7" s="212" t="str">
        <f t="shared" si="0"/>
        <v>Kameroen</v>
      </c>
      <c r="C7" s="247">
        <f>IF(AND(ISNA(MATCH(B7,Invulblad!$F$76:$F$83,0)),ISNA(MATCH(B7,Invulblad!$J$76:$J$83,0))),0,10)</f>
        <v>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Chili</v>
      </c>
      <c r="E8" s="247">
        <f>IF(AND(ISNA(MATCH(D8,Invulblad!$F$76:$F$83,0)),ISNA(MATCH(D8,Invulblad!$J$76:$J$83,0))),0,10)</f>
        <v>10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Nederland</v>
      </c>
      <c r="E9" s="247">
        <f>IF(AND(ISNA(MATCH(D9,Invulblad!$F$76:$F$83,0)),ISNA(MATCH(D9,Invulblad!$J$76:$J$83,0))),0,10)</f>
        <v>10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Duitsland</v>
      </c>
      <c r="L10" s="247">
        <f>IF(AND(ISNA(MATCH(J10,Invulblad!$F$103,0)),ISNA(MATCH(J10,Invulblad!$J$103,0))),0,5)</f>
        <v>0</v>
      </c>
    </row>
    <row r="11" spans="1:17" s="212" customFormat="1" ht="15" customHeight="1">
      <c r="D11" s="215" t="s">
        <v>100</v>
      </c>
      <c r="E11" s="250">
        <f>SUM(C3:E10)</f>
        <v>90</v>
      </c>
      <c r="G11" s="215" t="s">
        <v>92</v>
      </c>
      <c r="H11" s="250">
        <f>SUM(H3:H10)</f>
        <v>60</v>
      </c>
      <c r="J11" s="215" t="s">
        <v>101</v>
      </c>
      <c r="K11" s="216"/>
      <c r="L11" s="250">
        <f>SUM(L9:L10)</f>
        <v>0</v>
      </c>
    </row>
    <row r="12" spans="1:17">
      <c r="B12" s="218" t="s">
        <v>19</v>
      </c>
      <c r="C12" s="218"/>
      <c r="D12" s="218"/>
      <c r="E12" s="219" t="str">
        <f>IF(H89&gt;J89,E89,G89)</f>
        <v>Brazilië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1</v>
      </c>
      <c r="K14" s="235">
        <f t="shared" ref="K14:K45" si="2">IF(AND(H14="",J14=""),"",IF(OR(H14="",J14=""),"FOUT",IF(H14&gt;J14,"1",IF(H14=J14,3,2))))</f>
        <v>3</v>
      </c>
      <c r="L14" s="233">
        <f>VLOOKUP($B14,Invulblad!$A$11:$S$103,13,0)</f>
        <v>3</v>
      </c>
      <c r="M14" s="234">
        <f>IF(L14&lt;&gt;"",VLOOKUP($B14,Invulblad!$A$11:$S$103,7,0),"")</f>
        <v>1</v>
      </c>
      <c r="N14" s="229" t="s">
        <v>29</v>
      </c>
      <c r="O14" s="234">
        <f>IF(L14&lt;&gt;"",VLOOKUP($B14,Invulblad!$A$11:$S$103,9,0),"")</f>
        <v>1</v>
      </c>
      <c r="P14" s="235">
        <f t="shared" ref="P14:P19" si="3">IF(L14&lt;&gt;"",IF(AND(M14=H14,O14=J14),10,IF(K14=L14,5,0)),"")</f>
        <v>10</v>
      </c>
    </row>
    <row r="15" spans="1:17">
      <c r="A15" s="205">
        <v>2</v>
      </c>
      <c r="B15" s="212">
        <v>2</v>
      </c>
      <c r="C15" s="226">
        <v>40340</v>
      </c>
      <c r="D15" s="227">
        <v>0.85416666666666663</v>
      </c>
      <c r="E15" s="228" t="s">
        <v>301</v>
      </c>
      <c r="F15" s="229" t="s">
        <v>29</v>
      </c>
      <c r="G15" s="212" t="s">
        <v>110</v>
      </c>
      <c r="H15" s="229">
        <v>2</v>
      </c>
      <c r="I15" s="229" t="s">
        <v>29</v>
      </c>
      <c r="J15" s="229">
        <v>1</v>
      </c>
      <c r="K15" s="235" t="str">
        <f t="shared" si="2"/>
        <v>1</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0</v>
      </c>
      <c r="I16" s="229" t="s">
        <v>29</v>
      </c>
      <c r="J16" s="229">
        <v>1</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2</v>
      </c>
      <c r="I17" s="229" t="s">
        <v>29</v>
      </c>
      <c r="J17" s="229">
        <v>2</v>
      </c>
      <c r="K17" s="235">
        <f t="shared" si="2"/>
        <v>3</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2</v>
      </c>
      <c r="K18" s="235">
        <f t="shared" si="2"/>
        <v>2</v>
      </c>
      <c r="L18" s="233">
        <f>VLOOKUP($B18,Invulblad!$A$11:$S$103,13,0)</f>
        <v>2</v>
      </c>
      <c r="M18" s="234">
        <f>IF(L18&lt;&gt;"",VLOOKUP($B18,Invulblad!$A$11:$S$103,7,0),"")</f>
        <v>0</v>
      </c>
      <c r="N18" s="229" t="s">
        <v>29</v>
      </c>
      <c r="O18" s="234">
        <f>IF(L18&lt;&gt;"",VLOOKUP($B18,Invulblad!$A$11:$S$103,9,0),"")</f>
        <v>1</v>
      </c>
      <c r="P18" s="235">
        <f t="shared" si="3"/>
        <v>5</v>
      </c>
    </row>
    <row r="19" spans="1:16">
      <c r="A19" s="205">
        <v>6</v>
      </c>
      <c r="B19" s="212">
        <v>34</v>
      </c>
      <c r="C19" s="226">
        <v>40351</v>
      </c>
      <c r="D19" s="227">
        <v>0.66666666666666663</v>
      </c>
      <c r="E19" s="228" t="s">
        <v>113</v>
      </c>
      <c r="F19" s="229" t="s">
        <v>29</v>
      </c>
      <c r="G19" s="212" t="s">
        <v>115</v>
      </c>
      <c r="H19" s="229">
        <v>1</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1</v>
      </c>
      <c r="I21" s="229" t="s">
        <v>29</v>
      </c>
      <c r="J21" s="229">
        <v>1</v>
      </c>
      <c r="K21" s="235">
        <f t="shared" si="2"/>
        <v>3</v>
      </c>
      <c r="L21" s="233" t="str">
        <f>VLOOKUP($B21,Invulblad!$A$11:$S$103,13,0)</f>
        <v>1</v>
      </c>
      <c r="M21" s="234">
        <f>IF(L21&lt;&gt;"",VLOOKUP($B21,Invulblad!$A$11:$S$103,7,0),"")</f>
        <v>1</v>
      </c>
      <c r="N21" s="229" t="s">
        <v>29</v>
      </c>
      <c r="O21" s="234">
        <f>IF(L21&lt;&gt;"",VLOOKUP($B21,Invulblad!$A$11:$S$103,9,0),"")</f>
        <v>0</v>
      </c>
      <c r="P21" s="235">
        <f t="shared" ref="P21:P26" si="4">IF(L21&lt;&gt;"",IF(AND(M21=H21,O21=J21),10,IF(K21=L21,5,0)),"")</f>
        <v>0</v>
      </c>
    </row>
    <row r="22" spans="1:16">
      <c r="A22" s="205">
        <v>10</v>
      </c>
      <c r="B22" s="212">
        <v>4</v>
      </c>
      <c r="C22" s="226">
        <v>40341</v>
      </c>
      <c r="D22" s="227">
        <v>0.5625</v>
      </c>
      <c r="E22" s="228" t="s">
        <v>303</v>
      </c>
      <c r="F22" s="229" t="s">
        <v>29</v>
      </c>
      <c r="G22" s="212" t="s">
        <v>119</v>
      </c>
      <c r="H22" s="229">
        <v>0</v>
      </c>
      <c r="I22" s="229" t="s">
        <v>29</v>
      </c>
      <c r="J22" s="229">
        <v>0</v>
      </c>
      <c r="K22" s="235">
        <f t="shared" si="2"/>
        <v>3</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0</v>
      </c>
      <c r="I23" s="229" t="s">
        <v>29</v>
      </c>
      <c r="J23" s="229">
        <v>1</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2</v>
      </c>
      <c r="I25" s="229" t="s">
        <v>29</v>
      </c>
      <c r="J25" s="229">
        <v>0</v>
      </c>
      <c r="K25" s="235" t="str">
        <f t="shared" si="2"/>
        <v>1</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0</v>
      </c>
      <c r="I26" s="229" t="s">
        <v>29</v>
      </c>
      <c r="J26" s="229">
        <v>0</v>
      </c>
      <c r="K26" s="235">
        <f t="shared" si="2"/>
        <v>3</v>
      </c>
      <c r="L26" s="233">
        <f>VLOOKUP($B26,Invulblad!$A$11:$S$103,13,0)</f>
        <v>2</v>
      </c>
      <c r="M26" s="234">
        <f>IF(L26&lt;&gt;"",VLOOKUP($B26,Invulblad!$A$11:$S$103,7,0),"")</f>
        <v>0</v>
      </c>
      <c r="N26" s="229" t="s">
        <v>29</v>
      </c>
      <c r="O26" s="234">
        <f>IF(L26&lt;&gt;"",VLOOKUP($B26,Invulblad!$A$11:$S$103,9,0),"")</f>
        <v>2</v>
      </c>
      <c r="P26" s="235">
        <f t="shared" si="4"/>
        <v>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3</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0</v>
      </c>
      <c r="K29" s="235">
        <f t="shared" si="2"/>
        <v>3</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0</v>
      </c>
      <c r="I30" s="229" t="s">
        <v>29</v>
      </c>
      <c r="J30" s="229">
        <v>0</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1</v>
      </c>
      <c r="I31" s="229" t="s">
        <v>29</v>
      </c>
      <c r="J31" s="229">
        <v>0</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1</v>
      </c>
      <c r="I32" s="229" t="s">
        <v>29</v>
      </c>
      <c r="J32" s="229">
        <v>1</v>
      </c>
      <c r="K32" s="235">
        <f t="shared" si="2"/>
        <v>3</v>
      </c>
      <c r="L32" s="233">
        <f>VLOOKUP($B32,Invulblad!$A$11:$S$103,13,0)</f>
        <v>2</v>
      </c>
      <c r="M32" s="234">
        <f>IF(L32&lt;&gt;"",VLOOKUP($B32,Invulblad!$A$11:$S$103,7,0),"")</f>
        <v>0</v>
      </c>
      <c r="N32" s="229" t="s">
        <v>29</v>
      </c>
      <c r="O32" s="234">
        <f>IF(L32&lt;&gt;"",VLOOKUP($B32,Invulblad!$A$11:$S$103,9,0),"")</f>
        <v>1</v>
      </c>
      <c r="P32" s="235">
        <f t="shared" si="5"/>
        <v>0</v>
      </c>
    </row>
    <row r="33" spans="1:16">
      <c r="A33" s="205">
        <v>22</v>
      </c>
      <c r="B33" s="212">
        <v>38</v>
      </c>
      <c r="C33" s="226">
        <v>40352</v>
      </c>
      <c r="D33" s="227">
        <v>0.66666666666666663</v>
      </c>
      <c r="E33" s="228" t="s">
        <v>309</v>
      </c>
      <c r="F33" s="229" t="s">
        <v>29</v>
      </c>
      <c r="G33" s="212" t="s">
        <v>129</v>
      </c>
      <c r="H33" s="229">
        <v>0</v>
      </c>
      <c r="I33" s="229" t="s">
        <v>29</v>
      </c>
      <c r="J33" s="229">
        <v>0</v>
      </c>
      <c r="K33" s="235">
        <f t="shared" si="2"/>
        <v>3</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2</v>
      </c>
      <c r="K36" s="235">
        <f t="shared" si="2"/>
        <v>2</v>
      </c>
      <c r="L36" s="233">
        <f>VLOOKUP($B36,Invulblad!$A$11:$S$103,13,0)</f>
        <v>2</v>
      </c>
      <c r="M36" s="234">
        <f>IF(L36&lt;&gt;"",VLOOKUP($B36,Invulblad!$A$11:$S$103,7,0),"")</f>
        <v>0</v>
      </c>
      <c r="N36" s="229" t="s">
        <v>29</v>
      </c>
      <c r="O36" s="234">
        <f>IF(L36&lt;&gt;"",VLOOKUP($B36,Invulblad!$A$11:$S$103,9,0),"")</f>
        <v>1</v>
      </c>
      <c r="P36" s="235">
        <f t="shared" si="6"/>
        <v>5</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2</v>
      </c>
      <c r="K38" s="235">
        <f t="shared" si="2"/>
        <v>2</v>
      </c>
      <c r="L38" s="233">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1</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1</v>
      </c>
      <c r="K40" s="235">
        <f t="shared" si="2"/>
        <v>3</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1</v>
      </c>
      <c r="I44" s="229" t="s">
        <v>29</v>
      </c>
      <c r="J44" s="229">
        <v>1</v>
      </c>
      <c r="K44" s="235">
        <f t="shared" si="2"/>
        <v>3</v>
      </c>
      <c r="L44" s="233" t="str">
        <f>VLOOKUP($B44,Invulblad!$A$11:$S$103,13,0)</f>
        <v>1</v>
      </c>
      <c r="M44" s="234">
        <f>IF(L44&lt;&gt;"",VLOOKUP($B44,Invulblad!$A$11:$S$103,7,0),"")</f>
        <v>1</v>
      </c>
      <c r="N44" s="229" t="s">
        <v>29</v>
      </c>
      <c r="O44" s="234">
        <f>IF(L44&lt;&gt;"",VLOOKUP($B44,Invulblad!$A$11:$S$103,9,0),"")</f>
        <v>0</v>
      </c>
      <c r="P44" s="235">
        <f t="shared" si="7"/>
        <v>0</v>
      </c>
    </row>
    <row r="45" spans="1:16">
      <c r="A45" s="205">
        <v>36</v>
      </c>
      <c r="B45" s="212">
        <v>26</v>
      </c>
      <c r="C45" s="226">
        <v>40348</v>
      </c>
      <c r="D45" s="227">
        <v>0.85416666666666663</v>
      </c>
      <c r="E45" s="228" t="s">
        <v>144</v>
      </c>
      <c r="F45" s="229" t="s">
        <v>29</v>
      </c>
      <c r="G45" s="212" t="s">
        <v>140</v>
      </c>
      <c r="H45" s="229">
        <v>2</v>
      </c>
      <c r="I45" s="229" t="s">
        <v>29</v>
      </c>
      <c r="J45" s="229">
        <v>2</v>
      </c>
      <c r="K45" s="235">
        <f t="shared" si="2"/>
        <v>3</v>
      </c>
      <c r="L45" s="233">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1</v>
      </c>
      <c r="I46" s="229" t="s">
        <v>29</v>
      </c>
      <c r="J46" s="229">
        <v>1</v>
      </c>
      <c r="K46" s="235">
        <f t="shared" ref="K46:K77" si="8">IF(AND(H46="",J46=""),"",IF(OR(H46="",J46=""),"FOUT",IF(H46&gt;J46,"1",IF(H46=J46,3,2))))</f>
        <v>3</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2</v>
      </c>
      <c r="I47" s="229" t="s">
        <v>29</v>
      </c>
      <c r="J47" s="229">
        <v>1</v>
      </c>
      <c r="K47" s="235" t="str">
        <f t="shared" si="8"/>
        <v>1</v>
      </c>
      <c r="L47" s="233">
        <f>VLOOKUP($B47,Invulblad!$A$11:$S$103,13,0)</f>
        <v>2</v>
      </c>
      <c r="M47" s="234">
        <f>IF(L47&lt;&gt;"",VLOOKUP($B47,Invulblad!$A$11:$S$103,7,0),"")</f>
        <v>1</v>
      </c>
      <c r="N47" s="229" t="s">
        <v>29</v>
      </c>
      <c r="O47" s="234">
        <f>IF(L47&lt;&gt;"",VLOOKUP($B47,Invulblad!$A$11:$S$103,9,0),"")</f>
        <v>2</v>
      </c>
      <c r="P47" s="235">
        <f t="shared" si="7"/>
        <v>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1</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2</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1</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2</v>
      </c>
      <c r="I56" s="229" t="s">
        <v>29</v>
      </c>
      <c r="J56" s="229">
        <v>1</v>
      </c>
      <c r="K56" s="235" t="str">
        <f t="shared" si="8"/>
        <v>1</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1</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2</v>
      </c>
      <c r="I58" s="229" t="s">
        <v>29</v>
      </c>
      <c r="J58" s="229">
        <v>2</v>
      </c>
      <c r="K58" s="235">
        <f t="shared" si="8"/>
        <v>3</v>
      </c>
      <c r="L58" s="233" t="str">
        <f>VLOOKUP($B58,Invulblad!$A$11:$S$103,13,0)</f>
        <v>1</v>
      </c>
      <c r="M58" s="234">
        <f>IF(L58&lt;&gt;"",VLOOKUP($B58,Invulblad!$A$11:$S$103,7,0),"")</f>
        <v>3</v>
      </c>
      <c r="N58" s="229" t="s">
        <v>29</v>
      </c>
      <c r="O58" s="234">
        <f>IF(L58&lt;&gt;"",VLOOKUP($B58,Invulblad!$A$11:$S$103,9,0),"")</f>
        <v>1</v>
      </c>
      <c r="P58" s="235">
        <f t="shared" si="10"/>
        <v>0</v>
      </c>
    </row>
    <row r="59" spans="1:16">
      <c r="A59" s="205">
        <v>52</v>
      </c>
      <c r="B59" s="212">
        <v>30</v>
      </c>
      <c r="C59" s="226">
        <v>40350</v>
      </c>
      <c r="D59" s="227">
        <v>0.5625</v>
      </c>
      <c r="E59" s="228" t="s">
        <v>160</v>
      </c>
      <c r="F59" s="229" t="s">
        <v>29</v>
      </c>
      <c r="G59" s="212" t="s">
        <v>158</v>
      </c>
      <c r="H59" s="229">
        <v>1</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1</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0</v>
      </c>
      <c r="K63" s="235">
        <f t="shared" si="8"/>
        <v>3</v>
      </c>
      <c r="L63" s="233">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2</v>
      </c>
      <c r="I64" s="229" t="s">
        <v>29</v>
      </c>
      <c r="J64" s="229">
        <v>0</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1</v>
      </c>
      <c r="K65" s="235">
        <f t="shared" si="8"/>
        <v>3</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3</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10</v>
      </c>
    </row>
    <row r="68" spans="1:16">
      <c r="A68" s="205">
        <v>62</v>
      </c>
      <c r="B68" s="212">
        <v>48</v>
      </c>
      <c r="C68" s="226">
        <v>40354</v>
      </c>
      <c r="D68" s="227">
        <v>0.85416666666666663</v>
      </c>
      <c r="E68" s="228" t="s">
        <v>170</v>
      </c>
      <c r="F68" s="229" t="s">
        <v>29</v>
      </c>
      <c r="G68" s="212" t="s">
        <v>168</v>
      </c>
      <c r="H68" s="229">
        <v>1</v>
      </c>
      <c r="I68" s="229" t="s">
        <v>29</v>
      </c>
      <c r="J68" s="229">
        <v>1</v>
      </c>
      <c r="K68" s="235">
        <f t="shared" si="8"/>
        <v>3</v>
      </c>
      <c r="L68" s="233">
        <f>VLOOKUP($B68,Invulblad!$A$11:$S$103,13,0)</f>
        <v>3</v>
      </c>
      <c r="M68" s="234">
        <f>IF(L68&lt;&gt;"",VLOOKUP($B68,Invulblad!$A$11:$S$103,7,0),"")</f>
        <v>0</v>
      </c>
      <c r="N68" s="229" t="s">
        <v>29</v>
      </c>
      <c r="O68" s="234">
        <f>IF(L68&lt;&gt;"",VLOOKUP($B68,Invulblad!$A$11:$S$103,9,0),"")</f>
        <v>0</v>
      </c>
      <c r="P68" s="235">
        <f t="shared" si="11"/>
        <v>5</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8" t="s">
        <v>109</v>
      </c>
      <c r="F70" s="229" t="s">
        <v>29</v>
      </c>
      <c r="G70" s="222" t="s">
        <v>116</v>
      </c>
      <c r="H70" s="229">
        <v>1</v>
      </c>
      <c r="I70" s="229" t="s">
        <v>29</v>
      </c>
      <c r="J70" s="229">
        <v>2</v>
      </c>
      <c r="K70" s="235">
        <f t="shared" si="8"/>
        <v>2</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242</v>
      </c>
      <c r="H71" s="229">
        <v>2</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128</v>
      </c>
      <c r="H72" s="229">
        <v>1</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122</v>
      </c>
      <c r="F73" s="229" t="s">
        <v>29</v>
      </c>
      <c r="G73" s="212" t="s">
        <v>205</v>
      </c>
      <c r="H73" s="229">
        <v>1</v>
      </c>
      <c r="I73" s="229" t="s">
        <v>29</v>
      </c>
      <c r="J73" s="229">
        <v>1</v>
      </c>
      <c r="K73" s="235">
        <f t="shared" si="8"/>
        <v>3</v>
      </c>
      <c r="L73" s="233" t="str">
        <f>VLOOKUP($B73,Invulblad!$A$11:$S$103,13,0)</f>
        <v>1</v>
      </c>
      <c r="M73" s="234">
        <f>IF(L73&lt;&gt;"",VLOOKUP($B73,Invulblad!$A$11:$S$103,7,0),"")</f>
        <v>3</v>
      </c>
      <c r="N73" s="229" t="s">
        <v>29</v>
      </c>
      <c r="O73" s="234">
        <f>IF(L73&lt;&gt;"",VLOOKUP($B73,Invulblad!$A$11:$S$103,9,0),"")</f>
        <v>1</v>
      </c>
      <c r="P73" s="235">
        <f t="shared" si="12"/>
        <v>0</v>
      </c>
    </row>
    <row r="74" spans="1:16">
      <c r="A74" s="205">
        <v>69</v>
      </c>
      <c r="B74" s="212">
        <v>53</v>
      </c>
      <c r="C74" s="226">
        <v>40357</v>
      </c>
      <c r="D74" s="227">
        <v>0.66666666666666663</v>
      </c>
      <c r="E74" s="223" t="s">
        <v>248</v>
      </c>
      <c r="F74" s="229" t="s">
        <v>29</v>
      </c>
      <c r="G74" s="212" t="s">
        <v>260</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274</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178</v>
      </c>
      <c r="H76" s="229">
        <v>1</v>
      </c>
      <c r="I76" s="229" t="s">
        <v>29</v>
      </c>
      <c r="J76" s="229">
        <v>1</v>
      </c>
      <c r="K76" s="235">
        <f t="shared" si="8"/>
        <v>3</v>
      </c>
      <c r="L76" s="233">
        <f>VLOOKUP($B76,Invulblad!$A$11:$S$103,13,0)</f>
        <v>3</v>
      </c>
      <c r="M76" s="234">
        <f>IF(L76&lt;&gt;"",VLOOKUP($B76,Invulblad!$A$11:$S$103,7,0),"")</f>
        <v>0</v>
      </c>
      <c r="N76" s="229" t="s">
        <v>29</v>
      </c>
      <c r="O76" s="234">
        <f>IF(L76&lt;&gt;"",VLOOKUP($B76,Invulblad!$A$11:$S$103,9,0),"")</f>
        <v>0</v>
      </c>
      <c r="P76" s="235">
        <f t="shared" si="12"/>
        <v>5</v>
      </c>
    </row>
    <row r="77" spans="1:16">
      <c r="A77" s="205">
        <v>72</v>
      </c>
      <c r="B77" s="212">
        <v>56</v>
      </c>
      <c r="C77" s="226">
        <v>40358</v>
      </c>
      <c r="D77" s="227">
        <v>0.85416666666666663</v>
      </c>
      <c r="E77" s="223" t="s">
        <v>200</v>
      </c>
      <c r="F77" s="229" t="s">
        <v>29</v>
      </c>
      <c r="G77" s="212" t="s">
        <v>266</v>
      </c>
      <c r="H77" s="229">
        <v>2</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248</v>
      </c>
      <c r="F79" s="229" t="s">
        <v>29</v>
      </c>
      <c r="G79" s="222" t="s">
        <v>265</v>
      </c>
      <c r="H79" s="229">
        <v>1</v>
      </c>
      <c r="I79" s="229" t="s">
        <v>29</v>
      </c>
      <c r="J79" s="229">
        <v>1</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116</v>
      </c>
      <c r="F80" s="229" t="s">
        <v>29</v>
      </c>
      <c r="G80" s="222" t="s">
        <v>124</v>
      </c>
      <c r="H80" s="229">
        <v>1</v>
      </c>
      <c r="I80" s="229" t="s">
        <v>29</v>
      </c>
      <c r="J80" s="229">
        <v>2</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8" t="s">
        <v>122</v>
      </c>
      <c r="F81" s="229" t="s">
        <v>29</v>
      </c>
      <c r="G81" s="222" t="s">
        <v>239</v>
      </c>
      <c r="H81" s="229">
        <v>1</v>
      </c>
      <c r="I81" s="229" t="s">
        <v>29</v>
      </c>
      <c r="J81" s="229">
        <v>2</v>
      </c>
      <c r="K81" s="235">
        <f t="shared" si="13"/>
        <v>2</v>
      </c>
      <c r="L81" s="233">
        <f>VLOOKUP($B81,Invulblad!$A$11:$S$103,13,0)</f>
        <v>2</v>
      </c>
      <c r="M81" s="234">
        <f>IF(L81&lt;&gt;"",VLOOKUP($B81,Invulblad!$A$11:$S$103,7,0),"")</f>
        <v>0</v>
      </c>
      <c r="N81" s="229" t="s">
        <v>29</v>
      </c>
      <c r="O81" s="234">
        <f>IF(L81&lt;&gt;"",VLOOKUP($B81,Invulblad!$A$11:$S$103,9,0),"")</f>
        <v>4</v>
      </c>
      <c r="P81" s="235">
        <f>IF(L81&lt;&gt;"",IF(AND(M81=H81,O81=J81),10,IF(K81=L81,5,0)),"")</f>
        <v>5</v>
      </c>
    </row>
    <row r="82" spans="1:16">
      <c r="A82" s="205">
        <v>78</v>
      </c>
      <c r="B82" s="212">
        <v>60</v>
      </c>
      <c r="C82" s="226">
        <v>40362</v>
      </c>
      <c r="D82" s="227">
        <v>0.85416666666666663</v>
      </c>
      <c r="E82" s="223" t="s">
        <v>257</v>
      </c>
      <c r="F82" s="229" t="s">
        <v>29</v>
      </c>
      <c r="G82" s="212" t="s">
        <v>200</v>
      </c>
      <c r="H82" s="229">
        <v>1</v>
      </c>
      <c r="I82" s="229" t="s">
        <v>29</v>
      </c>
      <c r="J82" s="229">
        <v>1</v>
      </c>
      <c r="K82" s="235">
        <f t="shared" si="13"/>
        <v>3</v>
      </c>
      <c r="L82" s="233">
        <f>VLOOKUP($B82,Invulblad!$A$11:$S$103,13,0)</f>
        <v>2</v>
      </c>
      <c r="M82" s="234">
        <f>IF(L82&lt;&gt;"",VLOOKUP($B82,Invulblad!$A$11:$S$103,7,0),"")</f>
        <v>0</v>
      </c>
      <c r="N82" s="229" t="s">
        <v>29</v>
      </c>
      <c r="O82" s="234">
        <f>IF(L82&lt;&gt;"",VLOOKUP($B82,Invulblad!$A$11:$S$103,9,0),"")</f>
        <v>1</v>
      </c>
      <c r="P82" s="235">
        <f>IF(L82&lt;&gt;"",IF(AND(M82=H82,O82=J82),10,IF(K82=L82,5,0)),"")</f>
        <v>0</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1</v>
      </c>
      <c r="I84" s="229" t="s">
        <v>29</v>
      </c>
      <c r="J84" s="229">
        <v>1</v>
      </c>
      <c r="K84" s="235">
        <f t="shared" si="13"/>
        <v>3</v>
      </c>
      <c r="L84" s="233">
        <f>VLOOKUP($B84,Invulblad!$A$11:$S$103,13,0)</f>
        <v>2</v>
      </c>
      <c r="M84" s="234">
        <f>IF(L84&lt;&gt;"",VLOOKUP($B84,Invulblad!$A$11:$S$103,7,0),"")</f>
        <v>2</v>
      </c>
      <c r="N84" s="229" t="s">
        <v>29</v>
      </c>
      <c r="O84" s="234">
        <f>IF(L84&lt;&gt;"",VLOOKUP($B84,Invulblad!$A$11:$S$103,9,0),"")</f>
        <v>3</v>
      </c>
      <c r="P84" s="235">
        <f>IF(L84&lt;&gt;"",IF(AND(M84=H84,O84=J84),10,IF(K84=L84,5,0)),"")</f>
        <v>0</v>
      </c>
    </row>
    <row r="85" spans="1:16">
      <c r="A85" s="205">
        <v>82</v>
      </c>
      <c r="B85" s="212">
        <v>62</v>
      </c>
      <c r="C85" s="226">
        <v>40366</v>
      </c>
      <c r="D85" s="227">
        <v>0.85416666666666663</v>
      </c>
      <c r="E85" s="223" t="s">
        <v>239</v>
      </c>
      <c r="F85" s="229" t="s">
        <v>29</v>
      </c>
      <c r="G85" s="212" t="s">
        <v>257</v>
      </c>
      <c r="H85" s="229">
        <v>1</v>
      </c>
      <c r="I85" s="229" t="s">
        <v>29</v>
      </c>
      <c r="J85" s="229">
        <v>0</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3" t="s">
        <v>124</v>
      </c>
      <c r="F87" s="229" t="s">
        <v>29</v>
      </c>
      <c r="G87" s="212" t="s">
        <v>257</v>
      </c>
      <c r="H87" s="229">
        <v>2</v>
      </c>
      <c r="I87" s="229" t="s">
        <v>29</v>
      </c>
      <c r="J87" s="229">
        <v>0</v>
      </c>
      <c r="K87" s="235" t="str">
        <f t="shared" si="13"/>
        <v>1</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265</v>
      </c>
      <c r="F89" s="229" t="s">
        <v>29</v>
      </c>
      <c r="G89" s="212" t="s">
        <v>239</v>
      </c>
      <c r="H89" s="229">
        <v>1</v>
      </c>
      <c r="I89" s="229" t="s">
        <v>29</v>
      </c>
      <c r="J89" s="229">
        <v>0</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109</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211</v>
      </c>
      <c r="D101" s="241" t="s">
        <v>212</v>
      </c>
      <c r="E101" s="241" t="s">
        <v>211</v>
      </c>
    </row>
    <row r="102" spans="2:5">
      <c r="B102" s="242" t="s">
        <v>214</v>
      </c>
      <c r="C102" s="242" t="s">
        <v>215</v>
      </c>
      <c r="D102" s="242" t="s">
        <v>216</v>
      </c>
      <c r="E102" s="242" t="s">
        <v>211</v>
      </c>
    </row>
    <row r="103" spans="2:5">
      <c r="B103" s="241" t="s">
        <v>109</v>
      </c>
      <c r="C103" s="241" t="s">
        <v>225</v>
      </c>
      <c r="D103" s="241" t="s">
        <v>213</v>
      </c>
      <c r="E103" s="241" t="s">
        <v>217</v>
      </c>
    </row>
    <row r="104" spans="2:5">
      <c r="B104" s="242" t="s">
        <v>107</v>
      </c>
      <c r="C104" s="242" t="s">
        <v>218</v>
      </c>
      <c r="D104" s="242" t="s">
        <v>227</v>
      </c>
      <c r="E104" s="242" t="s">
        <v>218</v>
      </c>
    </row>
    <row r="107" spans="2:5">
      <c r="B107" s="218" t="s">
        <v>219</v>
      </c>
    </row>
    <row r="108" spans="2:5">
      <c r="B108" s="212"/>
    </row>
    <row r="109" spans="2:5">
      <c r="B109" s="212" t="s">
        <v>220</v>
      </c>
    </row>
    <row r="110" spans="2:5">
      <c r="B110" s="212" t="s">
        <v>326</v>
      </c>
    </row>
    <row r="113" spans="1:15">
      <c r="B113" s="243"/>
      <c r="C113" s="243"/>
      <c r="D113" s="243"/>
      <c r="E113" s="243"/>
      <c r="F113" s="243"/>
      <c r="G113" s="243"/>
      <c r="H113" s="243"/>
      <c r="I113" s="243"/>
      <c r="J113" s="243"/>
      <c r="K113" s="243"/>
      <c r="L113" s="244"/>
      <c r="M113" s="243"/>
      <c r="N113" s="243"/>
      <c r="O113" s="243"/>
    </row>
    <row r="116" spans="1:15">
      <c r="B116" s="218" t="s">
        <v>222</v>
      </c>
    </row>
    <row r="118" spans="1:15">
      <c r="A118" s="252" t="s">
        <v>75</v>
      </c>
      <c r="B118" s="206" t="s">
        <v>202</v>
      </c>
      <c r="C118" s="206" t="s">
        <v>203</v>
      </c>
      <c r="D118" s="218" t="s">
        <v>122</v>
      </c>
    </row>
    <row r="119" spans="1:15">
      <c r="A119" s="205" t="s">
        <v>76</v>
      </c>
      <c r="B119" s="206" t="s">
        <v>204</v>
      </c>
      <c r="C119" s="206" t="s">
        <v>203</v>
      </c>
      <c r="D119" s="218" t="s">
        <v>116</v>
      </c>
    </row>
    <row r="122" spans="1:15">
      <c r="B122" s="218" t="s">
        <v>223</v>
      </c>
    </row>
    <row r="124" spans="1:15">
      <c r="B124" s="240" t="s">
        <v>207</v>
      </c>
      <c r="C124" s="240" t="s">
        <v>208</v>
      </c>
      <c r="D124" s="240" t="s">
        <v>209</v>
      </c>
      <c r="E124" s="240" t="s">
        <v>210</v>
      </c>
    </row>
    <row r="125" spans="1:15">
      <c r="B125" s="241" t="s">
        <v>120</v>
      </c>
      <c r="C125" s="241" t="s">
        <v>215</v>
      </c>
      <c r="D125" s="241" t="s">
        <v>216</v>
      </c>
      <c r="E125" s="241" t="s">
        <v>212</v>
      </c>
    </row>
    <row r="126" spans="1:15">
      <c r="B126" s="242" t="s">
        <v>116</v>
      </c>
      <c r="C126" s="242" t="s">
        <v>217</v>
      </c>
      <c r="D126" s="242" t="s">
        <v>218</v>
      </c>
      <c r="E126" s="242" t="s">
        <v>213</v>
      </c>
    </row>
    <row r="127" spans="1:15">
      <c r="B127" s="241" t="s">
        <v>122</v>
      </c>
      <c r="C127" s="241" t="s">
        <v>234</v>
      </c>
      <c r="D127" s="241" t="s">
        <v>213</v>
      </c>
      <c r="E127" s="241" t="s">
        <v>211</v>
      </c>
    </row>
    <row r="128" spans="1:15">
      <c r="B128" s="242" t="s">
        <v>118</v>
      </c>
      <c r="C128" s="242" t="s">
        <v>218</v>
      </c>
      <c r="D128" s="242" t="s">
        <v>233</v>
      </c>
      <c r="E128" s="242" t="s">
        <v>218</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43"/>
      <c r="L137" s="244"/>
      <c r="M137" s="243"/>
      <c r="N137" s="243"/>
      <c r="O137"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215</v>
      </c>
      <c r="D149" s="241" t="s">
        <v>216</v>
      </c>
      <c r="E149" s="241" t="s">
        <v>212</v>
      </c>
    </row>
    <row r="150" spans="2:5">
      <c r="B150" s="242" t="s">
        <v>124</v>
      </c>
      <c r="C150" s="242" t="s">
        <v>234</v>
      </c>
      <c r="D150" s="242" t="s">
        <v>213</v>
      </c>
      <c r="E150" s="242" t="s">
        <v>217</v>
      </c>
    </row>
    <row r="151" spans="2:5">
      <c r="B151" s="241" t="s">
        <v>128</v>
      </c>
      <c r="C151" s="241" t="s">
        <v>213</v>
      </c>
      <c r="D151" s="241" t="s">
        <v>212</v>
      </c>
      <c r="E151" s="241" t="s">
        <v>218</v>
      </c>
    </row>
    <row r="152" spans="2:5">
      <c r="B152" s="242" t="s">
        <v>32</v>
      </c>
      <c r="C152" s="242" t="s">
        <v>215</v>
      </c>
      <c r="D152" s="242" t="s">
        <v>227</v>
      </c>
      <c r="E152" s="242" t="s">
        <v>218</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c r="K161" s="243"/>
      <c r="L161" s="244"/>
      <c r="M161" s="243"/>
      <c r="N161" s="243"/>
      <c r="O161"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225</v>
      </c>
      <c r="D173" s="241" t="s">
        <v>211</v>
      </c>
      <c r="E173" s="241" t="s">
        <v>217</v>
      </c>
    </row>
    <row r="174" spans="1:15">
      <c r="B174" s="242" t="s">
        <v>242</v>
      </c>
      <c r="C174" s="242" t="s">
        <v>211</v>
      </c>
      <c r="D174" s="242" t="s">
        <v>216</v>
      </c>
      <c r="E174" s="242" t="s">
        <v>213</v>
      </c>
    </row>
    <row r="175" spans="1:15">
      <c r="B175" s="241" t="s">
        <v>244</v>
      </c>
      <c r="C175" s="241" t="s">
        <v>213</v>
      </c>
      <c r="D175" s="241" t="s">
        <v>216</v>
      </c>
      <c r="E175" s="241" t="s">
        <v>211</v>
      </c>
    </row>
    <row r="176" spans="1:15">
      <c r="B176" s="242" t="s">
        <v>240</v>
      </c>
      <c r="C176" s="242" t="s">
        <v>218</v>
      </c>
      <c r="D176" s="242" t="s">
        <v>227</v>
      </c>
      <c r="E176" s="242" t="s">
        <v>215</v>
      </c>
    </row>
    <row r="179" spans="1:15">
      <c r="B179" s="218" t="s">
        <v>245</v>
      </c>
    </row>
    <row r="180" spans="1:15">
      <c r="B180" s="212"/>
    </row>
    <row r="181" spans="1:15">
      <c r="B181" s="212" t="s">
        <v>312</v>
      </c>
    </row>
    <row r="182" spans="1:15">
      <c r="B182" s="212" t="s">
        <v>313</v>
      </c>
    </row>
    <row r="184" spans="1:15">
      <c r="K184" s="243"/>
      <c r="L184" s="244"/>
      <c r="M184" s="243"/>
      <c r="N184" s="243"/>
      <c r="O184" s="243"/>
    </row>
    <row r="185" spans="1:15">
      <c r="B185" s="243"/>
      <c r="C185" s="243"/>
      <c r="D185" s="243"/>
      <c r="E185" s="243"/>
      <c r="F185" s="243"/>
      <c r="G185" s="243"/>
      <c r="H185" s="243"/>
      <c r="I185" s="243"/>
      <c r="J185" s="243"/>
    </row>
    <row r="188" spans="1:15">
      <c r="B188" s="218" t="s">
        <v>247</v>
      </c>
    </row>
    <row r="190" spans="1:15">
      <c r="A190" s="205" t="s">
        <v>81</v>
      </c>
      <c r="B190" s="206" t="s">
        <v>202</v>
      </c>
      <c r="C190" s="206" t="s">
        <v>203</v>
      </c>
      <c r="D190" s="218" t="s">
        <v>248</v>
      </c>
    </row>
    <row r="191" spans="1:15">
      <c r="A191" s="205" t="s">
        <v>82</v>
      </c>
      <c r="B191" s="206" t="s">
        <v>204</v>
      </c>
      <c r="C191" s="206" t="s">
        <v>203</v>
      </c>
      <c r="D191" s="218" t="s">
        <v>178</v>
      </c>
    </row>
    <row r="194" spans="2:15">
      <c r="B194" s="218" t="s">
        <v>249</v>
      </c>
    </row>
    <row r="196" spans="2:15">
      <c r="B196" s="240" t="s">
        <v>207</v>
      </c>
      <c r="C196" s="240" t="s">
        <v>208</v>
      </c>
      <c r="D196" s="240" t="s">
        <v>209</v>
      </c>
      <c r="E196" s="240" t="s">
        <v>210</v>
      </c>
    </row>
    <row r="197" spans="2:15">
      <c r="B197" s="241" t="s">
        <v>178</v>
      </c>
      <c r="C197" s="241" t="s">
        <v>211</v>
      </c>
      <c r="D197" s="241" t="s">
        <v>212</v>
      </c>
      <c r="E197" s="241" t="s">
        <v>211</v>
      </c>
    </row>
    <row r="198" spans="2:15">
      <c r="B198" s="242" t="s">
        <v>250</v>
      </c>
      <c r="C198" s="242" t="s">
        <v>215</v>
      </c>
      <c r="D198" s="242" t="s">
        <v>216</v>
      </c>
      <c r="E198" s="242" t="s">
        <v>211</v>
      </c>
    </row>
    <row r="199" spans="2:15">
      <c r="B199" s="241" t="s">
        <v>251</v>
      </c>
      <c r="C199" s="241" t="s">
        <v>215</v>
      </c>
      <c r="D199" s="241" t="s">
        <v>227</v>
      </c>
      <c r="E199" s="241" t="s">
        <v>215</v>
      </c>
    </row>
    <row r="200" spans="2:15">
      <c r="B200" s="242" t="s">
        <v>248</v>
      </c>
      <c r="C200" s="242" t="s">
        <v>234</v>
      </c>
      <c r="D200" s="242" t="s">
        <v>213</v>
      </c>
      <c r="E200" s="242" t="s">
        <v>226</v>
      </c>
    </row>
    <row r="203" spans="2:15">
      <c r="B203" s="218" t="s">
        <v>253</v>
      </c>
    </row>
    <row r="204" spans="2:15">
      <c r="B204" s="212"/>
    </row>
    <row r="205" spans="2:15">
      <c r="B205" s="212" t="s">
        <v>254</v>
      </c>
    </row>
    <row r="206" spans="2:15">
      <c r="B206" s="212" t="s">
        <v>255</v>
      </c>
    </row>
    <row r="208" spans="2:15">
      <c r="K208" s="243"/>
      <c r="L208" s="244"/>
      <c r="M208" s="243"/>
      <c r="N208" s="243"/>
      <c r="O208" s="243"/>
    </row>
    <row r="209" spans="1:10">
      <c r="B209" s="243"/>
      <c r="C209" s="243"/>
      <c r="D209" s="243"/>
      <c r="E209" s="243"/>
      <c r="F209" s="243"/>
      <c r="G209" s="243"/>
      <c r="H209" s="243"/>
      <c r="I209" s="243"/>
      <c r="J209" s="243"/>
    </row>
    <row r="212" spans="1:10">
      <c r="B212" s="218" t="s">
        <v>256</v>
      </c>
    </row>
    <row r="214" spans="1:10">
      <c r="A214" s="205" t="s">
        <v>83</v>
      </c>
      <c r="B214" s="206" t="s">
        <v>202</v>
      </c>
      <c r="C214" s="206" t="s">
        <v>203</v>
      </c>
      <c r="D214" s="218" t="s">
        <v>257</v>
      </c>
    </row>
    <row r="215" spans="1:10">
      <c r="A215" s="205" t="s">
        <v>84</v>
      </c>
      <c r="B215" s="206" t="s">
        <v>204</v>
      </c>
      <c r="C215" s="206" t="s">
        <v>203</v>
      </c>
      <c r="D215" s="218" t="s">
        <v>260</v>
      </c>
    </row>
    <row r="218" spans="1:10">
      <c r="B218" s="218" t="s">
        <v>258</v>
      </c>
    </row>
    <row r="220" spans="1:10">
      <c r="B220" s="240" t="s">
        <v>207</v>
      </c>
      <c r="C220" s="240" t="s">
        <v>208</v>
      </c>
      <c r="D220" s="240" t="s">
        <v>209</v>
      </c>
      <c r="E220" s="240" t="s">
        <v>210</v>
      </c>
    </row>
    <row r="221" spans="1:10">
      <c r="B221" s="241" t="s">
        <v>257</v>
      </c>
      <c r="C221" s="241" t="s">
        <v>234</v>
      </c>
      <c r="D221" s="241" t="s">
        <v>213</v>
      </c>
      <c r="E221" s="241" t="s">
        <v>211</v>
      </c>
    </row>
    <row r="222" spans="1:10">
      <c r="B222" s="242" t="s">
        <v>259</v>
      </c>
      <c r="C222" s="242" t="s">
        <v>212</v>
      </c>
      <c r="D222" s="242" t="s">
        <v>243</v>
      </c>
      <c r="E222" s="242" t="s">
        <v>218</v>
      </c>
    </row>
    <row r="223" spans="1:10">
      <c r="B223" s="241" t="s">
        <v>182</v>
      </c>
      <c r="C223" s="241" t="s">
        <v>211</v>
      </c>
      <c r="D223" s="241" t="s">
        <v>212</v>
      </c>
      <c r="E223" s="241" t="s">
        <v>213</v>
      </c>
    </row>
    <row r="224" spans="1:10">
      <c r="B224" s="242" t="s">
        <v>260</v>
      </c>
      <c r="C224" s="242" t="s">
        <v>217</v>
      </c>
      <c r="D224" s="242" t="s">
        <v>218</v>
      </c>
      <c r="E224" s="242" t="s">
        <v>213</v>
      </c>
    </row>
    <row r="227" spans="1:15">
      <c r="B227" s="218" t="s">
        <v>261</v>
      </c>
    </row>
    <row r="228" spans="1:15">
      <c r="B228" s="212"/>
    </row>
    <row r="229" spans="1:15">
      <c r="B229" s="212" t="s">
        <v>262</v>
      </c>
    </row>
    <row r="230" spans="1:15">
      <c r="B230" s="212" t="s">
        <v>263</v>
      </c>
    </row>
    <row r="232" spans="1:15">
      <c r="K232" s="243"/>
      <c r="L232" s="244"/>
      <c r="M232" s="243"/>
      <c r="N232" s="243"/>
      <c r="O232" s="243"/>
    </row>
    <row r="233" spans="1:15">
      <c r="B233" s="243"/>
      <c r="C233" s="243"/>
      <c r="D233" s="243"/>
      <c r="E233" s="243"/>
      <c r="F233" s="243"/>
      <c r="G233" s="243"/>
      <c r="H233" s="243"/>
      <c r="I233" s="243"/>
      <c r="J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5">
      <c r="B242" s="218" t="s">
        <v>267</v>
      </c>
    </row>
    <row r="244" spans="2:15">
      <c r="B244" s="240" t="s">
        <v>207</v>
      </c>
      <c r="C244" s="240" t="s">
        <v>208</v>
      </c>
      <c r="D244" s="240" t="s">
        <v>209</v>
      </c>
      <c r="E244" s="240" t="s">
        <v>210</v>
      </c>
    </row>
    <row r="245" spans="2:15">
      <c r="B245" s="241" t="s">
        <v>268</v>
      </c>
      <c r="C245" s="241" t="s">
        <v>213</v>
      </c>
      <c r="D245" s="241" t="s">
        <v>216</v>
      </c>
      <c r="E245" s="241" t="s">
        <v>213</v>
      </c>
    </row>
    <row r="246" spans="2:15">
      <c r="B246" s="242" t="s">
        <v>265</v>
      </c>
      <c r="C246" s="242" t="s">
        <v>234</v>
      </c>
      <c r="D246" s="242" t="s">
        <v>215</v>
      </c>
      <c r="E246" s="242" t="s">
        <v>217</v>
      </c>
    </row>
    <row r="247" spans="2:15">
      <c r="B247" s="241" t="s">
        <v>266</v>
      </c>
      <c r="C247" s="241" t="s">
        <v>234</v>
      </c>
      <c r="D247" s="241" t="s">
        <v>215</v>
      </c>
      <c r="E247" s="241" t="s">
        <v>217</v>
      </c>
    </row>
    <row r="248" spans="2:15">
      <c r="B248" s="242" t="s">
        <v>269</v>
      </c>
      <c r="C248" s="242" t="s">
        <v>212</v>
      </c>
      <c r="D248" s="242" t="s">
        <v>233</v>
      </c>
      <c r="E248" s="242" t="s">
        <v>212</v>
      </c>
    </row>
    <row r="251" spans="2:15">
      <c r="B251" s="218" t="s">
        <v>270</v>
      </c>
    </row>
    <row r="252" spans="2:15">
      <c r="B252" s="212"/>
    </row>
    <row r="253" spans="2:15">
      <c r="B253" s="212" t="s">
        <v>404</v>
      </c>
    </row>
    <row r="254" spans="2:15">
      <c r="B254" s="212"/>
    </row>
    <row r="256" spans="2:15">
      <c r="B256" s="243"/>
      <c r="C256" s="243"/>
      <c r="D256" s="243"/>
      <c r="E256" s="243"/>
      <c r="F256" s="243"/>
      <c r="G256" s="243"/>
      <c r="H256" s="243"/>
      <c r="I256" s="243"/>
      <c r="J256" s="243"/>
      <c r="K256" s="243"/>
      <c r="L256" s="244"/>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274</v>
      </c>
    </row>
    <row r="265" spans="1:5">
      <c r="B265" s="218" t="s">
        <v>275</v>
      </c>
    </row>
    <row r="267" spans="1:5">
      <c r="B267" s="240" t="s">
        <v>207</v>
      </c>
      <c r="C267" s="240" t="s">
        <v>208</v>
      </c>
      <c r="D267" s="240" t="s">
        <v>209</v>
      </c>
      <c r="E267" s="240" t="s">
        <v>210</v>
      </c>
    </row>
    <row r="268" spans="1:5">
      <c r="B268" s="241" t="s">
        <v>274</v>
      </c>
      <c r="C268" s="241" t="s">
        <v>215</v>
      </c>
      <c r="D268" s="241" t="s">
        <v>216</v>
      </c>
      <c r="E268" s="241" t="s">
        <v>215</v>
      </c>
    </row>
    <row r="269" spans="1:5">
      <c r="B269" s="242" t="s">
        <v>200</v>
      </c>
      <c r="C269" s="242" t="s">
        <v>225</v>
      </c>
      <c r="D269" s="242" t="s">
        <v>226</v>
      </c>
      <c r="E269" s="242" t="s">
        <v>234</v>
      </c>
    </row>
    <row r="270" spans="1:5">
      <c r="B270" s="241" t="s">
        <v>276</v>
      </c>
      <c r="C270" s="241" t="s">
        <v>215</v>
      </c>
      <c r="D270" s="241" t="s">
        <v>227</v>
      </c>
      <c r="E270" s="241" t="s">
        <v>215</v>
      </c>
    </row>
    <row r="271" spans="1:5">
      <c r="B271" s="242" t="s">
        <v>277</v>
      </c>
      <c r="C271" s="242" t="s">
        <v>215</v>
      </c>
      <c r="D271" s="242" t="s">
        <v>233</v>
      </c>
      <c r="E271" s="242" t="s">
        <v>218</v>
      </c>
    </row>
    <row r="274" spans="2:15">
      <c r="B274" s="218" t="s">
        <v>278</v>
      </c>
    </row>
    <row r="275" spans="2:15">
      <c r="B275" s="212"/>
    </row>
    <row r="276" spans="2:15">
      <c r="B276" s="212" t="s">
        <v>279</v>
      </c>
    </row>
    <row r="277" spans="2:15">
      <c r="B277" s="212" t="s">
        <v>339</v>
      </c>
    </row>
    <row r="280" spans="2:15">
      <c r="B280" s="243"/>
      <c r="C280" s="243"/>
      <c r="D280" s="243"/>
      <c r="E280" s="243"/>
      <c r="F280" s="243"/>
      <c r="G280" s="243"/>
      <c r="H280" s="243"/>
      <c r="I280" s="243"/>
      <c r="J280" s="243"/>
      <c r="K280" s="243"/>
      <c r="L280" s="244"/>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9.xml><?xml version="1.0" encoding="utf-8"?>
<worksheet xmlns="http://schemas.openxmlformats.org/spreadsheetml/2006/main" xmlns:r="http://schemas.openxmlformats.org/officeDocument/2006/relationships">
  <sheetPr>
    <tabColor rgb="FF00B050"/>
  </sheetPr>
  <dimension ref="A1:N35"/>
  <sheetViews>
    <sheetView workbookViewId="0">
      <selection activeCell="D23" sqref="D23"/>
    </sheetView>
  </sheetViews>
  <sheetFormatPr defaultRowHeight="12.75"/>
  <cols>
    <col min="1" max="1" width="4.7109375" customWidth="1"/>
    <col min="3" max="3" width="3.7109375" customWidth="1"/>
  </cols>
  <sheetData>
    <row r="1" spans="1:4">
      <c r="A1" t="s">
        <v>493</v>
      </c>
      <c r="B1" t="s">
        <v>494</v>
      </c>
      <c r="C1">
        <v>1</v>
      </c>
      <c r="D1" t="s">
        <v>495</v>
      </c>
    </row>
    <row r="2" spans="1:4">
      <c r="C2">
        <v>2</v>
      </c>
      <c r="D2" t="s">
        <v>496</v>
      </c>
    </row>
    <row r="3" spans="1:4">
      <c r="C3">
        <v>3</v>
      </c>
      <c r="D3" t="s">
        <v>497</v>
      </c>
    </row>
    <row r="4" spans="1:4">
      <c r="C4">
        <v>4</v>
      </c>
      <c r="D4" t="s">
        <v>498</v>
      </c>
    </row>
    <row r="5" spans="1:4">
      <c r="C5">
        <v>5</v>
      </c>
      <c r="D5" t="s">
        <v>499</v>
      </c>
    </row>
    <row r="6" spans="1:4">
      <c r="C6">
        <v>6</v>
      </c>
      <c r="D6" t="s">
        <v>500</v>
      </c>
    </row>
    <row r="7" spans="1:4">
      <c r="C7" s="336">
        <v>7</v>
      </c>
      <c r="D7" s="335" t="s">
        <v>508</v>
      </c>
    </row>
    <row r="9" spans="1:4">
      <c r="A9" t="s">
        <v>502</v>
      </c>
      <c r="B9" t="s">
        <v>501</v>
      </c>
      <c r="C9">
        <v>1</v>
      </c>
      <c r="D9" t="s">
        <v>512</v>
      </c>
    </row>
    <row r="10" spans="1:4">
      <c r="C10">
        <v>3</v>
      </c>
      <c r="D10" t="s">
        <v>505</v>
      </c>
    </row>
    <row r="11" spans="1:4">
      <c r="D11" s="334" t="s">
        <v>506</v>
      </c>
    </row>
    <row r="12" spans="1:4">
      <c r="C12">
        <v>4</v>
      </c>
      <c r="D12" t="s">
        <v>523</v>
      </c>
    </row>
    <row r="13" spans="1:4">
      <c r="C13" s="336">
        <v>7</v>
      </c>
      <c r="D13" s="335" t="s">
        <v>509</v>
      </c>
    </row>
    <row r="15" spans="1:4">
      <c r="A15" t="s">
        <v>504</v>
      </c>
      <c r="B15" t="s">
        <v>494</v>
      </c>
      <c r="C15">
        <v>1</v>
      </c>
      <c r="D15" t="s">
        <v>503</v>
      </c>
    </row>
    <row r="16" spans="1:4">
      <c r="C16">
        <v>3</v>
      </c>
      <c r="D16" t="s">
        <v>511</v>
      </c>
    </row>
    <row r="17" spans="1:14">
      <c r="C17">
        <v>4</v>
      </c>
      <c r="D17" t="s">
        <v>524</v>
      </c>
    </row>
    <row r="18" spans="1:14">
      <c r="C18" s="335">
        <v>7</v>
      </c>
      <c r="D18" s="335" t="s">
        <v>510</v>
      </c>
    </row>
    <row r="19" spans="1:14">
      <c r="C19" s="338">
        <v>8</v>
      </c>
      <c r="D19" t="s">
        <v>525</v>
      </c>
    </row>
    <row r="20" spans="1:14">
      <c r="A20" t="s">
        <v>527</v>
      </c>
      <c r="B20" t="s">
        <v>494</v>
      </c>
      <c r="C20" s="338"/>
      <c r="D20" t="s">
        <v>528</v>
      </c>
      <c r="E20" s="338"/>
      <c r="F20" s="338"/>
      <c r="G20" s="338"/>
      <c r="H20" s="338"/>
      <c r="I20" s="338"/>
      <c r="J20" s="338"/>
      <c r="K20" s="338"/>
      <c r="L20" s="338"/>
      <c r="M20" s="338"/>
      <c r="N20" s="338"/>
    </row>
    <row r="21" spans="1:14">
      <c r="C21" s="338"/>
      <c r="D21" s="338"/>
      <c r="E21" s="338"/>
      <c r="F21" s="338"/>
      <c r="G21" s="338"/>
      <c r="H21" s="338"/>
      <c r="I21" s="338"/>
      <c r="J21" s="338"/>
      <c r="K21" s="338"/>
      <c r="L21" s="338"/>
      <c r="M21" s="338"/>
      <c r="N21" s="338"/>
    </row>
    <row r="22" spans="1:14">
      <c r="A22" t="s">
        <v>529</v>
      </c>
      <c r="B22" t="s">
        <v>494</v>
      </c>
      <c r="C22" s="338"/>
      <c r="D22" t="s">
        <v>530</v>
      </c>
      <c r="E22" s="338"/>
      <c r="F22" s="338"/>
      <c r="G22" s="338"/>
      <c r="H22" s="338"/>
      <c r="I22" s="338"/>
      <c r="J22" s="338"/>
      <c r="K22" s="338"/>
      <c r="L22" s="338"/>
      <c r="M22" s="338"/>
      <c r="N22" s="338"/>
    </row>
    <row r="23" spans="1:14">
      <c r="C23" s="338"/>
      <c r="D23" s="338"/>
      <c r="E23" s="338"/>
      <c r="F23" s="338"/>
      <c r="G23" s="338"/>
      <c r="H23" s="338"/>
      <c r="I23" s="338"/>
      <c r="J23" s="338"/>
      <c r="K23" s="338"/>
      <c r="L23" s="338"/>
      <c r="M23" s="338"/>
      <c r="N23" s="338"/>
    </row>
    <row r="24" spans="1:14">
      <c r="C24" s="338"/>
      <c r="D24" s="338"/>
      <c r="E24" s="338"/>
      <c r="F24" s="338"/>
      <c r="G24" s="338"/>
      <c r="H24" s="338"/>
      <c r="I24" s="338"/>
      <c r="J24" s="338"/>
      <c r="K24" s="338"/>
      <c r="L24" s="338"/>
      <c r="M24" s="338"/>
      <c r="N24" s="338"/>
    </row>
    <row r="25" spans="1:14">
      <c r="C25" s="338"/>
      <c r="D25" s="338"/>
      <c r="E25" s="338"/>
      <c r="F25" s="338"/>
      <c r="G25" s="338"/>
      <c r="H25" s="338"/>
      <c r="I25" s="338"/>
      <c r="J25" s="338"/>
      <c r="K25" s="338"/>
      <c r="L25" s="338"/>
      <c r="M25" s="338"/>
      <c r="N25" s="338"/>
    </row>
    <row r="26" spans="1:14">
      <c r="C26" s="338"/>
      <c r="D26" s="338"/>
      <c r="E26" s="338"/>
      <c r="F26" s="338"/>
      <c r="G26" s="338"/>
      <c r="H26" s="338"/>
      <c r="I26" s="338"/>
      <c r="J26" s="338"/>
      <c r="K26" s="338"/>
      <c r="L26" s="338"/>
      <c r="M26" s="338"/>
      <c r="N26" s="338"/>
    </row>
    <row r="27" spans="1:14">
      <c r="C27" s="338"/>
      <c r="D27" s="338"/>
      <c r="E27" s="338"/>
      <c r="F27" s="338"/>
      <c r="G27" s="338"/>
      <c r="H27" s="338"/>
      <c r="I27" s="338"/>
      <c r="J27" s="338"/>
      <c r="K27" s="338"/>
      <c r="L27" s="338"/>
      <c r="M27" s="338"/>
      <c r="N27" s="338"/>
    </row>
    <row r="28" spans="1:14" s="337" customFormat="1">
      <c r="A28" s="337" t="s">
        <v>513</v>
      </c>
    </row>
    <row r="29" spans="1:14">
      <c r="D29" t="s">
        <v>514</v>
      </c>
    </row>
    <row r="30" spans="1:14">
      <c r="D30" t="s">
        <v>515</v>
      </c>
    </row>
    <row r="31" spans="1:14">
      <c r="E31" t="s">
        <v>517</v>
      </c>
      <c r="H31" t="s">
        <v>521</v>
      </c>
    </row>
    <row r="32" spans="1:14">
      <c r="E32" t="s">
        <v>516</v>
      </c>
      <c r="H32" t="s">
        <v>519</v>
      </c>
    </row>
    <row r="33" spans="4:8">
      <c r="E33" t="s">
        <v>518</v>
      </c>
      <c r="H33" t="s">
        <v>520</v>
      </c>
    </row>
    <row r="34" spans="4:8">
      <c r="E34" t="s">
        <v>522</v>
      </c>
    </row>
    <row r="35" spans="4:8">
      <c r="D35" t="s">
        <v>526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enableFormatConditionsCalculation="0">
    <tabColor indexed="10"/>
  </sheetPr>
  <dimension ref="A1:Y96"/>
  <sheetViews>
    <sheetView tabSelected="1" workbookViewId="0">
      <pane ySplit="1" topLeftCell="A57" activePane="bottomLeft" state="frozen"/>
      <selection pane="bottomLeft" activeCell="G98" sqref="G98"/>
    </sheetView>
  </sheetViews>
  <sheetFormatPr defaultRowHeight="12.75"/>
  <cols>
    <col min="1" max="1" width="3.140625" style="162" customWidth="1"/>
    <col min="2" max="2" width="24.140625" style="163" customWidth="1"/>
    <col min="3" max="24" width="6.5703125" style="163" customWidth="1"/>
    <col min="25" max="16384" width="9.140625" style="163"/>
  </cols>
  <sheetData>
    <row r="1" spans="1:24" ht="13.5" thickBot="1">
      <c r="B1" s="164"/>
      <c r="C1" s="164" t="s">
        <v>61</v>
      </c>
      <c r="D1" s="164" t="s">
        <v>51</v>
      </c>
      <c r="E1" s="164" t="s">
        <v>54</v>
      </c>
      <c r="F1" s="164" t="s">
        <v>67</v>
      </c>
      <c r="G1" s="164" t="s">
        <v>53</v>
      </c>
      <c r="H1" s="164" t="s">
        <v>72</v>
      </c>
      <c r="I1" s="164" t="s">
        <v>70</v>
      </c>
      <c r="J1" s="164" t="s">
        <v>58</v>
      </c>
      <c r="K1" s="164" t="s">
        <v>52</v>
      </c>
      <c r="L1" s="164" t="s">
        <v>65</v>
      </c>
      <c r="M1" s="164" t="s">
        <v>68</v>
      </c>
      <c r="N1" s="164" t="s">
        <v>64</v>
      </c>
      <c r="O1" s="164" t="s">
        <v>55</v>
      </c>
      <c r="P1" s="164" t="s">
        <v>56</v>
      </c>
      <c r="Q1" s="164" t="s">
        <v>57</v>
      </c>
      <c r="R1" s="164" t="s">
        <v>59</v>
      </c>
      <c r="S1" s="164" t="s">
        <v>60</v>
      </c>
      <c r="T1" s="164" t="s">
        <v>62</v>
      </c>
      <c r="U1" s="164" t="s">
        <v>63</v>
      </c>
      <c r="V1" s="164" t="s">
        <v>66</v>
      </c>
      <c r="W1" s="164" t="s">
        <v>69</v>
      </c>
      <c r="X1" s="164" t="s">
        <v>71</v>
      </c>
    </row>
    <row r="2" spans="1:24" hidden="1">
      <c r="A2" s="162">
        <v>1</v>
      </c>
      <c r="B2" s="165" t="str">
        <f>VLOOKUP($A2,Willem!$B$14:$N$89,4,0)&amp;"-"&amp;VLOOKUP($A2,Willem!$B$14:$N$89,6,0)</f>
        <v>Zuid-Afrika-  Mexico</v>
      </c>
      <c r="C2" s="165" t="str">
        <f ca="1">VLOOKUP($A2,INDIRECT(C$1&amp;"!$B$14:$N$89"),7,0)&amp;" - "&amp;VLOOKUP($A2,INDIRECT(C$1&amp;"!$B$14:$N$89"),9,0)</f>
        <v>0 - 2</v>
      </c>
      <c r="D2" s="165" t="str">
        <f t="shared" ref="D2:S11" ca="1" si="0">VLOOKUP($A2,INDIRECT(D$1&amp;"!$B$14:$N$89"),7,0)&amp;" - "&amp;VLOOKUP($A2,INDIRECT(D$1&amp;"!$B$14:$N$89"),9,0)</f>
        <v>1 - 1</v>
      </c>
      <c r="E2" s="165" t="str">
        <f ca="1">VLOOKUP($A2,INDIRECT(E$1&amp;"!$B$14:$N$89"),7,0)&amp;" - "&amp;VLOOKUP($A2,INDIRECT(E$1&amp;"!$B$14:$N$89"),9,0)</f>
        <v>2 - 3</v>
      </c>
      <c r="F2" s="165" t="str">
        <f ca="1">VLOOKUP($A2,INDIRECT(F$1&amp;"!$B$14:$N$89"),7,0)&amp;" - "&amp;VLOOKUP($A2,INDIRECT(F$1&amp;"!$B$14:$N$89"),9,0)</f>
        <v>2 - 1</v>
      </c>
      <c r="G2" s="165" t="str">
        <f t="shared" ca="1" si="0"/>
        <v>1 - 1</v>
      </c>
      <c r="H2" s="165" t="str">
        <f ca="1">VLOOKUP($A2,INDIRECT(H$1&amp;"!$B$14:$N$89"),7,0)&amp;" - "&amp;VLOOKUP($A2,INDIRECT(H$1&amp;"!$B$14:$N$89"),9,0)</f>
        <v>0 - 4</v>
      </c>
      <c r="I2" s="165" t="str">
        <f ca="1">VLOOKUP($A2,INDIRECT(I$1&amp;"!$B$14:$N$89"),7,0)&amp;" - "&amp;VLOOKUP($A2,INDIRECT(I$1&amp;"!$B$14:$N$89"),9,0)</f>
        <v>2 - 1</v>
      </c>
      <c r="J2" s="165" t="str">
        <f ca="1">VLOOKUP($A2,INDIRECT(J$1&amp;"!$B$14:$N$89"),7,0)&amp;" - "&amp;VLOOKUP($A2,INDIRECT(J$1&amp;"!$B$14:$N$89"),9,0)</f>
        <v>1 - 2</v>
      </c>
      <c r="K2" s="165" t="str">
        <f ca="1">VLOOKUP($A2,INDIRECT(K$1&amp;"!$B$14:$N$89"),7,0)&amp;" - "&amp;VLOOKUP($A2,INDIRECT(K$1&amp;"!$B$14:$N$89"),9,0)</f>
        <v>1 - 1</v>
      </c>
      <c r="L2" s="165" t="str">
        <f ca="1">VLOOKUP($A2,INDIRECT(L$1&amp;"!$B$14:$N$89"),7,0)&amp;" - "&amp;VLOOKUP($A2,INDIRECT(L$1&amp;"!$B$14:$N$89"),9,0)</f>
        <v>0 - 2</v>
      </c>
      <c r="M2" s="165" t="str">
        <f ca="1">VLOOKUP($A2,INDIRECT(M$1&amp;"!$B$14:$N$89"),7,0)&amp;" - "&amp;VLOOKUP($A2,INDIRECT(M$1&amp;"!$B$14:$N$89"),9,0)</f>
        <v>1 - 1</v>
      </c>
      <c r="N2" s="165" t="str">
        <f ca="1">VLOOKUP($A2,INDIRECT(N$1&amp;"!$B$14:$N$89"),7,0)&amp;" - "&amp;VLOOKUP($A2,INDIRECT(N$1&amp;"!$B$14:$N$89"),9,0)</f>
        <v>0 - 2</v>
      </c>
      <c r="O2" s="165" t="str">
        <f t="shared" ca="1" si="0"/>
        <v>1 - 2</v>
      </c>
      <c r="P2" s="165" t="str">
        <f t="shared" ca="1" si="0"/>
        <v>2 - 1</v>
      </c>
      <c r="Q2" s="165" t="str">
        <f t="shared" ca="1" si="0"/>
        <v>1 - 2</v>
      </c>
      <c r="R2" s="165" t="str">
        <f t="shared" ca="1" si="0"/>
        <v>1 - 3</v>
      </c>
      <c r="S2" s="165" t="str">
        <f t="shared" ca="1" si="0"/>
        <v>1 - 0</v>
      </c>
      <c r="T2" s="165" t="str">
        <f t="shared" ref="T2:X11" ca="1" si="1">VLOOKUP($A2,INDIRECT(T$1&amp;"!$B$14:$N$89"),7,0)&amp;" - "&amp;VLOOKUP($A2,INDIRECT(T$1&amp;"!$B$14:$N$89"),9,0)</f>
        <v>1 - 2</v>
      </c>
      <c r="U2" s="165" t="str">
        <f t="shared" ca="1" si="1"/>
        <v>1 - 2</v>
      </c>
      <c r="V2" s="165" t="str">
        <f t="shared" ca="1" si="1"/>
        <v>1 - 1</v>
      </c>
      <c r="W2" s="165" t="str">
        <f t="shared" ca="1" si="1"/>
        <v>1 - 1</v>
      </c>
      <c r="X2" s="165" t="str">
        <f t="shared" ca="1" si="1"/>
        <v>0 - 1</v>
      </c>
    </row>
    <row r="3" spans="1:24" hidden="1">
      <c r="A3" s="162">
        <v>2</v>
      </c>
      <c r="B3" s="166" t="str">
        <f>VLOOKUP($A3,Willem!$B$14:$N$89,4,0)&amp;"-"&amp;VLOOKUP($A3,Willem!$B$14:$N$89,6,0)</f>
        <v>Uruguay-  Frankrijk</v>
      </c>
      <c r="C3" s="166" t="str">
        <f ca="1">VLOOKUP($A3,INDIRECT(C$1&amp;"!$B$14:$N$89"),7,0)&amp;" - "&amp;VLOOKUP($A3,INDIRECT(C$1&amp;"!$B$14:$N$89"),9,0)</f>
        <v>1 - 1</v>
      </c>
      <c r="D3" s="166" t="str">
        <f t="shared" ca="1" si="0"/>
        <v>1 - 0</v>
      </c>
      <c r="E3" s="166" t="str">
        <f ca="1">VLOOKUP($A3,INDIRECT(E$1&amp;"!$B$14:$N$89"),7,0)&amp;" - "&amp;VLOOKUP($A3,INDIRECT(E$1&amp;"!$B$14:$N$89"),9,0)</f>
        <v>0 - 2</v>
      </c>
      <c r="F3" s="166" t="str">
        <f ca="1">VLOOKUP($A3,INDIRECT(F$1&amp;"!$B$14:$N$89"),7,0)&amp;" - "&amp;VLOOKUP($A3,INDIRECT(F$1&amp;"!$B$14:$N$89"),9,0)</f>
        <v>0 - 0</v>
      </c>
      <c r="G3" s="166" t="str">
        <f t="shared" ca="1" si="0"/>
        <v>0 - 0</v>
      </c>
      <c r="H3" s="166" t="str">
        <f ca="1">VLOOKUP($A3,INDIRECT(H$1&amp;"!$B$14:$N$89"),7,0)&amp;" - "&amp;VLOOKUP($A3,INDIRECT(H$1&amp;"!$B$14:$N$89"),9,0)</f>
        <v>1 - 3</v>
      </c>
      <c r="I3" s="166" t="str">
        <f ca="1">VLOOKUP($A3,INDIRECT(I$1&amp;"!$B$14:$N$89"),7,0)&amp;" - "&amp;VLOOKUP($A3,INDIRECT(I$1&amp;"!$B$14:$N$89"),9,0)</f>
        <v>1 - 2</v>
      </c>
      <c r="J3" s="166" t="str">
        <f ca="1">VLOOKUP($A3,INDIRECT(J$1&amp;"!$B$14:$N$89"),7,0)&amp;" - "&amp;VLOOKUP($A3,INDIRECT(J$1&amp;"!$B$14:$N$89"),9,0)</f>
        <v>2 - 1</v>
      </c>
      <c r="K3" s="166" t="str">
        <f ca="1">VLOOKUP($A3,INDIRECT(K$1&amp;"!$B$14:$N$89"),7,0)&amp;" - "&amp;VLOOKUP($A3,INDIRECT(K$1&amp;"!$B$14:$N$89"),9,0)</f>
        <v>1 - 2</v>
      </c>
      <c r="L3" s="166" t="str">
        <f ca="1">VLOOKUP($A3,INDIRECT(L$1&amp;"!$B$14:$N$89"),7,0)&amp;" - "&amp;VLOOKUP($A3,INDIRECT(L$1&amp;"!$B$14:$N$89"),9,0)</f>
        <v>0 - 3</v>
      </c>
      <c r="M3" s="166" t="str">
        <f ca="1">VLOOKUP($A3,INDIRECT(M$1&amp;"!$B$14:$N$89"),7,0)&amp;" - "&amp;VLOOKUP($A3,INDIRECT(M$1&amp;"!$B$14:$N$89"),9,0)</f>
        <v>0 - 0</v>
      </c>
      <c r="N3" s="166" t="str">
        <f ca="1">VLOOKUP($A3,INDIRECT(N$1&amp;"!$B$14:$N$89"),7,0)&amp;" - "&amp;VLOOKUP($A3,INDIRECT(N$1&amp;"!$B$14:$N$89"),9,0)</f>
        <v>1 - 1</v>
      </c>
      <c r="O3" s="166" t="str">
        <f t="shared" ca="1" si="0"/>
        <v>1 - 2</v>
      </c>
      <c r="P3" s="166" t="str">
        <f t="shared" ca="1" si="0"/>
        <v>1 - 3</v>
      </c>
      <c r="Q3" s="166" t="str">
        <f t="shared" ca="1" si="0"/>
        <v>2 - 0</v>
      </c>
      <c r="R3" s="166" t="str">
        <f t="shared" ca="1" si="0"/>
        <v>0 - 0</v>
      </c>
      <c r="S3" s="166" t="str">
        <f t="shared" ca="1" si="0"/>
        <v>2 - 0</v>
      </c>
      <c r="T3" s="166" t="str">
        <f t="shared" ca="1" si="1"/>
        <v>0 - 1</v>
      </c>
      <c r="U3" s="166" t="str">
        <f t="shared" ca="1" si="1"/>
        <v>0 - 2</v>
      </c>
      <c r="V3" s="166" t="str">
        <f t="shared" ca="1" si="1"/>
        <v>0 - 2</v>
      </c>
      <c r="W3" s="166" t="str">
        <f t="shared" ca="1" si="1"/>
        <v>2 - 1</v>
      </c>
      <c r="X3" s="166" t="str">
        <f t="shared" ca="1" si="1"/>
        <v>1 - 2</v>
      </c>
    </row>
    <row r="4" spans="1:24" hidden="1">
      <c r="A4" s="162">
        <v>3</v>
      </c>
      <c r="B4" s="165" t="str">
        <f>VLOOKUP($A4,Willem!$B$14:$N$89,4,0)&amp;"-"&amp;VLOOKUP($A4,Willem!$B$14:$N$89,6,0)</f>
        <v>Argentinië-  Nigeria</v>
      </c>
      <c r="C4" s="165" t="str">
        <f ca="1">VLOOKUP($A4,INDIRECT(C$1&amp;"!$B$14:$N$89"),7,0)&amp;" - "&amp;VLOOKUP($A4,INDIRECT(C$1&amp;"!$B$14:$N$89"),9,0)</f>
        <v>1 - 1</v>
      </c>
      <c r="D4" s="165" t="str">
        <f t="shared" ca="1" si="0"/>
        <v>2 - 1</v>
      </c>
      <c r="E4" s="165" t="str">
        <f ca="1">VLOOKUP($A4,INDIRECT(E$1&amp;"!$B$14:$N$89"),7,0)&amp;" - "&amp;VLOOKUP($A4,INDIRECT(E$1&amp;"!$B$14:$N$89"),9,0)</f>
        <v>4 - 0</v>
      </c>
      <c r="F4" s="165" t="str">
        <f ca="1">VLOOKUP($A4,INDIRECT(F$1&amp;"!$B$14:$N$89"),7,0)&amp;" - "&amp;VLOOKUP($A4,INDIRECT(F$1&amp;"!$B$14:$N$89"),9,0)</f>
        <v>3 - 0</v>
      </c>
      <c r="G4" s="165" t="str">
        <f t="shared" ca="1" si="0"/>
        <v>3 - 0</v>
      </c>
      <c r="H4" s="165" t="str">
        <f ca="1">VLOOKUP($A4,INDIRECT(H$1&amp;"!$B$14:$N$89"),7,0)&amp;" - "&amp;VLOOKUP($A4,INDIRECT(H$1&amp;"!$B$14:$N$89"),9,0)</f>
        <v>3 - 1</v>
      </c>
      <c r="I4" s="165" t="str">
        <f ca="1">VLOOKUP($A4,INDIRECT(I$1&amp;"!$B$14:$N$89"),7,0)&amp;" - "&amp;VLOOKUP($A4,INDIRECT(I$1&amp;"!$B$14:$N$89"),9,0)</f>
        <v>2 - 1</v>
      </c>
      <c r="J4" s="165" t="str">
        <f ca="1">VLOOKUP($A4,INDIRECT(J$1&amp;"!$B$14:$N$89"),7,0)&amp;" - "&amp;VLOOKUP($A4,INDIRECT(J$1&amp;"!$B$14:$N$89"),9,0)</f>
        <v>1 - 2</v>
      </c>
      <c r="K4" s="165" t="str">
        <f ca="1">VLOOKUP($A4,INDIRECT(K$1&amp;"!$B$14:$N$89"),7,0)&amp;" - "&amp;VLOOKUP($A4,INDIRECT(K$1&amp;"!$B$14:$N$89"),9,0)</f>
        <v>2 - 1</v>
      </c>
      <c r="L4" s="165" t="str">
        <f ca="1">VLOOKUP($A4,INDIRECT(L$1&amp;"!$B$14:$N$89"),7,0)&amp;" - "&amp;VLOOKUP($A4,INDIRECT(L$1&amp;"!$B$14:$N$89"),9,0)</f>
        <v>3 - 2</v>
      </c>
      <c r="M4" s="165" t="str">
        <f ca="1">VLOOKUP($A4,INDIRECT(M$1&amp;"!$B$14:$N$89"),7,0)&amp;" - "&amp;VLOOKUP($A4,INDIRECT(M$1&amp;"!$B$14:$N$89"),9,0)</f>
        <v>2 - 0</v>
      </c>
      <c r="N4" s="165" t="str">
        <f ca="1">VLOOKUP($A4,INDIRECT(N$1&amp;"!$B$14:$N$89"),7,0)&amp;" - "&amp;VLOOKUP($A4,INDIRECT(N$1&amp;"!$B$14:$N$89"),9,0)</f>
        <v>2 - 0</v>
      </c>
      <c r="O4" s="165" t="str">
        <f t="shared" ca="1" si="0"/>
        <v>2 - 1</v>
      </c>
      <c r="P4" s="165" t="str">
        <f t="shared" ca="1" si="0"/>
        <v>2 - 1</v>
      </c>
      <c r="Q4" s="165" t="str">
        <f t="shared" ca="1" si="0"/>
        <v>3 - 1</v>
      </c>
      <c r="R4" s="165" t="str">
        <f t="shared" ca="1" si="0"/>
        <v>3 - 2</v>
      </c>
      <c r="S4" s="165" t="str">
        <f t="shared" ca="1" si="0"/>
        <v>1 - 1</v>
      </c>
      <c r="T4" s="165" t="str">
        <f t="shared" ca="1" si="1"/>
        <v>1 - 0</v>
      </c>
      <c r="U4" s="165" t="str">
        <f t="shared" ca="1" si="1"/>
        <v>3 - 0</v>
      </c>
      <c r="V4" s="165" t="str">
        <f t="shared" ca="1" si="1"/>
        <v>2 - 1</v>
      </c>
      <c r="W4" s="165" t="str">
        <f t="shared" ca="1" si="1"/>
        <v>1 - 1</v>
      </c>
      <c r="X4" s="165" t="str">
        <f t="shared" ca="1" si="1"/>
        <v>2 - 0</v>
      </c>
    </row>
    <row r="5" spans="1:24" hidden="1">
      <c r="A5" s="162">
        <v>4</v>
      </c>
      <c r="B5" s="166" t="str">
        <f>VLOOKUP($A5,Willem!$B$14:$N$89,4,0)&amp;"-"&amp;VLOOKUP($A5,Willem!$B$14:$N$89,6,0)</f>
        <v>Zuid-Korea-  Griekenland</v>
      </c>
      <c r="C5" s="166" t="str">
        <f ca="1">VLOOKUP($A5,INDIRECT(C$1&amp;"!$B$14:$N$89"),7,0)&amp;" - "&amp;VLOOKUP($A5,INDIRECT(C$1&amp;"!$B$14:$N$89"),9,0)</f>
        <v>1 - 2</v>
      </c>
      <c r="D5" s="166" t="str">
        <f t="shared" ca="1" si="0"/>
        <v>1 - 0</v>
      </c>
      <c r="E5" s="166" t="str">
        <f ca="1">VLOOKUP($A5,INDIRECT(E$1&amp;"!$B$14:$N$89"),7,0)&amp;" - "&amp;VLOOKUP($A5,INDIRECT(E$1&amp;"!$B$14:$N$89"),9,0)</f>
        <v>2 - 0</v>
      </c>
      <c r="F5" s="166" t="str">
        <f ca="1">VLOOKUP($A5,INDIRECT(F$1&amp;"!$B$14:$N$89"),7,0)&amp;" - "&amp;VLOOKUP($A5,INDIRECT(F$1&amp;"!$B$14:$N$89"),9,0)</f>
        <v>2 - 1</v>
      </c>
      <c r="G5" s="166" t="str">
        <f t="shared" ca="1" si="0"/>
        <v>1 - 0</v>
      </c>
      <c r="H5" s="166" t="str">
        <f ca="1">VLOOKUP($A5,INDIRECT(H$1&amp;"!$B$14:$N$89"),7,0)&amp;" - "&amp;VLOOKUP($A5,INDIRECT(H$1&amp;"!$B$14:$N$89"),9,0)</f>
        <v>3 - 1</v>
      </c>
      <c r="I5" s="166" t="str">
        <f ca="1">VLOOKUP($A5,INDIRECT(I$1&amp;"!$B$14:$N$89"),7,0)&amp;" - "&amp;VLOOKUP($A5,INDIRECT(I$1&amp;"!$B$14:$N$89"),9,0)</f>
        <v>1 - 2</v>
      </c>
      <c r="J5" s="166" t="str">
        <f ca="1">VLOOKUP($A5,INDIRECT(J$1&amp;"!$B$14:$N$89"),7,0)&amp;" - "&amp;VLOOKUP($A5,INDIRECT(J$1&amp;"!$B$14:$N$89"),9,0)</f>
        <v>1 - 0</v>
      </c>
      <c r="K5" s="166" t="str">
        <f ca="1">VLOOKUP($A5,INDIRECT(K$1&amp;"!$B$14:$N$89"),7,0)&amp;" - "&amp;VLOOKUP($A5,INDIRECT(K$1&amp;"!$B$14:$N$89"),9,0)</f>
        <v>1 - 0</v>
      </c>
      <c r="L5" s="166" t="str">
        <f ca="1">VLOOKUP($A5,INDIRECT(L$1&amp;"!$B$14:$N$89"),7,0)&amp;" - "&amp;VLOOKUP($A5,INDIRECT(L$1&amp;"!$B$14:$N$89"),9,0)</f>
        <v>1 - 0</v>
      </c>
      <c r="M5" s="166" t="str">
        <f ca="1">VLOOKUP($A5,INDIRECT(M$1&amp;"!$B$14:$N$89"),7,0)&amp;" - "&amp;VLOOKUP($A5,INDIRECT(M$1&amp;"!$B$14:$N$89"),9,0)</f>
        <v>1 - 0</v>
      </c>
      <c r="N5" s="166" t="str">
        <f ca="1">VLOOKUP($A5,INDIRECT(N$1&amp;"!$B$14:$N$89"),7,0)&amp;" - "&amp;VLOOKUP($A5,INDIRECT(N$1&amp;"!$B$14:$N$89"),9,0)</f>
        <v>1 - 1</v>
      </c>
      <c r="O5" s="166" t="str">
        <f t="shared" ca="1" si="0"/>
        <v>0 - 1</v>
      </c>
      <c r="P5" s="166" t="str">
        <f t="shared" ca="1" si="0"/>
        <v>1 - 1</v>
      </c>
      <c r="Q5" s="166" t="str">
        <f t="shared" ca="1" si="0"/>
        <v>1 - 1</v>
      </c>
      <c r="R5" s="166" t="str">
        <f t="shared" ca="1" si="0"/>
        <v>0 - 1</v>
      </c>
      <c r="S5" s="166" t="str">
        <f t="shared" ca="1" si="0"/>
        <v>1 - 0</v>
      </c>
      <c r="T5" s="166" t="str">
        <f t="shared" ca="1" si="1"/>
        <v>2 - 0</v>
      </c>
      <c r="U5" s="166" t="str">
        <f t="shared" ca="1" si="1"/>
        <v>1 - 2</v>
      </c>
      <c r="V5" s="166" t="str">
        <f t="shared" ca="1" si="1"/>
        <v>1 - 0</v>
      </c>
      <c r="W5" s="166" t="str">
        <f t="shared" ca="1" si="1"/>
        <v>0 - 0</v>
      </c>
      <c r="X5" s="166" t="str">
        <f t="shared" ca="1" si="1"/>
        <v>1 - 1</v>
      </c>
    </row>
    <row r="6" spans="1:24" hidden="1">
      <c r="A6" s="162">
        <v>5</v>
      </c>
      <c r="B6" s="165" t="str">
        <f>VLOOKUP($A6,Willem!$B$14:$N$89,4,0)&amp;"-"&amp;VLOOKUP($A6,Willem!$B$14:$N$89,6,0)</f>
        <v>Engeland-  USA</v>
      </c>
      <c r="C6" s="165" t="str">
        <f ca="1">VLOOKUP($A6,INDIRECT(C$1&amp;"!$B$14:$N$89"),7,0)&amp;" - "&amp;VLOOKUP($A6,INDIRECT(C$1&amp;"!$B$14:$N$89"),9,0)</f>
        <v>2 - 0</v>
      </c>
      <c r="D6" s="165" t="str">
        <f t="shared" ca="1" si="0"/>
        <v>1 - 2</v>
      </c>
      <c r="E6" s="165" t="str">
        <f ca="1">VLOOKUP($A6,INDIRECT(E$1&amp;"!$B$14:$N$89"),7,0)&amp;" - "&amp;VLOOKUP($A6,INDIRECT(E$1&amp;"!$B$14:$N$89"),9,0)</f>
        <v>2 - 2</v>
      </c>
      <c r="F6" s="165" t="str">
        <f ca="1">VLOOKUP($A6,INDIRECT(F$1&amp;"!$B$14:$N$89"),7,0)&amp;" - "&amp;VLOOKUP($A6,INDIRECT(F$1&amp;"!$B$14:$N$89"),9,0)</f>
        <v>2 - 0</v>
      </c>
      <c r="G6" s="165" t="str">
        <f t="shared" ca="1" si="0"/>
        <v>1 - 2</v>
      </c>
      <c r="H6" s="165" t="str">
        <f ca="1">VLOOKUP($A6,INDIRECT(H$1&amp;"!$B$14:$N$89"),7,0)&amp;" - "&amp;VLOOKUP($A6,INDIRECT(H$1&amp;"!$B$14:$N$89"),9,0)</f>
        <v>1 - 1</v>
      </c>
      <c r="I6" s="165" t="str">
        <f ca="1">VLOOKUP($A6,INDIRECT(I$1&amp;"!$B$14:$N$89"),7,0)&amp;" - "&amp;VLOOKUP($A6,INDIRECT(I$1&amp;"!$B$14:$N$89"),9,0)</f>
        <v>2 - 0</v>
      </c>
      <c r="J6" s="165" t="str">
        <f ca="1">VLOOKUP($A6,INDIRECT(J$1&amp;"!$B$14:$N$89"),7,0)&amp;" - "&amp;VLOOKUP($A6,INDIRECT(J$1&amp;"!$B$14:$N$89"),9,0)</f>
        <v>3 - 1</v>
      </c>
      <c r="K6" s="165" t="str">
        <f ca="1">VLOOKUP($A6,INDIRECT(K$1&amp;"!$B$14:$N$89"),7,0)&amp;" - "&amp;VLOOKUP($A6,INDIRECT(K$1&amp;"!$B$14:$N$89"),9,0)</f>
        <v>2 - 2</v>
      </c>
      <c r="L6" s="165" t="str">
        <f ca="1">VLOOKUP($A6,INDIRECT(L$1&amp;"!$B$14:$N$89"),7,0)&amp;" - "&amp;VLOOKUP($A6,INDIRECT(L$1&amp;"!$B$14:$N$89"),9,0)</f>
        <v>2 - 0</v>
      </c>
      <c r="M6" s="165" t="str">
        <f ca="1">VLOOKUP($A6,INDIRECT(M$1&amp;"!$B$14:$N$89"),7,0)&amp;" - "&amp;VLOOKUP($A6,INDIRECT(M$1&amp;"!$B$14:$N$89"),9,0)</f>
        <v>2 - 1</v>
      </c>
      <c r="N6" s="165" t="str">
        <f ca="1">VLOOKUP($A6,INDIRECT(N$1&amp;"!$B$14:$N$89"),7,0)&amp;" - "&amp;VLOOKUP($A6,INDIRECT(N$1&amp;"!$B$14:$N$89"),9,0)</f>
        <v>2 - 0</v>
      </c>
      <c r="O6" s="165" t="str">
        <f t="shared" ca="1" si="0"/>
        <v>2 - 1</v>
      </c>
      <c r="P6" s="165" t="str">
        <f t="shared" ca="1" si="0"/>
        <v>1 - 1</v>
      </c>
      <c r="Q6" s="165" t="str">
        <f t="shared" ca="1" si="0"/>
        <v>2 - 1</v>
      </c>
      <c r="R6" s="165" t="str">
        <f t="shared" ca="1" si="0"/>
        <v>2 - 0</v>
      </c>
      <c r="S6" s="165" t="str">
        <f t="shared" ca="1" si="0"/>
        <v>2 - 1</v>
      </c>
      <c r="T6" s="165" t="str">
        <f t="shared" ca="1" si="1"/>
        <v>0 - 0</v>
      </c>
      <c r="U6" s="165" t="str">
        <f t="shared" ca="1" si="1"/>
        <v>2 - 0</v>
      </c>
      <c r="V6" s="165" t="str">
        <f t="shared" ca="1" si="1"/>
        <v>2 - 1</v>
      </c>
      <c r="W6" s="165" t="str">
        <f t="shared" ca="1" si="1"/>
        <v>3 - 1</v>
      </c>
      <c r="X6" s="165" t="str">
        <f t="shared" ca="1" si="1"/>
        <v>2 - 1</v>
      </c>
    </row>
    <row r="7" spans="1:24" hidden="1">
      <c r="A7" s="162">
        <v>6</v>
      </c>
      <c r="B7" s="166" t="str">
        <f>VLOOKUP($A7,Willem!$B$14:$N$89,4,0)&amp;"-"&amp;VLOOKUP($A7,Willem!$B$14:$N$89,6,0)</f>
        <v>Algerije-  Slovenië</v>
      </c>
      <c r="C7" s="166" t="str">
        <f ca="1">VLOOKUP($A7,INDIRECT(C$1&amp;"!$B$14:$N$89"),7,0)&amp;" - "&amp;VLOOKUP($A7,INDIRECT(C$1&amp;"!$B$14:$N$89"),9,0)</f>
        <v>1 - 0</v>
      </c>
      <c r="D7" s="166" t="str">
        <f t="shared" ca="1" si="0"/>
        <v>1 - 0</v>
      </c>
      <c r="E7" s="166" t="str">
        <f ca="1">VLOOKUP($A7,INDIRECT(E$1&amp;"!$B$14:$N$89"),7,0)&amp;" - "&amp;VLOOKUP($A7,INDIRECT(E$1&amp;"!$B$14:$N$89"),9,0)</f>
        <v>1 - 2</v>
      </c>
      <c r="F7" s="166" t="str">
        <f ca="1">VLOOKUP($A7,INDIRECT(F$1&amp;"!$B$14:$N$89"),7,0)&amp;" - "&amp;VLOOKUP($A7,INDIRECT(F$1&amp;"!$B$14:$N$89"),9,0)</f>
        <v>1 - 0</v>
      </c>
      <c r="G7" s="166" t="str">
        <f t="shared" ca="1" si="0"/>
        <v>1 - 0</v>
      </c>
      <c r="H7" s="166" t="str">
        <f ca="1">VLOOKUP($A7,INDIRECT(H$1&amp;"!$B$14:$N$89"),7,0)&amp;" - "&amp;VLOOKUP($A7,INDIRECT(H$1&amp;"!$B$14:$N$89"),9,0)</f>
        <v>0 - 1</v>
      </c>
      <c r="I7" s="166" t="str">
        <f ca="1">VLOOKUP($A7,INDIRECT(I$1&amp;"!$B$14:$N$89"),7,0)&amp;" - "&amp;VLOOKUP($A7,INDIRECT(I$1&amp;"!$B$14:$N$89"),9,0)</f>
        <v>0 - 3</v>
      </c>
      <c r="J7" s="166" t="str">
        <f ca="1">VLOOKUP($A7,INDIRECT(J$1&amp;"!$B$14:$N$89"),7,0)&amp;" - "&amp;VLOOKUP($A7,INDIRECT(J$1&amp;"!$B$14:$N$89"),9,0)</f>
        <v>1 - 1</v>
      </c>
      <c r="K7" s="166" t="str">
        <f ca="1">VLOOKUP($A7,INDIRECT(K$1&amp;"!$B$14:$N$89"),7,0)&amp;" - "&amp;VLOOKUP($A7,INDIRECT(K$1&amp;"!$B$14:$N$89"),9,0)</f>
        <v>0 - 2</v>
      </c>
      <c r="L7" s="166" t="str">
        <f ca="1">VLOOKUP($A7,INDIRECT(L$1&amp;"!$B$14:$N$89"),7,0)&amp;" - "&amp;VLOOKUP($A7,INDIRECT(L$1&amp;"!$B$14:$N$89"),9,0)</f>
        <v>0 - 1</v>
      </c>
      <c r="M7" s="166" t="str">
        <f ca="1">VLOOKUP($A7,INDIRECT(M$1&amp;"!$B$14:$N$89"),7,0)&amp;" - "&amp;VLOOKUP($A7,INDIRECT(M$1&amp;"!$B$14:$N$89"),9,0)</f>
        <v>1 - 0</v>
      </c>
      <c r="N7" s="166" t="str">
        <f ca="1">VLOOKUP($A7,INDIRECT(N$1&amp;"!$B$14:$N$89"),7,0)&amp;" - "&amp;VLOOKUP($A7,INDIRECT(N$1&amp;"!$B$14:$N$89"),9,0)</f>
        <v>1 - 2</v>
      </c>
      <c r="O7" s="166" t="str">
        <f t="shared" ca="1" si="0"/>
        <v>1 - 0</v>
      </c>
      <c r="P7" s="166" t="str">
        <f t="shared" ca="1" si="0"/>
        <v>6 - 2</v>
      </c>
      <c r="Q7" s="166" t="str">
        <f t="shared" ca="1" si="0"/>
        <v>0 - 1</v>
      </c>
      <c r="R7" s="166" t="str">
        <f t="shared" ca="1" si="0"/>
        <v>2 - 2</v>
      </c>
      <c r="S7" s="166" t="str">
        <f t="shared" ca="1" si="0"/>
        <v>1 - 0</v>
      </c>
      <c r="T7" s="166" t="str">
        <f t="shared" ca="1" si="1"/>
        <v>1 - 2</v>
      </c>
      <c r="U7" s="166" t="str">
        <f t="shared" ca="1" si="1"/>
        <v>1 - 2</v>
      </c>
      <c r="V7" s="166" t="str">
        <f t="shared" ca="1" si="1"/>
        <v>0 - 1</v>
      </c>
      <c r="W7" s="166" t="str">
        <f t="shared" ca="1" si="1"/>
        <v>0 - 0</v>
      </c>
      <c r="X7" s="166" t="str">
        <f t="shared" ca="1" si="1"/>
        <v>0 - 2</v>
      </c>
    </row>
    <row r="8" spans="1:24" hidden="1">
      <c r="A8" s="162">
        <v>7</v>
      </c>
      <c r="B8" s="165" t="str">
        <f>VLOOKUP($A8,Willem!$B$14:$N$89,4,0)&amp;"-"&amp;VLOOKUP($A8,Willem!$B$14:$N$89,6,0)</f>
        <v>Duitsland  -  Australië</v>
      </c>
      <c r="C8" s="165" t="str">
        <f ca="1">VLOOKUP($A8,INDIRECT(C$1&amp;"!$B$14:$N$89"),7,0)&amp;" - "&amp;VLOOKUP($A8,INDIRECT(C$1&amp;"!$B$14:$N$89"),9,0)</f>
        <v>1 - 0</v>
      </c>
      <c r="D8" s="165" t="str">
        <f t="shared" ca="1" si="0"/>
        <v>2 - 0</v>
      </c>
      <c r="E8" s="165" t="str">
        <f ca="1">VLOOKUP($A8,INDIRECT(E$1&amp;"!$B$14:$N$89"),7,0)&amp;" - "&amp;VLOOKUP($A8,INDIRECT(E$1&amp;"!$B$14:$N$89"),9,0)</f>
        <v>3 - 0</v>
      </c>
      <c r="F8" s="165" t="str">
        <f ca="1">VLOOKUP($A8,INDIRECT(F$1&amp;"!$B$14:$N$89"),7,0)&amp;" - "&amp;VLOOKUP($A8,INDIRECT(F$1&amp;"!$B$14:$N$89"),9,0)</f>
        <v>2 - 0</v>
      </c>
      <c r="G8" s="165" t="str">
        <f t="shared" ca="1" si="0"/>
        <v>2 - 0</v>
      </c>
      <c r="H8" s="165" t="str">
        <f ca="1">VLOOKUP($A8,INDIRECT(H$1&amp;"!$B$14:$N$89"),7,0)&amp;" - "&amp;VLOOKUP($A8,INDIRECT(H$1&amp;"!$B$14:$N$89"),9,0)</f>
        <v>2 - 1</v>
      </c>
      <c r="I8" s="165" t="str">
        <f ca="1">VLOOKUP($A8,INDIRECT(I$1&amp;"!$B$14:$N$89"),7,0)&amp;" - "&amp;VLOOKUP($A8,INDIRECT(I$1&amp;"!$B$14:$N$89"),9,0)</f>
        <v>2 - 0</v>
      </c>
      <c r="J8" s="165" t="str">
        <f ca="1">VLOOKUP($A8,INDIRECT(J$1&amp;"!$B$14:$N$89"),7,0)&amp;" - "&amp;VLOOKUP($A8,INDIRECT(J$1&amp;"!$B$14:$N$89"),9,0)</f>
        <v>1 - 0</v>
      </c>
      <c r="K8" s="165" t="str">
        <f ca="1">VLOOKUP($A8,INDIRECT(K$1&amp;"!$B$14:$N$89"),7,0)&amp;" - "&amp;VLOOKUP($A8,INDIRECT(K$1&amp;"!$B$14:$N$89"),9,0)</f>
        <v>1 - 1</v>
      </c>
      <c r="L8" s="165" t="str">
        <f ca="1">VLOOKUP($A8,INDIRECT(L$1&amp;"!$B$14:$N$89"),7,0)&amp;" - "&amp;VLOOKUP($A8,INDIRECT(L$1&amp;"!$B$14:$N$89"),9,0)</f>
        <v>2 - 1</v>
      </c>
      <c r="M8" s="165" t="str">
        <f ca="1">VLOOKUP($A8,INDIRECT(M$1&amp;"!$B$14:$N$89"),7,0)&amp;" - "&amp;VLOOKUP($A8,INDIRECT(M$1&amp;"!$B$14:$N$89"),9,0)</f>
        <v>2 - 0</v>
      </c>
      <c r="N8" s="165" t="str">
        <f ca="1">VLOOKUP($A8,INDIRECT(N$1&amp;"!$B$14:$N$89"),7,0)&amp;" - "&amp;VLOOKUP($A8,INDIRECT(N$1&amp;"!$B$14:$N$89"),9,0)</f>
        <v>2 - 0</v>
      </c>
      <c r="O8" s="165" t="str">
        <f t="shared" ca="1" si="0"/>
        <v>2 - 1</v>
      </c>
      <c r="P8" s="165" t="str">
        <f t="shared" ca="1" si="0"/>
        <v>2 - 2</v>
      </c>
      <c r="Q8" s="165" t="str">
        <f t="shared" ca="1" si="0"/>
        <v>2 - 1</v>
      </c>
      <c r="R8" s="165" t="str">
        <f t="shared" ca="1" si="0"/>
        <v>2 - 0</v>
      </c>
      <c r="S8" s="165" t="str">
        <f t="shared" ca="1" si="0"/>
        <v>2 - 1</v>
      </c>
      <c r="T8" s="165" t="str">
        <f t="shared" ca="1" si="1"/>
        <v>1 - 1</v>
      </c>
      <c r="U8" s="165" t="str">
        <f t="shared" ca="1" si="1"/>
        <v>3 - 0</v>
      </c>
      <c r="V8" s="165" t="str">
        <f t="shared" ca="1" si="1"/>
        <v>1 - 0</v>
      </c>
      <c r="W8" s="165" t="str">
        <f t="shared" ca="1" si="1"/>
        <v>2 - 0</v>
      </c>
      <c r="X8" s="165" t="str">
        <f t="shared" ca="1" si="1"/>
        <v>3 - 1</v>
      </c>
    </row>
    <row r="9" spans="1:24" hidden="1">
      <c r="A9" s="162">
        <v>8</v>
      </c>
      <c r="B9" s="166" t="str">
        <f>VLOOKUP($A9,Willem!$B$14:$N$89,4,0)&amp;"-"&amp;VLOOKUP($A9,Willem!$B$14:$N$89,6,0)</f>
        <v>Servië  -  Ghana</v>
      </c>
      <c r="C9" s="166" t="str">
        <f ca="1">VLOOKUP($A9,INDIRECT(C$1&amp;"!$B$14:$N$89"),7,0)&amp;" - "&amp;VLOOKUP($A9,INDIRECT(C$1&amp;"!$B$14:$N$89"),9,0)</f>
        <v>2 - 0</v>
      </c>
      <c r="D9" s="166" t="str">
        <f t="shared" ca="1" si="0"/>
        <v>2 - 1</v>
      </c>
      <c r="E9" s="166" t="str">
        <f ca="1">VLOOKUP($A9,INDIRECT(E$1&amp;"!$B$14:$N$89"),7,0)&amp;" - "&amp;VLOOKUP($A9,INDIRECT(E$1&amp;"!$B$14:$N$89"),9,0)</f>
        <v>2 - 1</v>
      </c>
      <c r="F9" s="166" t="str">
        <f ca="1">VLOOKUP($A9,INDIRECT(F$1&amp;"!$B$14:$N$89"),7,0)&amp;" - "&amp;VLOOKUP($A9,INDIRECT(F$1&amp;"!$B$14:$N$89"),9,0)</f>
        <v>0 - 1</v>
      </c>
      <c r="G9" s="166" t="str">
        <f t="shared" ca="1" si="0"/>
        <v>2 - 1</v>
      </c>
      <c r="H9" s="166" t="str">
        <f ca="1">VLOOKUP($A9,INDIRECT(H$1&amp;"!$B$14:$N$89"),7,0)&amp;" - "&amp;VLOOKUP($A9,INDIRECT(H$1&amp;"!$B$14:$N$89"),9,0)</f>
        <v>1 - 3</v>
      </c>
      <c r="I9" s="166" t="str">
        <f ca="1">VLOOKUP($A9,INDIRECT(I$1&amp;"!$B$14:$N$89"),7,0)&amp;" - "&amp;VLOOKUP($A9,INDIRECT(I$1&amp;"!$B$14:$N$89"),9,0)</f>
        <v>3 - 2</v>
      </c>
      <c r="J9" s="166" t="str">
        <f ca="1">VLOOKUP($A9,INDIRECT(J$1&amp;"!$B$14:$N$89"),7,0)&amp;" - "&amp;VLOOKUP($A9,INDIRECT(J$1&amp;"!$B$14:$N$89"),9,0)</f>
        <v>0 - 0</v>
      </c>
      <c r="K9" s="166" t="str">
        <f ca="1">VLOOKUP($A9,INDIRECT(K$1&amp;"!$B$14:$N$89"),7,0)&amp;" - "&amp;VLOOKUP($A9,INDIRECT(K$1&amp;"!$B$14:$N$89"),9,0)</f>
        <v>2 - 1</v>
      </c>
      <c r="L9" s="166" t="str">
        <f ca="1">VLOOKUP($A9,INDIRECT(L$1&amp;"!$B$14:$N$89"),7,0)&amp;" - "&amp;VLOOKUP($A9,INDIRECT(L$1&amp;"!$B$14:$N$89"),9,0)</f>
        <v>1 - 0</v>
      </c>
      <c r="M9" s="166" t="str">
        <f ca="1">VLOOKUP($A9,INDIRECT(M$1&amp;"!$B$14:$N$89"),7,0)&amp;" - "&amp;VLOOKUP($A9,INDIRECT(M$1&amp;"!$B$14:$N$89"),9,0)</f>
        <v>2 - 1</v>
      </c>
      <c r="N9" s="166" t="str">
        <f ca="1">VLOOKUP($A9,INDIRECT(N$1&amp;"!$B$14:$N$89"),7,0)&amp;" - "&amp;VLOOKUP($A9,INDIRECT(N$1&amp;"!$B$14:$N$89"),9,0)</f>
        <v>1 - 0</v>
      </c>
      <c r="O9" s="166" t="str">
        <f t="shared" ca="1" si="0"/>
        <v>2 - 1</v>
      </c>
      <c r="P9" s="166" t="str">
        <f t="shared" ca="1" si="0"/>
        <v>2 - 2</v>
      </c>
      <c r="Q9" s="166" t="str">
        <f t="shared" ca="1" si="0"/>
        <v>1 - 1</v>
      </c>
      <c r="R9" s="166" t="str">
        <f t="shared" ca="1" si="0"/>
        <v>2 - 0</v>
      </c>
      <c r="S9" s="166" t="str">
        <f t="shared" ca="1" si="0"/>
        <v>1 - 0</v>
      </c>
      <c r="T9" s="166" t="str">
        <f t="shared" ca="1" si="1"/>
        <v>1 - 0</v>
      </c>
      <c r="U9" s="166" t="str">
        <f t="shared" ca="1" si="1"/>
        <v>2 - 0</v>
      </c>
      <c r="V9" s="166" t="str">
        <f t="shared" ca="1" si="1"/>
        <v>0 - 1</v>
      </c>
      <c r="W9" s="166" t="str">
        <f t="shared" ca="1" si="1"/>
        <v>1 - 2</v>
      </c>
      <c r="X9" s="166" t="str">
        <f t="shared" ca="1" si="1"/>
        <v>2 - 0</v>
      </c>
    </row>
    <row r="10" spans="1:24" hidden="1">
      <c r="A10" s="162">
        <v>9</v>
      </c>
      <c r="B10" s="165" t="str">
        <f>VLOOKUP($A10,Willem!$B$14:$N$89,4,0)&amp;"-"&amp;VLOOKUP($A10,Willem!$B$14:$N$89,6,0)</f>
        <v>Nederland  -  Denemarken</v>
      </c>
      <c r="C10" s="165" t="str">
        <f ca="1">VLOOKUP($A10,INDIRECT(C$1&amp;"!$B$14:$N$89"),7,0)&amp;" - "&amp;VLOOKUP($A10,INDIRECT(C$1&amp;"!$B$14:$N$89"),9,0)</f>
        <v>2 - 0</v>
      </c>
      <c r="D10" s="165" t="str">
        <f t="shared" ca="1" si="0"/>
        <v>2 - 1</v>
      </c>
      <c r="E10" s="165" t="str">
        <f ca="1">VLOOKUP($A10,INDIRECT(E$1&amp;"!$B$14:$N$89"),7,0)&amp;" - "&amp;VLOOKUP($A10,INDIRECT(E$1&amp;"!$B$14:$N$89"),9,0)</f>
        <v>1 - 0</v>
      </c>
      <c r="F10" s="165" t="str">
        <f ca="1">VLOOKUP($A10,INDIRECT(F$1&amp;"!$B$14:$N$89"),7,0)&amp;" - "&amp;VLOOKUP($A10,INDIRECT(F$1&amp;"!$B$14:$N$89"),9,0)</f>
        <v>2 - 0</v>
      </c>
      <c r="G10" s="165" t="str">
        <f t="shared" ca="1" si="0"/>
        <v>2 - 1</v>
      </c>
      <c r="H10" s="165" t="str">
        <f ca="1">VLOOKUP($A10,INDIRECT(H$1&amp;"!$B$14:$N$89"),7,0)&amp;" - "&amp;VLOOKUP($A10,INDIRECT(H$1&amp;"!$B$14:$N$89"),9,0)</f>
        <v>2 - 0</v>
      </c>
      <c r="I10" s="165" t="str">
        <f ca="1">VLOOKUP($A10,INDIRECT(I$1&amp;"!$B$14:$N$89"),7,0)&amp;" - "&amp;VLOOKUP($A10,INDIRECT(I$1&amp;"!$B$14:$N$89"),9,0)</f>
        <v>2 - 1</v>
      </c>
      <c r="J10" s="165" t="str">
        <f ca="1">VLOOKUP($A10,INDIRECT(J$1&amp;"!$B$14:$N$89"),7,0)&amp;" - "&amp;VLOOKUP($A10,INDIRECT(J$1&amp;"!$B$14:$N$89"),9,0)</f>
        <v>2 - 1</v>
      </c>
      <c r="K10" s="165" t="str">
        <f ca="1">VLOOKUP($A10,INDIRECT(K$1&amp;"!$B$14:$N$89"),7,0)&amp;" - "&amp;VLOOKUP($A10,INDIRECT(K$1&amp;"!$B$14:$N$89"),9,0)</f>
        <v>1 - 1</v>
      </c>
      <c r="L10" s="165" t="str">
        <f ca="1">VLOOKUP($A10,INDIRECT(L$1&amp;"!$B$14:$N$89"),7,0)&amp;" - "&amp;VLOOKUP($A10,INDIRECT(L$1&amp;"!$B$14:$N$89"),9,0)</f>
        <v>2 - 1</v>
      </c>
      <c r="M10" s="165" t="str">
        <f ca="1">VLOOKUP($A10,INDIRECT(M$1&amp;"!$B$14:$N$89"),7,0)&amp;" - "&amp;VLOOKUP($A10,INDIRECT(M$1&amp;"!$B$14:$N$89"),9,0)</f>
        <v>2 - 1</v>
      </c>
      <c r="N10" s="165" t="str">
        <f ca="1">VLOOKUP($A10,INDIRECT(N$1&amp;"!$B$14:$N$89"),7,0)&amp;" - "&amp;VLOOKUP($A10,INDIRECT(N$1&amp;"!$B$14:$N$89"),9,0)</f>
        <v>0 - 1</v>
      </c>
      <c r="O10" s="165" t="str">
        <f t="shared" ca="1" si="0"/>
        <v>2 - 1</v>
      </c>
      <c r="P10" s="165" t="str">
        <f t="shared" ca="1" si="0"/>
        <v>3 - 2</v>
      </c>
      <c r="Q10" s="165" t="str">
        <f t="shared" ca="1" si="0"/>
        <v>3 - 1</v>
      </c>
      <c r="R10" s="165" t="str">
        <f t="shared" ca="1" si="0"/>
        <v>2 - 1</v>
      </c>
      <c r="S10" s="165" t="str">
        <f t="shared" ca="1" si="0"/>
        <v>1 - 1</v>
      </c>
      <c r="T10" s="165" t="str">
        <f t="shared" ca="1" si="1"/>
        <v>1 - 0</v>
      </c>
      <c r="U10" s="165" t="str">
        <f t="shared" ca="1" si="1"/>
        <v>2 - 1</v>
      </c>
      <c r="V10" s="165" t="str">
        <f t="shared" ca="1" si="1"/>
        <v>1 - 0</v>
      </c>
      <c r="W10" s="165" t="str">
        <f t="shared" ca="1" si="1"/>
        <v>2 - 1</v>
      </c>
      <c r="X10" s="165" t="str">
        <f t="shared" ca="1" si="1"/>
        <v>1 - 0</v>
      </c>
    </row>
    <row r="11" spans="1:24" hidden="1">
      <c r="A11" s="162">
        <v>10</v>
      </c>
      <c r="B11" s="166" t="str">
        <f>VLOOKUP($A11,Willem!$B$14:$N$89,4,0)&amp;"-"&amp;VLOOKUP($A11,Willem!$B$14:$N$89,6,0)</f>
        <v>Japan  -  Kameroen</v>
      </c>
      <c r="C11" s="166" t="str">
        <f ca="1">VLOOKUP($A11,INDIRECT(C$1&amp;"!$B$14:$N$89"),7,0)&amp;" - "&amp;VLOOKUP($A11,INDIRECT(C$1&amp;"!$B$14:$N$89"),9,0)</f>
        <v>0 - 1</v>
      </c>
      <c r="D11" s="166" t="str">
        <f t="shared" ca="1" si="0"/>
        <v>0 - 2</v>
      </c>
      <c r="E11" s="166" t="str">
        <f ca="1">VLOOKUP($A11,INDIRECT(E$1&amp;"!$B$14:$N$89"),7,0)&amp;" - "&amp;VLOOKUP($A11,INDIRECT(E$1&amp;"!$B$14:$N$89"),9,0)</f>
        <v>0 - 2</v>
      </c>
      <c r="F11" s="166" t="str">
        <f ca="1">VLOOKUP($A11,INDIRECT(F$1&amp;"!$B$14:$N$89"),7,0)&amp;" - "&amp;VLOOKUP($A11,INDIRECT(F$1&amp;"!$B$14:$N$89"),9,0)</f>
        <v>1 - 2</v>
      </c>
      <c r="G11" s="166" t="str">
        <f t="shared" ca="1" si="0"/>
        <v>2 - 2</v>
      </c>
      <c r="H11" s="166" t="str">
        <f ca="1">VLOOKUP($A11,INDIRECT(H$1&amp;"!$B$14:$N$89"),7,0)&amp;" - "&amp;VLOOKUP($A11,INDIRECT(H$1&amp;"!$B$14:$N$89"),9,0)</f>
        <v>1 - 1</v>
      </c>
      <c r="I11" s="166" t="str">
        <f ca="1">VLOOKUP($A11,INDIRECT(I$1&amp;"!$B$14:$N$89"),7,0)&amp;" - "&amp;VLOOKUP($A11,INDIRECT(I$1&amp;"!$B$14:$N$89"),9,0)</f>
        <v>0 - 2</v>
      </c>
      <c r="J11" s="166" t="str">
        <f ca="1">VLOOKUP($A11,INDIRECT(J$1&amp;"!$B$14:$N$89"),7,0)&amp;" - "&amp;VLOOKUP($A11,INDIRECT(J$1&amp;"!$B$14:$N$89"),9,0)</f>
        <v>0 - 3</v>
      </c>
      <c r="K11" s="166" t="str">
        <f ca="1">VLOOKUP($A11,INDIRECT(K$1&amp;"!$B$14:$N$89"),7,0)&amp;" - "&amp;VLOOKUP($A11,INDIRECT(K$1&amp;"!$B$14:$N$89"),9,0)</f>
        <v>2 - 1</v>
      </c>
      <c r="L11" s="166" t="str">
        <f ca="1">VLOOKUP($A11,INDIRECT(L$1&amp;"!$B$14:$N$89"),7,0)&amp;" - "&amp;VLOOKUP($A11,INDIRECT(L$1&amp;"!$B$14:$N$89"),9,0)</f>
        <v>0 - 2</v>
      </c>
      <c r="M11" s="166" t="str">
        <f ca="1">VLOOKUP($A11,INDIRECT(M$1&amp;"!$B$14:$N$89"),7,0)&amp;" - "&amp;VLOOKUP($A11,INDIRECT(M$1&amp;"!$B$14:$N$89"),9,0)</f>
        <v>1 - 1</v>
      </c>
      <c r="N11" s="166" t="str">
        <f ca="1">VLOOKUP($A11,INDIRECT(N$1&amp;"!$B$14:$N$89"),7,0)&amp;" - "&amp;VLOOKUP($A11,INDIRECT(N$1&amp;"!$B$14:$N$89"),9,0)</f>
        <v>0 - 1</v>
      </c>
      <c r="O11" s="166" t="str">
        <f t="shared" ca="1" si="0"/>
        <v>0 - 1</v>
      </c>
      <c r="P11" s="166" t="str">
        <f t="shared" ca="1" si="0"/>
        <v>1 - 4</v>
      </c>
      <c r="Q11" s="166" t="str">
        <f t="shared" ca="1" si="0"/>
        <v>0 - 1</v>
      </c>
      <c r="R11" s="166" t="str">
        <f t="shared" ca="1" si="0"/>
        <v>0 - 2</v>
      </c>
      <c r="S11" s="166" t="str">
        <f t="shared" ca="1" si="0"/>
        <v>1 - 0</v>
      </c>
      <c r="T11" s="166" t="str">
        <f t="shared" ca="1" si="1"/>
        <v>0 - 1</v>
      </c>
      <c r="U11" s="166" t="str">
        <f t="shared" ca="1" si="1"/>
        <v>1 - 3</v>
      </c>
      <c r="V11" s="166" t="str">
        <f t="shared" ca="1" si="1"/>
        <v>0 - 1</v>
      </c>
      <c r="W11" s="166" t="str">
        <f t="shared" ca="1" si="1"/>
        <v>0 - 2</v>
      </c>
      <c r="X11" s="166" t="str">
        <f t="shared" ca="1" si="1"/>
        <v>1 - 3</v>
      </c>
    </row>
    <row r="12" spans="1:24" hidden="1">
      <c r="A12" s="162">
        <v>11</v>
      </c>
      <c r="B12" s="165" t="str">
        <f>VLOOKUP($A12,Willem!$B$14:$N$89,4,0)&amp;"-"&amp;VLOOKUP($A12,Willem!$B$14:$N$89,6,0)</f>
        <v>Italië  -  Paraguay</v>
      </c>
      <c r="C12" s="165" t="str">
        <f ca="1">VLOOKUP($A12,INDIRECT(C$1&amp;"!$B$14:$N$89"),7,0)&amp;" - "&amp;VLOOKUP($A12,INDIRECT(C$1&amp;"!$B$14:$N$89"),9,0)</f>
        <v>1 - 0</v>
      </c>
      <c r="D12" s="165" t="str">
        <f t="shared" ref="D12:S21" ca="1" si="2">VLOOKUP($A12,INDIRECT(D$1&amp;"!$B$14:$N$89"),7,0)&amp;" - "&amp;VLOOKUP($A12,INDIRECT(D$1&amp;"!$B$14:$N$89"),9,0)</f>
        <v>1 - 0</v>
      </c>
      <c r="E12" s="165" t="str">
        <f ca="1">VLOOKUP($A12,INDIRECT(E$1&amp;"!$B$14:$N$89"),7,0)&amp;" - "&amp;VLOOKUP($A12,INDIRECT(E$1&amp;"!$B$14:$N$89"),9,0)</f>
        <v>2 - 1</v>
      </c>
      <c r="F12" s="165" t="str">
        <f ca="1">VLOOKUP($A12,INDIRECT(F$1&amp;"!$B$14:$N$89"),7,0)&amp;" - "&amp;VLOOKUP($A12,INDIRECT(F$1&amp;"!$B$14:$N$89"),9,0)</f>
        <v>1 - 0</v>
      </c>
      <c r="G12" s="165" t="str">
        <f t="shared" ca="1" si="2"/>
        <v>2 - 0</v>
      </c>
      <c r="H12" s="165" t="str">
        <f ca="1">VLOOKUP($A12,INDIRECT(H$1&amp;"!$B$14:$N$89"),7,0)&amp;" - "&amp;VLOOKUP($A12,INDIRECT(H$1&amp;"!$B$14:$N$89"),9,0)</f>
        <v>1 - 0</v>
      </c>
      <c r="I12" s="165" t="str">
        <f ca="1">VLOOKUP($A12,INDIRECT(I$1&amp;"!$B$14:$N$89"),7,0)&amp;" - "&amp;VLOOKUP($A12,INDIRECT(I$1&amp;"!$B$14:$N$89"),9,0)</f>
        <v>2 - 1</v>
      </c>
      <c r="J12" s="165" t="str">
        <f ca="1">VLOOKUP($A12,INDIRECT(J$1&amp;"!$B$14:$N$89"),7,0)&amp;" - "&amp;VLOOKUP($A12,INDIRECT(J$1&amp;"!$B$14:$N$89"),9,0)</f>
        <v>0 - 0</v>
      </c>
      <c r="K12" s="165" t="str">
        <f ca="1">VLOOKUP($A12,INDIRECT(K$1&amp;"!$B$14:$N$89"),7,0)&amp;" - "&amp;VLOOKUP($A12,INDIRECT(K$1&amp;"!$B$14:$N$89"),9,0)</f>
        <v>1 - 0</v>
      </c>
      <c r="L12" s="165" t="str">
        <f ca="1">VLOOKUP($A12,INDIRECT(L$1&amp;"!$B$14:$N$89"),7,0)&amp;" - "&amp;VLOOKUP($A12,INDIRECT(L$1&amp;"!$B$14:$N$89"),9,0)</f>
        <v>0 - 1</v>
      </c>
      <c r="M12" s="165" t="str">
        <f ca="1">VLOOKUP($A12,INDIRECT(M$1&amp;"!$B$14:$N$89"),7,0)&amp;" - "&amp;VLOOKUP($A12,INDIRECT(M$1&amp;"!$B$14:$N$89"),9,0)</f>
        <v>1 - 0</v>
      </c>
      <c r="N12" s="165" t="str">
        <f ca="1">VLOOKUP($A12,INDIRECT(N$1&amp;"!$B$14:$N$89"),7,0)&amp;" - "&amp;VLOOKUP($A12,INDIRECT(N$1&amp;"!$B$14:$N$89"),9,0)</f>
        <v>2 - 1</v>
      </c>
      <c r="O12" s="165" t="str">
        <f t="shared" ca="1" si="2"/>
        <v>2 - 1</v>
      </c>
      <c r="P12" s="165" t="str">
        <f t="shared" ca="1" si="2"/>
        <v>2 - 1</v>
      </c>
      <c r="Q12" s="165" t="str">
        <f t="shared" ca="1" si="2"/>
        <v>1 - 0</v>
      </c>
      <c r="R12" s="165" t="str">
        <f t="shared" ca="1" si="2"/>
        <v>2 - 0</v>
      </c>
      <c r="S12" s="165" t="str">
        <f t="shared" ca="1" si="2"/>
        <v>1 - 0</v>
      </c>
      <c r="T12" s="165" t="str">
        <f t="shared" ref="T12:X21" ca="1" si="3">VLOOKUP($A12,INDIRECT(T$1&amp;"!$B$14:$N$89"),7,0)&amp;" - "&amp;VLOOKUP($A12,INDIRECT(T$1&amp;"!$B$14:$N$89"),9,0)</f>
        <v>1 - 1</v>
      </c>
      <c r="U12" s="165" t="str">
        <f t="shared" ca="1" si="3"/>
        <v>2 - 0</v>
      </c>
      <c r="V12" s="165" t="str">
        <f t="shared" ca="1" si="3"/>
        <v>1 - 1</v>
      </c>
      <c r="W12" s="165" t="str">
        <f t="shared" ca="1" si="3"/>
        <v>1 - 0</v>
      </c>
      <c r="X12" s="165" t="str">
        <f t="shared" ca="1" si="3"/>
        <v>1 - 2</v>
      </c>
    </row>
    <row r="13" spans="1:24" hidden="1">
      <c r="A13" s="162">
        <v>12</v>
      </c>
      <c r="B13" s="166" t="str">
        <f>VLOOKUP($A13,Willem!$B$14:$N$89,4,0)&amp;"-"&amp;VLOOKUP($A13,Willem!$B$14:$N$89,6,0)</f>
        <v>Nieuw-Zeeland  -  Slowakije</v>
      </c>
      <c r="C13" s="166" t="str">
        <f ca="1">VLOOKUP($A13,INDIRECT(C$1&amp;"!$B$14:$N$89"),7,0)&amp;" - "&amp;VLOOKUP($A13,INDIRECT(C$1&amp;"!$B$14:$N$89"),9,0)</f>
        <v>0 - 2</v>
      </c>
      <c r="D13" s="166" t="str">
        <f t="shared" ca="1" si="2"/>
        <v>0 - 0</v>
      </c>
      <c r="E13" s="166" t="str">
        <f ca="1">VLOOKUP($A13,INDIRECT(E$1&amp;"!$B$14:$N$89"),7,0)&amp;" - "&amp;VLOOKUP($A13,INDIRECT(E$1&amp;"!$B$14:$N$89"),9,0)</f>
        <v>0 - 3</v>
      </c>
      <c r="F13" s="166" t="str">
        <f ca="1">VLOOKUP($A13,INDIRECT(F$1&amp;"!$B$14:$N$89"),7,0)&amp;" - "&amp;VLOOKUP($A13,INDIRECT(F$1&amp;"!$B$14:$N$89"),9,0)</f>
        <v>1 - 2</v>
      </c>
      <c r="G13" s="166" t="str">
        <f t="shared" ca="1" si="2"/>
        <v>1 - 1</v>
      </c>
      <c r="H13" s="166" t="str">
        <f ca="1">VLOOKUP($A13,INDIRECT(H$1&amp;"!$B$14:$N$89"),7,0)&amp;" - "&amp;VLOOKUP($A13,INDIRECT(H$1&amp;"!$B$14:$N$89"),9,0)</f>
        <v>0 - 2</v>
      </c>
      <c r="I13" s="166" t="str">
        <f ca="1">VLOOKUP($A13,INDIRECT(I$1&amp;"!$B$14:$N$89"),7,0)&amp;" - "&amp;VLOOKUP($A13,INDIRECT(I$1&amp;"!$B$14:$N$89"),9,0)</f>
        <v>1 - 1</v>
      </c>
      <c r="J13" s="166" t="str">
        <f ca="1">VLOOKUP($A13,INDIRECT(J$1&amp;"!$B$14:$N$89"),7,0)&amp;" - "&amp;VLOOKUP($A13,INDIRECT(J$1&amp;"!$B$14:$N$89"),9,0)</f>
        <v>0 - 2</v>
      </c>
      <c r="K13" s="166" t="str">
        <f ca="1">VLOOKUP($A13,INDIRECT(K$1&amp;"!$B$14:$N$89"),7,0)&amp;" - "&amp;VLOOKUP($A13,INDIRECT(K$1&amp;"!$B$14:$N$89"),9,0)</f>
        <v>0 - 4</v>
      </c>
      <c r="L13" s="166" t="str">
        <f ca="1">VLOOKUP($A13,INDIRECT(L$1&amp;"!$B$14:$N$89"),7,0)&amp;" - "&amp;VLOOKUP($A13,INDIRECT(L$1&amp;"!$B$14:$N$89"),9,0)</f>
        <v>1 - 3</v>
      </c>
      <c r="M13" s="166" t="str">
        <f ca="1">VLOOKUP($A13,INDIRECT(M$1&amp;"!$B$14:$N$89"),7,0)&amp;" - "&amp;VLOOKUP($A13,INDIRECT(M$1&amp;"!$B$14:$N$89"),9,0)</f>
        <v>0 - 2</v>
      </c>
      <c r="N13" s="166" t="str">
        <f ca="1">VLOOKUP($A13,INDIRECT(N$1&amp;"!$B$14:$N$89"),7,0)&amp;" - "&amp;VLOOKUP($A13,INDIRECT(N$1&amp;"!$B$14:$N$89"),9,0)</f>
        <v>1 - 1</v>
      </c>
      <c r="O13" s="166" t="str">
        <f t="shared" ca="1" si="2"/>
        <v>1 - 2</v>
      </c>
      <c r="P13" s="166" t="str">
        <f t="shared" ca="1" si="2"/>
        <v>1 - 1</v>
      </c>
      <c r="Q13" s="166" t="str">
        <f t="shared" ca="1" si="2"/>
        <v>0 - 3</v>
      </c>
      <c r="R13" s="166" t="str">
        <f t="shared" ca="1" si="2"/>
        <v>0 - 2</v>
      </c>
      <c r="S13" s="166" t="str">
        <f t="shared" ca="1" si="2"/>
        <v>1 - 1</v>
      </c>
      <c r="T13" s="166" t="str">
        <f t="shared" ca="1" si="3"/>
        <v>1 - 1</v>
      </c>
      <c r="U13" s="166" t="str">
        <f t="shared" ca="1" si="3"/>
        <v>0 - 0</v>
      </c>
      <c r="V13" s="166" t="str">
        <f t="shared" ca="1" si="3"/>
        <v>0 - 1</v>
      </c>
      <c r="W13" s="166" t="str">
        <f t="shared" ca="1" si="3"/>
        <v>0 - 1</v>
      </c>
      <c r="X13" s="166" t="str">
        <f t="shared" ca="1" si="3"/>
        <v>0 - 2</v>
      </c>
    </row>
    <row r="14" spans="1:24" hidden="1">
      <c r="A14" s="162">
        <v>13</v>
      </c>
      <c r="B14" s="165" t="str">
        <f>VLOOKUP($A14,Willem!$B$14:$N$89,4,0)&amp;"-"&amp;VLOOKUP($A14,Willem!$B$14:$N$89,6,0)</f>
        <v>Ivoorkust  -  Portugal</v>
      </c>
      <c r="C14" s="165" t="str">
        <f ca="1">VLOOKUP($A14,INDIRECT(C$1&amp;"!$B$14:$N$89"),7,0)&amp;" - "&amp;VLOOKUP($A14,INDIRECT(C$1&amp;"!$B$14:$N$89"),9,0)</f>
        <v>1 - 1</v>
      </c>
      <c r="D14" s="165" t="str">
        <f t="shared" ca="1" si="2"/>
        <v>1 - 1</v>
      </c>
      <c r="E14" s="165" t="str">
        <f ca="1">VLOOKUP($A14,INDIRECT(E$1&amp;"!$B$14:$N$89"),7,0)&amp;" - "&amp;VLOOKUP($A14,INDIRECT(E$1&amp;"!$B$14:$N$89"),9,0)</f>
        <v>0 - 2</v>
      </c>
      <c r="F14" s="165" t="str">
        <f ca="1">VLOOKUP($A14,INDIRECT(F$1&amp;"!$B$14:$N$89"),7,0)&amp;" - "&amp;VLOOKUP($A14,INDIRECT(F$1&amp;"!$B$14:$N$89"),9,0)</f>
        <v>1 - 3</v>
      </c>
      <c r="G14" s="165" t="str">
        <f t="shared" ca="1" si="2"/>
        <v>1 - 1</v>
      </c>
      <c r="H14" s="165" t="str">
        <f ca="1">VLOOKUP($A14,INDIRECT(H$1&amp;"!$B$14:$N$89"),7,0)&amp;" - "&amp;VLOOKUP($A14,INDIRECT(H$1&amp;"!$B$14:$N$89"),9,0)</f>
        <v>3 - 1</v>
      </c>
      <c r="I14" s="165" t="str">
        <f ca="1">VLOOKUP($A14,INDIRECT(I$1&amp;"!$B$14:$N$89"),7,0)&amp;" - "&amp;VLOOKUP($A14,INDIRECT(I$1&amp;"!$B$14:$N$89"),9,0)</f>
        <v>1 - 3</v>
      </c>
      <c r="J14" s="165" t="str">
        <f ca="1">VLOOKUP($A14,INDIRECT(J$1&amp;"!$B$14:$N$89"),7,0)&amp;" - "&amp;VLOOKUP($A14,INDIRECT(J$1&amp;"!$B$14:$N$89"),9,0)</f>
        <v>2 - 1</v>
      </c>
      <c r="K14" s="165" t="str">
        <f ca="1">VLOOKUP($A14,INDIRECT(K$1&amp;"!$B$14:$N$89"),7,0)&amp;" - "&amp;VLOOKUP($A14,INDIRECT(K$1&amp;"!$B$14:$N$89"),9,0)</f>
        <v>2 - 1</v>
      </c>
      <c r="L14" s="165" t="str">
        <f ca="1">VLOOKUP($A14,INDIRECT(L$1&amp;"!$B$14:$N$89"),7,0)&amp;" - "&amp;VLOOKUP($A14,INDIRECT(L$1&amp;"!$B$14:$N$89"),9,0)</f>
        <v>0 - 2</v>
      </c>
      <c r="M14" s="165" t="str">
        <f ca="1">VLOOKUP($A14,INDIRECT(M$1&amp;"!$B$14:$N$89"),7,0)&amp;" - "&amp;VLOOKUP($A14,INDIRECT(M$1&amp;"!$B$14:$N$89"),9,0)</f>
        <v>2 - 1</v>
      </c>
      <c r="N14" s="165" t="str">
        <f ca="1">VLOOKUP($A14,INDIRECT(N$1&amp;"!$B$14:$N$89"),7,0)&amp;" - "&amp;VLOOKUP($A14,INDIRECT(N$1&amp;"!$B$14:$N$89"),9,0)</f>
        <v>1 - 2</v>
      </c>
      <c r="O14" s="165" t="str">
        <f t="shared" ca="1" si="2"/>
        <v>0 - 1</v>
      </c>
      <c r="P14" s="165" t="str">
        <f t="shared" ca="1" si="2"/>
        <v>3 - 1</v>
      </c>
      <c r="Q14" s="165" t="str">
        <f t="shared" ca="1" si="2"/>
        <v>1 - 2</v>
      </c>
      <c r="R14" s="165" t="str">
        <f t="shared" ca="1" si="2"/>
        <v>1 - 3</v>
      </c>
      <c r="S14" s="165" t="str">
        <f t="shared" ca="1" si="2"/>
        <v>0 - 2</v>
      </c>
      <c r="T14" s="165" t="str">
        <f t="shared" ca="1" si="3"/>
        <v>0 - 2</v>
      </c>
      <c r="U14" s="165" t="str">
        <f t="shared" ca="1" si="3"/>
        <v>1 - 2</v>
      </c>
      <c r="V14" s="165" t="str">
        <f t="shared" ca="1" si="3"/>
        <v>1 - 1</v>
      </c>
      <c r="W14" s="165" t="str">
        <f t="shared" ca="1" si="3"/>
        <v>2 - 1</v>
      </c>
      <c r="X14" s="165" t="str">
        <f t="shared" ca="1" si="3"/>
        <v>1 - 0</v>
      </c>
    </row>
    <row r="15" spans="1:24" hidden="1">
      <c r="A15" s="162">
        <v>14</v>
      </c>
      <c r="B15" s="166" t="str">
        <f>VLOOKUP($A15,Willem!$B$14:$N$89,4,0)&amp;"-"&amp;VLOOKUP($A15,Willem!$B$14:$N$89,6,0)</f>
        <v>Brazilië  -  Noord-Korea</v>
      </c>
      <c r="C15" s="166" t="str">
        <f ca="1">VLOOKUP($A15,INDIRECT(C$1&amp;"!$B$14:$N$89"),7,0)&amp;" - "&amp;VLOOKUP($A15,INDIRECT(C$1&amp;"!$B$14:$N$89"),9,0)</f>
        <v>2 - 0</v>
      </c>
      <c r="D15" s="166" t="str">
        <f t="shared" ca="1" si="2"/>
        <v>2 - 0</v>
      </c>
      <c r="E15" s="166" t="str">
        <f ca="1">VLOOKUP($A15,INDIRECT(E$1&amp;"!$B$14:$N$89"),7,0)&amp;" - "&amp;VLOOKUP($A15,INDIRECT(E$1&amp;"!$B$14:$N$89"),9,0)</f>
        <v>3 - 0</v>
      </c>
      <c r="F15" s="166" t="str">
        <f ca="1">VLOOKUP($A15,INDIRECT(F$1&amp;"!$B$14:$N$89"),7,0)&amp;" - "&amp;VLOOKUP($A15,INDIRECT(F$1&amp;"!$B$14:$N$89"),9,0)</f>
        <v>5 - 0</v>
      </c>
      <c r="G15" s="166" t="str">
        <f t="shared" ca="1" si="2"/>
        <v>3 - 0</v>
      </c>
      <c r="H15" s="166" t="str">
        <f ca="1">VLOOKUP($A15,INDIRECT(H$1&amp;"!$B$14:$N$89"),7,0)&amp;" - "&amp;VLOOKUP($A15,INDIRECT(H$1&amp;"!$B$14:$N$89"),9,0)</f>
        <v>5 - 0</v>
      </c>
      <c r="I15" s="166" t="str">
        <f ca="1">VLOOKUP($A15,INDIRECT(I$1&amp;"!$B$14:$N$89"),7,0)&amp;" - "&amp;VLOOKUP($A15,INDIRECT(I$1&amp;"!$B$14:$N$89"),9,0)</f>
        <v>4 - 0</v>
      </c>
      <c r="J15" s="166" t="str">
        <f ca="1">VLOOKUP($A15,INDIRECT(J$1&amp;"!$B$14:$N$89"),7,0)&amp;" - "&amp;VLOOKUP($A15,INDIRECT(J$1&amp;"!$B$14:$N$89"),9,0)</f>
        <v>2 - 1</v>
      </c>
      <c r="K15" s="166" t="str">
        <f ca="1">VLOOKUP($A15,INDIRECT(K$1&amp;"!$B$14:$N$89"),7,0)&amp;" - "&amp;VLOOKUP($A15,INDIRECT(K$1&amp;"!$B$14:$N$89"),9,0)</f>
        <v>4 - 1</v>
      </c>
      <c r="L15" s="166" t="str">
        <f ca="1">VLOOKUP($A15,INDIRECT(L$1&amp;"!$B$14:$N$89"),7,0)&amp;" - "&amp;VLOOKUP($A15,INDIRECT(L$1&amp;"!$B$14:$N$89"),9,0)</f>
        <v>2 - 0</v>
      </c>
      <c r="M15" s="166" t="str">
        <f ca="1">VLOOKUP($A15,INDIRECT(M$1&amp;"!$B$14:$N$89"),7,0)&amp;" - "&amp;VLOOKUP($A15,INDIRECT(M$1&amp;"!$B$14:$N$89"),9,0)</f>
        <v>4 - 0</v>
      </c>
      <c r="N15" s="166" t="str">
        <f ca="1">VLOOKUP($A15,INDIRECT(N$1&amp;"!$B$14:$N$89"),7,0)&amp;" - "&amp;VLOOKUP($A15,INDIRECT(N$1&amp;"!$B$14:$N$89"),9,0)</f>
        <v>3 - 0</v>
      </c>
      <c r="O15" s="166" t="str">
        <f t="shared" ca="1" si="2"/>
        <v>2 - 0</v>
      </c>
      <c r="P15" s="166" t="str">
        <f t="shared" ca="1" si="2"/>
        <v>4 - 0</v>
      </c>
      <c r="Q15" s="166" t="str">
        <f t="shared" ca="1" si="2"/>
        <v>4 - 0</v>
      </c>
      <c r="R15" s="166" t="str">
        <f t="shared" ca="1" si="2"/>
        <v>5 - 0</v>
      </c>
      <c r="S15" s="166" t="str">
        <f t="shared" ca="1" si="2"/>
        <v>2 - 1</v>
      </c>
      <c r="T15" s="166" t="str">
        <f t="shared" ca="1" si="3"/>
        <v>4 - 0</v>
      </c>
      <c r="U15" s="166" t="str">
        <f t="shared" ca="1" si="3"/>
        <v>3 - 0</v>
      </c>
      <c r="V15" s="166" t="str">
        <f t="shared" ca="1" si="3"/>
        <v>2 - 0</v>
      </c>
      <c r="W15" s="166" t="str">
        <f t="shared" ca="1" si="3"/>
        <v>1 - 0</v>
      </c>
      <c r="X15" s="166" t="str">
        <f t="shared" ca="1" si="3"/>
        <v>5 - 0</v>
      </c>
    </row>
    <row r="16" spans="1:24" hidden="1">
      <c r="A16" s="162">
        <v>15</v>
      </c>
      <c r="B16" s="165" t="str">
        <f>VLOOKUP($A16,Willem!$B$14:$N$89,4,0)&amp;"-"&amp;VLOOKUP($A16,Willem!$B$14:$N$89,6,0)</f>
        <v>Honduras  -  Chili</v>
      </c>
      <c r="C16" s="165" t="str">
        <f ca="1">VLOOKUP($A16,INDIRECT(C$1&amp;"!$B$14:$N$89"),7,0)&amp;" - "&amp;VLOOKUP($A16,INDIRECT(C$1&amp;"!$B$14:$N$89"),9,0)</f>
        <v>0 - 2</v>
      </c>
      <c r="D16" s="165" t="str">
        <f t="shared" ca="1" si="2"/>
        <v>0 - 0</v>
      </c>
      <c r="E16" s="165" t="str">
        <f ca="1">VLOOKUP($A16,INDIRECT(E$1&amp;"!$B$14:$N$89"),7,0)&amp;" - "&amp;VLOOKUP($A16,INDIRECT(E$1&amp;"!$B$14:$N$89"),9,0)</f>
        <v>1 - 0</v>
      </c>
      <c r="F16" s="165" t="str">
        <f ca="1">VLOOKUP($A16,INDIRECT(F$1&amp;"!$B$14:$N$89"),7,0)&amp;" - "&amp;VLOOKUP($A16,INDIRECT(F$1&amp;"!$B$14:$N$89"),9,0)</f>
        <v>0 - 1</v>
      </c>
      <c r="G16" s="165" t="str">
        <f t="shared" ca="1" si="2"/>
        <v>1 - 1</v>
      </c>
      <c r="H16" s="165" t="str">
        <f ca="1">VLOOKUP($A16,INDIRECT(H$1&amp;"!$B$14:$N$89"),7,0)&amp;" - "&amp;VLOOKUP($A16,INDIRECT(H$1&amp;"!$B$14:$N$89"),9,0)</f>
        <v>1 - 0</v>
      </c>
      <c r="I16" s="165" t="str">
        <f ca="1">VLOOKUP($A16,INDIRECT(I$1&amp;"!$B$14:$N$89"),7,0)&amp;" - "&amp;VLOOKUP($A16,INDIRECT(I$1&amp;"!$B$14:$N$89"),9,0)</f>
        <v>1 - 2</v>
      </c>
      <c r="J16" s="165" t="str">
        <f ca="1">VLOOKUP($A16,INDIRECT(J$1&amp;"!$B$14:$N$89"),7,0)&amp;" - "&amp;VLOOKUP($A16,INDIRECT(J$1&amp;"!$B$14:$N$89"),9,0)</f>
        <v>1 - 2</v>
      </c>
      <c r="K16" s="165" t="str">
        <f ca="1">VLOOKUP($A16,INDIRECT(K$1&amp;"!$B$14:$N$89"),7,0)&amp;" - "&amp;VLOOKUP($A16,INDIRECT(K$1&amp;"!$B$14:$N$89"),9,0)</f>
        <v>0 - 3</v>
      </c>
      <c r="L16" s="165" t="str">
        <f ca="1">VLOOKUP($A16,INDIRECT(L$1&amp;"!$B$14:$N$89"),7,0)&amp;" - "&amp;VLOOKUP($A16,INDIRECT(L$1&amp;"!$B$14:$N$89"),9,0)</f>
        <v>1 - 2</v>
      </c>
      <c r="M16" s="165" t="str">
        <f ca="1">VLOOKUP($A16,INDIRECT(M$1&amp;"!$B$14:$N$89"),7,0)&amp;" - "&amp;VLOOKUP($A16,INDIRECT(M$1&amp;"!$B$14:$N$89"),9,0)</f>
        <v>1 - 2</v>
      </c>
      <c r="N16" s="165" t="str">
        <f ca="1">VLOOKUP($A16,INDIRECT(N$1&amp;"!$B$14:$N$89"),7,0)&amp;" - "&amp;VLOOKUP($A16,INDIRECT(N$1&amp;"!$B$14:$N$89"),9,0)</f>
        <v>0 - 1</v>
      </c>
      <c r="O16" s="165" t="str">
        <f t="shared" ca="1" si="2"/>
        <v>0 - 1</v>
      </c>
      <c r="P16" s="165" t="str">
        <f t="shared" ca="1" si="2"/>
        <v>0 - 1</v>
      </c>
      <c r="Q16" s="165" t="str">
        <f t="shared" ca="1" si="2"/>
        <v>0 - 1</v>
      </c>
      <c r="R16" s="165" t="str">
        <f t="shared" ca="1" si="2"/>
        <v>1 - 2</v>
      </c>
      <c r="S16" s="165" t="str">
        <f t="shared" ca="1" si="2"/>
        <v>1 - 0</v>
      </c>
      <c r="T16" s="165" t="str">
        <f t="shared" ca="1" si="3"/>
        <v>0 - 2</v>
      </c>
      <c r="U16" s="165" t="str">
        <f t="shared" ca="1" si="3"/>
        <v>1 - 2</v>
      </c>
      <c r="V16" s="165" t="str">
        <f t="shared" ca="1" si="3"/>
        <v>0 - 2</v>
      </c>
      <c r="W16" s="165" t="str">
        <f t="shared" ca="1" si="3"/>
        <v>0 - 0</v>
      </c>
      <c r="X16" s="165" t="str">
        <f t="shared" ca="1" si="3"/>
        <v>0 - 2</v>
      </c>
    </row>
    <row r="17" spans="1:24" hidden="1">
      <c r="A17" s="162">
        <v>16</v>
      </c>
      <c r="B17" s="166" t="str">
        <f>VLOOKUP($A17,Willem!$B$14:$N$89,4,0)&amp;"-"&amp;VLOOKUP($A17,Willem!$B$14:$N$89,6,0)</f>
        <v>Spanje  -  Zwitserland</v>
      </c>
      <c r="C17" s="166" t="str">
        <f ca="1">VLOOKUP($A17,INDIRECT(C$1&amp;"!$B$14:$N$89"),7,0)&amp;" - "&amp;VLOOKUP($A17,INDIRECT(C$1&amp;"!$B$14:$N$89"),9,0)</f>
        <v>3 - 1</v>
      </c>
      <c r="D17" s="166" t="str">
        <f t="shared" ca="1" si="2"/>
        <v>2 - 0</v>
      </c>
      <c r="E17" s="166" t="str">
        <f ca="1">VLOOKUP($A17,INDIRECT(E$1&amp;"!$B$14:$N$89"),7,0)&amp;" - "&amp;VLOOKUP($A17,INDIRECT(E$1&amp;"!$B$14:$N$89"),9,0)</f>
        <v>2 - 0</v>
      </c>
      <c r="F17" s="166" t="str">
        <f ca="1">VLOOKUP($A17,INDIRECT(F$1&amp;"!$B$14:$N$89"),7,0)&amp;" - "&amp;VLOOKUP($A17,INDIRECT(F$1&amp;"!$B$14:$N$89"),9,0)</f>
        <v>2 - 1</v>
      </c>
      <c r="G17" s="166" t="str">
        <f t="shared" ca="1" si="2"/>
        <v>3 - 1</v>
      </c>
      <c r="H17" s="166" t="str">
        <f ca="1">VLOOKUP($A17,INDIRECT(H$1&amp;"!$B$14:$N$89"),7,0)&amp;" - "&amp;VLOOKUP($A17,INDIRECT(H$1&amp;"!$B$14:$N$89"),9,0)</f>
        <v>3 - 1</v>
      </c>
      <c r="I17" s="166" t="str">
        <f ca="1">VLOOKUP($A17,INDIRECT(I$1&amp;"!$B$14:$N$89"),7,0)&amp;" - "&amp;VLOOKUP($A17,INDIRECT(I$1&amp;"!$B$14:$N$89"),9,0)</f>
        <v>3 - 1</v>
      </c>
      <c r="J17" s="166" t="str">
        <f ca="1">VLOOKUP($A17,INDIRECT(J$1&amp;"!$B$14:$N$89"),7,0)&amp;" - "&amp;VLOOKUP($A17,INDIRECT(J$1&amp;"!$B$14:$N$89"),9,0)</f>
        <v>3 - 1</v>
      </c>
      <c r="K17" s="166" t="str">
        <f ca="1">VLOOKUP($A17,INDIRECT(K$1&amp;"!$B$14:$N$89"),7,0)&amp;" - "&amp;VLOOKUP($A17,INDIRECT(K$1&amp;"!$B$14:$N$89"),9,0)</f>
        <v>2 - 1</v>
      </c>
      <c r="L17" s="166" t="str">
        <f ca="1">VLOOKUP($A17,INDIRECT(L$1&amp;"!$B$14:$N$89"),7,0)&amp;" - "&amp;VLOOKUP($A17,INDIRECT(L$1&amp;"!$B$14:$N$89"),9,0)</f>
        <v>2 - 1</v>
      </c>
      <c r="M17" s="166" t="str">
        <f ca="1">VLOOKUP($A17,INDIRECT(M$1&amp;"!$B$14:$N$89"),7,0)&amp;" - "&amp;VLOOKUP($A17,INDIRECT(M$1&amp;"!$B$14:$N$89"),9,0)</f>
        <v>3 - 0</v>
      </c>
      <c r="N17" s="166" t="str">
        <f ca="1">VLOOKUP($A17,INDIRECT(N$1&amp;"!$B$14:$N$89"),7,0)&amp;" - "&amp;VLOOKUP($A17,INDIRECT(N$1&amp;"!$B$14:$N$89"),9,0)</f>
        <v>1 - 0</v>
      </c>
      <c r="O17" s="166" t="str">
        <f t="shared" ca="1" si="2"/>
        <v>2 - 1</v>
      </c>
      <c r="P17" s="166" t="str">
        <f t="shared" ca="1" si="2"/>
        <v>3 - 0</v>
      </c>
      <c r="Q17" s="166" t="str">
        <f t="shared" ca="1" si="2"/>
        <v>3 - 1</v>
      </c>
      <c r="R17" s="166" t="str">
        <f t="shared" ca="1" si="2"/>
        <v>2 - 0</v>
      </c>
      <c r="S17" s="166" t="str">
        <f t="shared" ca="1" si="2"/>
        <v>2 - 0</v>
      </c>
      <c r="T17" s="166" t="str">
        <f t="shared" ca="1" si="3"/>
        <v>1 - 0</v>
      </c>
      <c r="U17" s="166" t="str">
        <f t="shared" ca="1" si="3"/>
        <v>2 - 1</v>
      </c>
      <c r="V17" s="166" t="str">
        <f t="shared" ca="1" si="3"/>
        <v>1 - 0</v>
      </c>
      <c r="W17" s="166" t="str">
        <f t="shared" ca="1" si="3"/>
        <v>2 - 0</v>
      </c>
      <c r="X17" s="166" t="str">
        <f t="shared" ca="1" si="3"/>
        <v>2 - 0</v>
      </c>
    </row>
    <row r="18" spans="1:24" hidden="1">
      <c r="A18" s="162">
        <v>17</v>
      </c>
      <c r="B18" s="165" t="str">
        <f>VLOOKUP($A18,Willem!$B$14:$N$89,4,0)&amp;"-"&amp;VLOOKUP($A18,Willem!$B$14:$N$89,6,0)</f>
        <v>Zuid-Afrika  -  Uruguay</v>
      </c>
      <c r="C18" s="165" t="str">
        <f ca="1">VLOOKUP($A18,INDIRECT(C$1&amp;"!$B$14:$N$89"),7,0)&amp;" - "&amp;VLOOKUP($A18,INDIRECT(C$1&amp;"!$B$14:$N$89"),9,0)</f>
        <v>1 - 1</v>
      </c>
      <c r="D18" s="165" t="str">
        <f t="shared" ca="1" si="2"/>
        <v>2 - 1</v>
      </c>
      <c r="E18" s="165" t="str">
        <f ca="1">VLOOKUP($A18,INDIRECT(E$1&amp;"!$B$14:$N$89"),7,0)&amp;" - "&amp;VLOOKUP($A18,INDIRECT(E$1&amp;"!$B$14:$N$89"),9,0)</f>
        <v>2 - 1</v>
      </c>
      <c r="F18" s="165" t="str">
        <f ca="1">VLOOKUP($A18,INDIRECT(F$1&amp;"!$B$14:$N$89"),7,0)&amp;" - "&amp;VLOOKUP($A18,INDIRECT(F$1&amp;"!$B$14:$N$89"),9,0)</f>
        <v>1 - 1</v>
      </c>
      <c r="G18" s="165" t="str">
        <f t="shared" ca="1" si="2"/>
        <v>2 - 0</v>
      </c>
      <c r="H18" s="165" t="str">
        <f ca="1">VLOOKUP($A18,INDIRECT(H$1&amp;"!$B$14:$N$89"),7,0)&amp;" - "&amp;VLOOKUP($A18,INDIRECT(H$1&amp;"!$B$14:$N$89"),9,0)</f>
        <v>0 - 3</v>
      </c>
      <c r="I18" s="165" t="str">
        <f ca="1">VLOOKUP($A18,INDIRECT(I$1&amp;"!$B$14:$N$89"),7,0)&amp;" - "&amp;VLOOKUP($A18,INDIRECT(I$1&amp;"!$B$14:$N$89"),9,0)</f>
        <v>1 - 0</v>
      </c>
      <c r="J18" s="165" t="str">
        <f ca="1">VLOOKUP($A18,INDIRECT(J$1&amp;"!$B$14:$N$89"),7,0)&amp;" - "&amp;VLOOKUP($A18,INDIRECT(J$1&amp;"!$B$14:$N$89"),9,0)</f>
        <v>0 - 2</v>
      </c>
      <c r="K18" s="165" t="str">
        <f ca="1">VLOOKUP($A18,INDIRECT(K$1&amp;"!$B$14:$N$89"),7,0)&amp;" - "&amp;VLOOKUP($A18,INDIRECT(K$1&amp;"!$B$14:$N$89"),9,0)</f>
        <v>0 - 2</v>
      </c>
      <c r="L18" s="165" t="str">
        <f ca="1">VLOOKUP($A18,INDIRECT(L$1&amp;"!$B$14:$N$89"),7,0)&amp;" - "&amp;VLOOKUP($A18,INDIRECT(L$1&amp;"!$B$14:$N$89"),9,0)</f>
        <v>3 - 2</v>
      </c>
      <c r="M18" s="165" t="str">
        <f ca="1">VLOOKUP($A18,INDIRECT(M$1&amp;"!$B$14:$N$89"),7,0)&amp;" - "&amp;VLOOKUP($A18,INDIRECT(M$1&amp;"!$B$14:$N$89"),9,0)</f>
        <v>0 - 1</v>
      </c>
      <c r="N18" s="165" t="str">
        <f ca="1">VLOOKUP($A18,INDIRECT(N$1&amp;"!$B$14:$N$89"),7,0)&amp;" - "&amp;VLOOKUP($A18,INDIRECT(N$1&amp;"!$B$14:$N$89"),9,0)</f>
        <v>0 - 1</v>
      </c>
      <c r="O18" s="165" t="str">
        <f t="shared" ca="1" si="2"/>
        <v>1 - 2</v>
      </c>
      <c r="P18" s="165" t="str">
        <f t="shared" ca="1" si="2"/>
        <v>0 - 2</v>
      </c>
      <c r="Q18" s="165" t="str">
        <f t="shared" ca="1" si="2"/>
        <v>0 - 2</v>
      </c>
      <c r="R18" s="165" t="str">
        <f t="shared" ca="1" si="2"/>
        <v>0 - 2</v>
      </c>
      <c r="S18" s="165" t="str">
        <f t="shared" ca="1" si="2"/>
        <v>1 - 0</v>
      </c>
      <c r="T18" s="165" t="str">
        <f t="shared" ca="1" si="3"/>
        <v>2 - 1</v>
      </c>
      <c r="U18" s="165" t="str">
        <f t="shared" ca="1" si="3"/>
        <v>0 - 2</v>
      </c>
      <c r="V18" s="165" t="str">
        <f t="shared" ca="1" si="3"/>
        <v>1 - 0</v>
      </c>
      <c r="W18" s="165" t="str">
        <f t="shared" ca="1" si="3"/>
        <v>0 - 1</v>
      </c>
      <c r="X18" s="165" t="str">
        <f t="shared" ca="1" si="3"/>
        <v>1 - 1</v>
      </c>
    </row>
    <row r="19" spans="1:24" hidden="1">
      <c r="A19" s="162">
        <v>18</v>
      </c>
      <c r="B19" s="166" t="str">
        <f>VLOOKUP($A19,Willem!$B$14:$N$89,4,0)&amp;"-"&amp;VLOOKUP($A19,Willem!$B$14:$N$89,6,0)</f>
        <v>Frankrijk  -  Mexico</v>
      </c>
      <c r="C19" s="166" t="str">
        <f ca="1">VLOOKUP($A19,INDIRECT(C$1&amp;"!$B$14:$N$89"),7,0)&amp;" - "&amp;VLOOKUP($A19,INDIRECT(C$1&amp;"!$B$14:$N$89"),9,0)</f>
        <v>2 - 1</v>
      </c>
      <c r="D19" s="166" t="str">
        <f t="shared" ca="1" si="2"/>
        <v>2 - 1</v>
      </c>
      <c r="E19" s="166" t="str">
        <f ca="1">VLOOKUP($A19,INDIRECT(E$1&amp;"!$B$14:$N$89"),7,0)&amp;" - "&amp;VLOOKUP($A19,INDIRECT(E$1&amp;"!$B$14:$N$89"),9,0)</f>
        <v>1 - 1</v>
      </c>
      <c r="F19" s="166" t="str">
        <f ca="1">VLOOKUP($A19,INDIRECT(F$1&amp;"!$B$14:$N$89"),7,0)&amp;" - "&amp;VLOOKUP($A19,INDIRECT(F$1&amp;"!$B$14:$N$89"),9,0)</f>
        <v>2 - 1</v>
      </c>
      <c r="G19" s="166" t="str">
        <f t="shared" ca="1" si="2"/>
        <v>1 - 3</v>
      </c>
      <c r="H19" s="166" t="str">
        <f ca="1">VLOOKUP($A19,INDIRECT(H$1&amp;"!$B$14:$N$89"),7,0)&amp;" - "&amp;VLOOKUP($A19,INDIRECT(H$1&amp;"!$B$14:$N$89"),9,0)</f>
        <v>3 - 1</v>
      </c>
      <c r="I19" s="166" t="str">
        <f ca="1">VLOOKUP($A19,INDIRECT(I$1&amp;"!$B$14:$N$89"),7,0)&amp;" - "&amp;VLOOKUP($A19,INDIRECT(I$1&amp;"!$B$14:$N$89"),9,0)</f>
        <v>3 - 0</v>
      </c>
      <c r="J19" s="166" t="str">
        <f ca="1">VLOOKUP($A19,INDIRECT(J$1&amp;"!$B$14:$N$89"),7,0)&amp;" - "&amp;VLOOKUP($A19,INDIRECT(J$1&amp;"!$B$14:$N$89"),9,0)</f>
        <v>2 - 1</v>
      </c>
      <c r="K19" s="166" t="str">
        <f ca="1">VLOOKUP($A19,INDIRECT(K$1&amp;"!$B$14:$N$89"),7,0)&amp;" - "&amp;VLOOKUP($A19,INDIRECT(K$1&amp;"!$B$14:$N$89"),9,0)</f>
        <v>2 - 2</v>
      </c>
      <c r="L19" s="166" t="str">
        <f ca="1">VLOOKUP($A19,INDIRECT(L$1&amp;"!$B$14:$N$89"),7,0)&amp;" - "&amp;VLOOKUP($A19,INDIRECT(L$1&amp;"!$B$14:$N$89"),9,0)</f>
        <v>0 - 1</v>
      </c>
      <c r="M19" s="166" t="str">
        <f ca="1">VLOOKUP($A19,INDIRECT(M$1&amp;"!$B$14:$N$89"),7,0)&amp;" - "&amp;VLOOKUP($A19,INDIRECT(M$1&amp;"!$B$14:$N$89"),9,0)</f>
        <v>2 - 1</v>
      </c>
      <c r="N19" s="166" t="str">
        <f ca="1">VLOOKUP($A19,INDIRECT(N$1&amp;"!$B$14:$N$89"),7,0)&amp;" - "&amp;VLOOKUP($A19,INDIRECT(N$1&amp;"!$B$14:$N$89"),9,0)</f>
        <v>2 - 0</v>
      </c>
      <c r="O19" s="166" t="str">
        <f t="shared" ca="1" si="2"/>
        <v>1 - 2</v>
      </c>
      <c r="P19" s="166" t="str">
        <f t="shared" ca="1" si="2"/>
        <v>2 - 1</v>
      </c>
      <c r="Q19" s="166" t="str">
        <f t="shared" ca="1" si="2"/>
        <v>1 - 2</v>
      </c>
      <c r="R19" s="166" t="str">
        <f t="shared" ca="1" si="2"/>
        <v>1 - 2</v>
      </c>
      <c r="S19" s="166" t="str">
        <f t="shared" ca="1" si="2"/>
        <v>2 - 0</v>
      </c>
      <c r="T19" s="166" t="str">
        <f t="shared" ca="1" si="3"/>
        <v>0 - 0</v>
      </c>
      <c r="U19" s="166" t="str">
        <f t="shared" ca="1" si="3"/>
        <v>2 - 0</v>
      </c>
      <c r="V19" s="166" t="str">
        <f t="shared" ca="1" si="3"/>
        <v>2 - 0</v>
      </c>
      <c r="W19" s="166" t="str">
        <f t="shared" ca="1" si="3"/>
        <v>2 - 2</v>
      </c>
      <c r="X19" s="166" t="str">
        <f t="shared" ca="1" si="3"/>
        <v>3 - 1</v>
      </c>
    </row>
    <row r="20" spans="1:24" hidden="1">
      <c r="A20" s="162">
        <v>19</v>
      </c>
      <c r="B20" s="165" t="str">
        <f>VLOOKUP($A20,Willem!$B$14:$N$89,4,0)&amp;"-"&amp;VLOOKUP($A20,Willem!$B$14:$N$89,6,0)</f>
        <v>Griekenland-  Nigeria</v>
      </c>
      <c r="C20" s="165" t="str">
        <f ca="1">VLOOKUP($A20,INDIRECT(C$1&amp;"!$B$14:$N$89"),7,0)&amp;" - "&amp;VLOOKUP($A20,INDIRECT(C$1&amp;"!$B$14:$N$89"),9,0)</f>
        <v>0 - 2</v>
      </c>
      <c r="D20" s="165" t="str">
        <f t="shared" ca="1" si="2"/>
        <v>0 - 2</v>
      </c>
      <c r="E20" s="165" t="str">
        <f ca="1">VLOOKUP($A20,INDIRECT(E$1&amp;"!$B$14:$N$89"),7,0)&amp;" - "&amp;VLOOKUP($A20,INDIRECT(E$1&amp;"!$B$14:$N$89"),9,0)</f>
        <v>2 - 1</v>
      </c>
      <c r="F20" s="165" t="str">
        <f ca="1">VLOOKUP($A20,INDIRECT(F$1&amp;"!$B$14:$N$89"),7,0)&amp;" - "&amp;VLOOKUP($A20,INDIRECT(F$1&amp;"!$B$14:$N$89"),9,0)</f>
        <v>1 - 0</v>
      </c>
      <c r="G20" s="165" t="str">
        <f t="shared" ca="1" si="2"/>
        <v>0 - 0</v>
      </c>
      <c r="H20" s="165" t="str">
        <f ca="1">VLOOKUP($A20,INDIRECT(H$1&amp;"!$B$14:$N$89"),7,0)&amp;" - "&amp;VLOOKUP($A20,INDIRECT(H$1&amp;"!$B$14:$N$89"),9,0)</f>
        <v>2 - 2</v>
      </c>
      <c r="I20" s="165" t="str">
        <f ca="1">VLOOKUP($A20,INDIRECT(I$1&amp;"!$B$14:$N$89"),7,0)&amp;" - "&amp;VLOOKUP($A20,INDIRECT(I$1&amp;"!$B$14:$N$89"),9,0)</f>
        <v>2 - 0</v>
      </c>
      <c r="J20" s="165" t="str">
        <f ca="1">VLOOKUP($A20,INDIRECT(J$1&amp;"!$B$14:$N$89"),7,0)&amp;" - "&amp;VLOOKUP($A20,INDIRECT(J$1&amp;"!$B$14:$N$89"),9,0)</f>
        <v>1 - 2</v>
      </c>
      <c r="K20" s="165" t="str">
        <f ca="1">VLOOKUP($A20,INDIRECT(K$1&amp;"!$B$14:$N$89"),7,0)&amp;" - "&amp;VLOOKUP($A20,INDIRECT(K$1&amp;"!$B$14:$N$89"),9,0)</f>
        <v>1 - 2</v>
      </c>
      <c r="L20" s="165" t="str">
        <f ca="1">VLOOKUP($A20,INDIRECT(L$1&amp;"!$B$14:$N$89"),7,0)&amp;" - "&amp;VLOOKUP($A20,INDIRECT(L$1&amp;"!$B$14:$N$89"),9,0)</f>
        <v>1 - 3</v>
      </c>
      <c r="M20" s="165" t="str">
        <f ca="1">VLOOKUP($A20,INDIRECT(M$1&amp;"!$B$14:$N$89"),7,0)&amp;" - "&amp;VLOOKUP($A20,INDIRECT(M$1&amp;"!$B$14:$N$89"),9,0)</f>
        <v>1 - 1</v>
      </c>
      <c r="N20" s="165" t="str">
        <f ca="1">VLOOKUP($A20,INDIRECT(N$1&amp;"!$B$14:$N$89"),7,0)&amp;" - "&amp;VLOOKUP($A20,INDIRECT(N$1&amp;"!$B$14:$N$89"),9,0)</f>
        <v>1 - 2</v>
      </c>
      <c r="O20" s="165" t="str">
        <f t="shared" ca="1" si="2"/>
        <v>0 - 1</v>
      </c>
      <c r="P20" s="165" t="str">
        <f t="shared" ca="1" si="2"/>
        <v>2 - 1</v>
      </c>
      <c r="Q20" s="165" t="str">
        <f t="shared" ca="1" si="2"/>
        <v>0 - 1</v>
      </c>
      <c r="R20" s="165" t="str">
        <f t="shared" ca="1" si="2"/>
        <v>0 - 1</v>
      </c>
      <c r="S20" s="165" t="str">
        <f t="shared" ca="1" si="2"/>
        <v>0 - 2</v>
      </c>
      <c r="T20" s="165" t="str">
        <f t="shared" ca="1" si="3"/>
        <v>1 - 2</v>
      </c>
      <c r="U20" s="165" t="str">
        <f t="shared" ca="1" si="3"/>
        <v>1 - 0</v>
      </c>
      <c r="V20" s="165" t="str">
        <f t="shared" ca="1" si="3"/>
        <v>0 - 1</v>
      </c>
      <c r="W20" s="165" t="str">
        <f t="shared" ca="1" si="3"/>
        <v>0 - 1</v>
      </c>
      <c r="X20" s="165" t="str">
        <f t="shared" ca="1" si="3"/>
        <v>2 - 1</v>
      </c>
    </row>
    <row r="21" spans="1:24" hidden="1">
      <c r="A21" s="162">
        <v>20</v>
      </c>
      <c r="B21" s="166" t="str">
        <f>VLOOKUP($A21,Willem!$B$14:$N$89,4,0)&amp;"-"&amp;VLOOKUP($A21,Willem!$B$14:$N$89,6,0)</f>
        <v>Argentinië-  Zuid-Korea</v>
      </c>
      <c r="C21" s="166" t="str">
        <f ca="1">VLOOKUP($A21,INDIRECT(C$1&amp;"!$B$14:$N$89"),7,0)&amp;" - "&amp;VLOOKUP($A21,INDIRECT(C$1&amp;"!$B$14:$N$89"),9,0)</f>
        <v>1 - 0</v>
      </c>
      <c r="D21" s="166" t="str">
        <f t="shared" ca="1" si="2"/>
        <v>1 - 0</v>
      </c>
      <c r="E21" s="166" t="str">
        <f ca="1">VLOOKUP($A21,INDIRECT(E$1&amp;"!$B$14:$N$89"),7,0)&amp;" - "&amp;VLOOKUP($A21,INDIRECT(E$1&amp;"!$B$14:$N$89"),9,0)</f>
        <v>2 - 2</v>
      </c>
      <c r="F21" s="166" t="str">
        <f ca="1">VLOOKUP($A21,INDIRECT(F$1&amp;"!$B$14:$N$89"),7,0)&amp;" - "&amp;VLOOKUP($A21,INDIRECT(F$1&amp;"!$B$14:$N$89"),9,0)</f>
        <v>2 - 1</v>
      </c>
      <c r="G21" s="166" t="str">
        <f t="shared" ca="1" si="2"/>
        <v>2 - 1</v>
      </c>
      <c r="H21" s="166" t="str">
        <f ca="1">VLOOKUP($A21,INDIRECT(H$1&amp;"!$B$14:$N$89"),7,0)&amp;" - "&amp;VLOOKUP($A21,INDIRECT(H$1&amp;"!$B$14:$N$89"),9,0)</f>
        <v>2 - 1</v>
      </c>
      <c r="I21" s="166" t="str">
        <f ca="1">VLOOKUP($A21,INDIRECT(I$1&amp;"!$B$14:$N$89"),7,0)&amp;" - "&amp;VLOOKUP($A21,INDIRECT(I$1&amp;"!$B$14:$N$89"),9,0)</f>
        <v>2 - 0</v>
      </c>
      <c r="J21" s="166" t="str">
        <f ca="1">VLOOKUP($A21,INDIRECT(J$1&amp;"!$B$14:$N$89"),7,0)&amp;" - "&amp;VLOOKUP($A21,INDIRECT(J$1&amp;"!$B$14:$N$89"),9,0)</f>
        <v>2 - 1</v>
      </c>
      <c r="K21" s="166" t="str">
        <f ca="1">VLOOKUP($A21,INDIRECT(K$1&amp;"!$B$14:$N$89"),7,0)&amp;" - "&amp;VLOOKUP($A21,INDIRECT(K$1&amp;"!$B$14:$N$89"),9,0)</f>
        <v>2 - 1</v>
      </c>
      <c r="L21" s="166" t="str">
        <f ca="1">VLOOKUP($A21,INDIRECT(L$1&amp;"!$B$14:$N$89"),7,0)&amp;" - "&amp;VLOOKUP($A21,INDIRECT(L$1&amp;"!$B$14:$N$89"),9,0)</f>
        <v>2 - 1</v>
      </c>
      <c r="M21" s="166" t="str">
        <f ca="1">VLOOKUP($A21,INDIRECT(M$1&amp;"!$B$14:$N$89"),7,0)&amp;" - "&amp;VLOOKUP($A21,INDIRECT(M$1&amp;"!$B$14:$N$89"),9,0)</f>
        <v>3 - 0</v>
      </c>
      <c r="N21" s="166" t="str">
        <f ca="1">VLOOKUP($A21,INDIRECT(N$1&amp;"!$B$14:$N$89"),7,0)&amp;" - "&amp;VLOOKUP($A21,INDIRECT(N$1&amp;"!$B$14:$N$89"),9,0)</f>
        <v>3 - 0</v>
      </c>
      <c r="O21" s="166" t="str">
        <f t="shared" ca="1" si="2"/>
        <v>2 - 1</v>
      </c>
      <c r="P21" s="166" t="str">
        <f t="shared" ca="1" si="2"/>
        <v>1 - 0</v>
      </c>
      <c r="Q21" s="166" t="str">
        <f t="shared" ca="1" si="2"/>
        <v>3 - 0</v>
      </c>
      <c r="R21" s="166" t="str">
        <f t="shared" ca="1" si="2"/>
        <v>2 - 0</v>
      </c>
      <c r="S21" s="166" t="str">
        <f t="shared" ca="1" si="2"/>
        <v>1 - 1</v>
      </c>
      <c r="T21" s="166" t="str">
        <f t="shared" ca="1" si="3"/>
        <v>2 - 1</v>
      </c>
      <c r="U21" s="166" t="str">
        <f t="shared" ca="1" si="3"/>
        <v>2 - 0</v>
      </c>
      <c r="V21" s="166" t="str">
        <f t="shared" ca="1" si="3"/>
        <v>1 - 0</v>
      </c>
      <c r="W21" s="166" t="str">
        <f t="shared" ca="1" si="3"/>
        <v>2 - 1</v>
      </c>
      <c r="X21" s="166" t="str">
        <f t="shared" ca="1" si="3"/>
        <v>4 - 0</v>
      </c>
    </row>
    <row r="22" spans="1:24" hidden="1">
      <c r="A22" s="162">
        <v>21</v>
      </c>
      <c r="B22" s="165" t="str">
        <f>VLOOKUP($A22,Willem!$B$14:$N$89,4,0)&amp;"-"&amp;VLOOKUP($A22,Willem!$B$14:$N$89,6,0)</f>
        <v>Duitsland  -  Servië</v>
      </c>
      <c r="C22" s="165" t="str">
        <f ca="1">VLOOKUP($A22,INDIRECT(C$1&amp;"!$B$14:$N$89"),7,0)&amp;" - "&amp;VLOOKUP($A22,INDIRECT(C$1&amp;"!$B$14:$N$89"),9,0)</f>
        <v>2 - 1</v>
      </c>
      <c r="D22" s="165" t="str">
        <f t="shared" ref="D22:S31" ca="1" si="4">VLOOKUP($A22,INDIRECT(D$1&amp;"!$B$14:$N$89"),7,0)&amp;" - "&amp;VLOOKUP($A22,INDIRECT(D$1&amp;"!$B$14:$N$89"),9,0)</f>
        <v>1 - 1</v>
      </c>
      <c r="E22" s="165" t="str">
        <f ca="1">VLOOKUP($A22,INDIRECT(E$1&amp;"!$B$14:$N$89"),7,0)&amp;" - "&amp;VLOOKUP($A22,INDIRECT(E$1&amp;"!$B$14:$N$89"),9,0)</f>
        <v>1 - 0</v>
      </c>
      <c r="F22" s="165" t="str">
        <f ca="1">VLOOKUP($A22,INDIRECT(F$1&amp;"!$B$14:$N$89"),7,0)&amp;" - "&amp;VLOOKUP($A22,INDIRECT(F$1&amp;"!$B$14:$N$89"),9,0)</f>
        <v>2 - 1</v>
      </c>
      <c r="G22" s="165" t="str">
        <f t="shared" ca="1" si="4"/>
        <v>2 - 1</v>
      </c>
      <c r="H22" s="165" t="str">
        <f ca="1">VLOOKUP($A22,INDIRECT(H$1&amp;"!$B$14:$N$89"),7,0)&amp;" - "&amp;VLOOKUP($A22,INDIRECT(H$1&amp;"!$B$14:$N$89"),9,0)</f>
        <v>2 - 2</v>
      </c>
      <c r="I22" s="165" t="str">
        <f ca="1">VLOOKUP($A22,INDIRECT(I$1&amp;"!$B$14:$N$89"),7,0)&amp;" - "&amp;VLOOKUP($A22,INDIRECT(I$1&amp;"!$B$14:$N$89"),9,0)</f>
        <v>1 - 0</v>
      </c>
      <c r="J22" s="165" t="str">
        <f ca="1">VLOOKUP($A22,INDIRECT(J$1&amp;"!$B$14:$N$89"),7,0)&amp;" - "&amp;VLOOKUP($A22,INDIRECT(J$1&amp;"!$B$14:$N$89"),9,0)</f>
        <v>1 - 1</v>
      </c>
      <c r="K22" s="165" t="str">
        <f ca="1">VLOOKUP($A22,INDIRECT(K$1&amp;"!$B$14:$N$89"),7,0)&amp;" - "&amp;VLOOKUP($A22,INDIRECT(K$1&amp;"!$B$14:$N$89"),9,0)</f>
        <v>1 - 0</v>
      </c>
      <c r="L22" s="165" t="str">
        <f ca="1">VLOOKUP($A22,INDIRECT(L$1&amp;"!$B$14:$N$89"),7,0)&amp;" - "&amp;VLOOKUP($A22,INDIRECT(L$1&amp;"!$B$14:$N$89"),9,0)</f>
        <v>0 - 1</v>
      </c>
      <c r="M22" s="165" t="str">
        <f ca="1">VLOOKUP($A22,INDIRECT(M$1&amp;"!$B$14:$N$89"),7,0)&amp;" - "&amp;VLOOKUP($A22,INDIRECT(M$1&amp;"!$B$14:$N$89"),9,0)</f>
        <v>1 - 1</v>
      </c>
      <c r="N22" s="165" t="str">
        <f ca="1">VLOOKUP($A22,INDIRECT(N$1&amp;"!$B$14:$N$89"),7,0)&amp;" - "&amp;VLOOKUP($A22,INDIRECT(N$1&amp;"!$B$14:$N$89"),9,0)</f>
        <v>2 - 0</v>
      </c>
      <c r="O22" s="165" t="str">
        <f t="shared" ca="1" si="4"/>
        <v>1 - 2</v>
      </c>
      <c r="P22" s="165" t="str">
        <f t="shared" ca="1" si="4"/>
        <v>3 - 0</v>
      </c>
      <c r="Q22" s="165" t="str">
        <f t="shared" ca="1" si="4"/>
        <v>1 - 0</v>
      </c>
      <c r="R22" s="165" t="str">
        <f t="shared" ca="1" si="4"/>
        <v>2 - 1</v>
      </c>
      <c r="S22" s="165" t="str">
        <f t="shared" ca="1" si="4"/>
        <v>0 - 0</v>
      </c>
      <c r="T22" s="165" t="str">
        <f t="shared" ref="T22:X31" ca="1" si="5">VLOOKUP($A22,INDIRECT(T$1&amp;"!$B$14:$N$89"),7,0)&amp;" - "&amp;VLOOKUP($A22,INDIRECT(T$1&amp;"!$B$14:$N$89"),9,0)</f>
        <v>2 - 2</v>
      </c>
      <c r="U22" s="165" t="str">
        <f t="shared" ca="1" si="5"/>
        <v>2 - 1</v>
      </c>
      <c r="V22" s="165" t="str">
        <f t="shared" ca="1" si="5"/>
        <v>1 - 0</v>
      </c>
      <c r="W22" s="165" t="str">
        <f t="shared" ca="1" si="5"/>
        <v>1 - 0</v>
      </c>
      <c r="X22" s="165" t="str">
        <f t="shared" ca="1" si="5"/>
        <v>1 - 1</v>
      </c>
    </row>
    <row r="23" spans="1:24" hidden="1">
      <c r="A23" s="162">
        <v>22</v>
      </c>
      <c r="B23" s="166" t="str">
        <f>VLOOKUP($A23,Willem!$B$14:$N$89,4,0)&amp;"-"&amp;VLOOKUP($A23,Willem!$B$14:$N$89,6,0)</f>
        <v>Slovenië-  USA</v>
      </c>
      <c r="C23" s="166" t="str">
        <f ca="1">VLOOKUP($A23,INDIRECT(C$1&amp;"!$B$14:$N$89"),7,0)&amp;" - "&amp;VLOOKUP($A23,INDIRECT(C$1&amp;"!$B$14:$N$89"),9,0)</f>
        <v>0 - 1</v>
      </c>
      <c r="D23" s="166" t="str">
        <f t="shared" ca="1" si="4"/>
        <v>0 - 1</v>
      </c>
      <c r="E23" s="166" t="str">
        <f ca="1">VLOOKUP($A23,INDIRECT(E$1&amp;"!$B$14:$N$89"),7,0)&amp;" - "&amp;VLOOKUP($A23,INDIRECT(E$1&amp;"!$B$14:$N$89"),9,0)</f>
        <v>1 - 0</v>
      </c>
      <c r="F23" s="166" t="str">
        <f ca="1">VLOOKUP($A23,INDIRECT(F$1&amp;"!$B$14:$N$89"),7,0)&amp;" - "&amp;VLOOKUP($A23,INDIRECT(F$1&amp;"!$B$14:$N$89"),9,0)</f>
        <v>2 - 1</v>
      </c>
      <c r="G23" s="166" t="str">
        <f t="shared" ca="1" si="4"/>
        <v>0 - 0</v>
      </c>
      <c r="H23" s="166" t="str">
        <f ca="1">VLOOKUP($A23,INDIRECT(H$1&amp;"!$B$14:$N$89"),7,0)&amp;" - "&amp;VLOOKUP($A23,INDIRECT(H$1&amp;"!$B$14:$N$89"),9,0)</f>
        <v>0 - 3</v>
      </c>
      <c r="I23" s="166" t="str">
        <f ca="1">VLOOKUP($A23,INDIRECT(I$1&amp;"!$B$14:$N$89"),7,0)&amp;" - "&amp;VLOOKUP($A23,INDIRECT(I$1&amp;"!$B$14:$N$89"),9,0)</f>
        <v>1 - 1</v>
      </c>
      <c r="J23" s="166" t="str">
        <f ca="1">VLOOKUP($A23,INDIRECT(J$1&amp;"!$B$14:$N$89"),7,0)&amp;" - "&amp;VLOOKUP($A23,INDIRECT(J$1&amp;"!$B$14:$N$89"),9,0)</f>
        <v>1 - 2</v>
      </c>
      <c r="K23" s="166" t="str">
        <f ca="1">VLOOKUP($A23,INDIRECT(K$1&amp;"!$B$14:$N$89"),7,0)&amp;" - "&amp;VLOOKUP($A23,INDIRECT(K$1&amp;"!$B$14:$N$89"),9,0)</f>
        <v>1 - 1</v>
      </c>
      <c r="L23" s="166" t="str">
        <f ca="1">VLOOKUP($A23,INDIRECT(L$1&amp;"!$B$14:$N$89"),7,0)&amp;" - "&amp;VLOOKUP($A23,INDIRECT(L$1&amp;"!$B$14:$N$89"),9,0)</f>
        <v>1 - 0</v>
      </c>
      <c r="M23" s="166" t="str">
        <f ca="1">VLOOKUP($A23,INDIRECT(M$1&amp;"!$B$14:$N$89"),7,0)&amp;" - "&amp;VLOOKUP($A23,INDIRECT(M$1&amp;"!$B$14:$N$89"),9,0)</f>
        <v>1 - 2</v>
      </c>
      <c r="N23" s="166" t="str">
        <f ca="1">VLOOKUP($A23,INDIRECT(N$1&amp;"!$B$14:$N$89"),7,0)&amp;" - "&amp;VLOOKUP($A23,INDIRECT(N$1&amp;"!$B$14:$N$89"),9,0)</f>
        <v>0 - 1</v>
      </c>
      <c r="O23" s="166" t="str">
        <f t="shared" ca="1" si="4"/>
        <v>1 - 2</v>
      </c>
      <c r="P23" s="166" t="str">
        <f t="shared" ca="1" si="4"/>
        <v>0 - 1</v>
      </c>
      <c r="Q23" s="166" t="str">
        <f t="shared" ca="1" si="4"/>
        <v>1 - 1</v>
      </c>
      <c r="R23" s="166" t="str">
        <f t="shared" ca="1" si="4"/>
        <v>1 - 1</v>
      </c>
      <c r="S23" s="166" t="str">
        <f t="shared" ca="1" si="4"/>
        <v>0 - 2</v>
      </c>
      <c r="T23" s="166" t="str">
        <f t="shared" ca="1" si="5"/>
        <v>0 - 1</v>
      </c>
      <c r="U23" s="166" t="str">
        <f t="shared" ca="1" si="5"/>
        <v>1 - 2</v>
      </c>
      <c r="V23" s="166" t="str">
        <f t="shared" ca="1" si="5"/>
        <v>1 - 0</v>
      </c>
      <c r="W23" s="166" t="str">
        <f t="shared" ca="1" si="5"/>
        <v>0 - 0</v>
      </c>
      <c r="X23" s="166" t="str">
        <f t="shared" ca="1" si="5"/>
        <v>1 - 1</v>
      </c>
    </row>
    <row r="24" spans="1:24" hidden="1">
      <c r="A24" s="162">
        <v>23</v>
      </c>
      <c r="B24" s="165" t="str">
        <f>VLOOKUP($A24,Willem!$B$14:$N$89,4,0)&amp;"-"&amp;VLOOKUP($A24,Willem!$B$14:$N$89,6,0)</f>
        <v>Engeland-  Algerije</v>
      </c>
      <c r="C24" s="165" t="str">
        <f ca="1">VLOOKUP($A24,INDIRECT(C$1&amp;"!$B$14:$N$89"),7,0)&amp;" - "&amp;VLOOKUP($A24,INDIRECT(C$1&amp;"!$B$14:$N$89"),9,0)</f>
        <v>3 - 1</v>
      </c>
      <c r="D24" s="165" t="str">
        <f t="shared" ca="1" si="4"/>
        <v>2 - 0</v>
      </c>
      <c r="E24" s="165" t="str">
        <f ca="1">VLOOKUP($A24,INDIRECT(E$1&amp;"!$B$14:$N$89"),7,0)&amp;" - "&amp;VLOOKUP($A24,INDIRECT(E$1&amp;"!$B$14:$N$89"),9,0)</f>
        <v>3 - 0</v>
      </c>
      <c r="F24" s="165" t="str">
        <f ca="1">VLOOKUP($A24,INDIRECT(F$1&amp;"!$B$14:$N$89"),7,0)&amp;" - "&amp;VLOOKUP($A24,INDIRECT(F$1&amp;"!$B$14:$N$89"),9,0)</f>
        <v>1 - 1</v>
      </c>
      <c r="G24" s="165" t="str">
        <f t="shared" ca="1" si="4"/>
        <v>3 - 1</v>
      </c>
      <c r="H24" s="165" t="str">
        <f ca="1">VLOOKUP($A24,INDIRECT(H$1&amp;"!$B$14:$N$89"),7,0)&amp;" - "&amp;VLOOKUP($A24,INDIRECT(H$1&amp;"!$B$14:$N$89"),9,0)</f>
        <v>2 - 0</v>
      </c>
      <c r="I24" s="165" t="str">
        <f ca="1">VLOOKUP($A24,INDIRECT(I$1&amp;"!$B$14:$N$89"),7,0)&amp;" - "&amp;VLOOKUP($A24,INDIRECT(I$1&amp;"!$B$14:$N$89"),9,0)</f>
        <v>2 - 1</v>
      </c>
      <c r="J24" s="165" t="str">
        <f ca="1">VLOOKUP($A24,INDIRECT(J$1&amp;"!$B$14:$N$89"),7,0)&amp;" - "&amp;VLOOKUP($A24,INDIRECT(J$1&amp;"!$B$14:$N$89"),9,0)</f>
        <v>1 - 1</v>
      </c>
      <c r="K24" s="165" t="str">
        <f ca="1">VLOOKUP($A24,INDIRECT(K$1&amp;"!$B$14:$N$89"),7,0)&amp;" - "&amp;VLOOKUP($A24,INDIRECT(K$1&amp;"!$B$14:$N$89"),9,0)</f>
        <v>3 - 1</v>
      </c>
      <c r="L24" s="165" t="str">
        <f ca="1">VLOOKUP($A24,INDIRECT(L$1&amp;"!$B$14:$N$89"),7,0)&amp;" - "&amp;VLOOKUP($A24,INDIRECT(L$1&amp;"!$B$14:$N$89"),9,0)</f>
        <v>3 - 0</v>
      </c>
      <c r="M24" s="165" t="str">
        <f ca="1">VLOOKUP($A24,INDIRECT(M$1&amp;"!$B$14:$N$89"),7,0)&amp;" - "&amp;VLOOKUP($A24,INDIRECT(M$1&amp;"!$B$14:$N$89"),9,0)</f>
        <v>2 - 0</v>
      </c>
      <c r="N24" s="165" t="str">
        <f ca="1">VLOOKUP($A24,INDIRECT(N$1&amp;"!$B$14:$N$89"),7,0)&amp;" - "&amp;VLOOKUP($A24,INDIRECT(N$1&amp;"!$B$14:$N$89"),9,0)</f>
        <v>2 - 0</v>
      </c>
      <c r="O24" s="165" t="str">
        <f t="shared" ca="1" si="4"/>
        <v>2 - 1</v>
      </c>
      <c r="P24" s="165" t="str">
        <f t="shared" ca="1" si="4"/>
        <v>3 - 0</v>
      </c>
      <c r="Q24" s="165" t="str">
        <f t="shared" ca="1" si="4"/>
        <v>3 - 1</v>
      </c>
      <c r="R24" s="165" t="str">
        <f t="shared" ca="1" si="4"/>
        <v>3 - 0</v>
      </c>
      <c r="S24" s="165" t="str">
        <f t="shared" ca="1" si="4"/>
        <v>2 - 0</v>
      </c>
      <c r="T24" s="165" t="str">
        <f t="shared" ca="1" si="5"/>
        <v>3 - 0</v>
      </c>
      <c r="U24" s="165" t="str">
        <f t="shared" ca="1" si="5"/>
        <v>3 - 1</v>
      </c>
      <c r="V24" s="165" t="str">
        <f t="shared" ca="1" si="5"/>
        <v>2 - 0</v>
      </c>
      <c r="W24" s="165" t="str">
        <f t="shared" ca="1" si="5"/>
        <v>1 - 0</v>
      </c>
      <c r="X24" s="165" t="str">
        <f t="shared" ca="1" si="5"/>
        <v>3 - 1</v>
      </c>
    </row>
    <row r="25" spans="1:24" hidden="1">
      <c r="A25" s="162">
        <v>24</v>
      </c>
      <c r="B25" s="166" t="str">
        <f>VLOOKUP($A25,Willem!$B$14:$N$89,4,0)&amp;"-"&amp;VLOOKUP($A25,Willem!$B$14:$N$89,6,0)</f>
        <v>Ghana  -  Australië</v>
      </c>
      <c r="C25" s="166" t="str">
        <f ca="1">VLOOKUP($A25,INDIRECT(C$1&amp;"!$B$14:$N$89"),7,0)&amp;" - "&amp;VLOOKUP($A25,INDIRECT(C$1&amp;"!$B$14:$N$89"),9,0)</f>
        <v>1 - 1</v>
      </c>
      <c r="D25" s="166" t="str">
        <f t="shared" ca="1" si="4"/>
        <v>1 - 0</v>
      </c>
      <c r="E25" s="166" t="str">
        <f ca="1">VLOOKUP($A25,INDIRECT(E$1&amp;"!$B$14:$N$89"),7,0)&amp;" - "&amp;VLOOKUP($A25,INDIRECT(E$1&amp;"!$B$14:$N$89"),9,0)</f>
        <v>0 - 0</v>
      </c>
      <c r="F25" s="166" t="str">
        <f ca="1">VLOOKUP($A25,INDIRECT(F$1&amp;"!$B$14:$N$89"),7,0)&amp;" - "&amp;VLOOKUP($A25,INDIRECT(F$1&amp;"!$B$14:$N$89"),9,0)</f>
        <v>1 - 1</v>
      </c>
      <c r="G25" s="166" t="str">
        <f t="shared" ca="1" si="4"/>
        <v>1 - 3</v>
      </c>
      <c r="H25" s="166" t="str">
        <f ca="1">VLOOKUP($A25,INDIRECT(H$1&amp;"!$B$14:$N$89"),7,0)&amp;" - "&amp;VLOOKUP($A25,INDIRECT(H$1&amp;"!$B$14:$N$89"),9,0)</f>
        <v>1 - 0</v>
      </c>
      <c r="I25" s="166" t="str">
        <f ca="1">VLOOKUP($A25,INDIRECT(I$1&amp;"!$B$14:$N$89"),7,0)&amp;" - "&amp;VLOOKUP($A25,INDIRECT(I$1&amp;"!$B$14:$N$89"),9,0)</f>
        <v>2 - 0</v>
      </c>
      <c r="J25" s="166" t="str">
        <f ca="1">VLOOKUP($A25,INDIRECT(J$1&amp;"!$B$14:$N$89"),7,0)&amp;" - "&amp;VLOOKUP($A25,INDIRECT(J$1&amp;"!$B$14:$N$89"),9,0)</f>
        <v>1 - 0</v>
      </c>
      <c r="K25" s="166" t="str">
        <f ca="1">VLOOKUP($A25,INDIRECT(K$1&amp;"!$B$14:$N$89"),7,0)&amp;" - "&amp;VLOOKUP($A25,INDIRECT(K$1&amp;"!$B$14:$N$89"),9,0)</f>
        <v>2 - 2</v>
      </c>
      <c r="L25" s="166" t="str">
        <f ca="1">VLOOKUP($A25,INDIRECT(L$1&amp;"!$B$14:$N$89"),7,0)&amp;" - "&amp;VLOOKUP($A25,INDIRECT(L$1&amp;"!$B$14:$N$89"),9,0)</f>
        <v>1 - 2</v>
      </c>
      <c r="M25" s="166" t="str">
        <f ca="1">VLOOKUP($A25,INDIRECT(M$1&amp;"!$B$14:$N$89"),7,0)&amp;" - "&amp;VLOOKUP($A25,INDIRECT(M$1&amp;"!$B$14:$N$89"),9,0)</f>
        <v>0 - 2</v>
      </c>
      <c r="N25" s="166" t="str">
        <f ca="1">VLOOKUP($A25,INDIRECT(N$1&amp;"!$B$14:$N$89"),7,0)&amp;" - "&amp;VLOOKUP($A25,INDIRECT(N$1&amp;"!$B$14:$N$89"),9,0)</f>
        <v>1 - 3</v>
      </c>
      <c r="O25" s="166" t="str">
        <f t="shared" ca="1" si="4"/>
        <v>1 - 2</v>
      </c>
      <c r="P25" s="166" t="str">
        <f t="shared" ca="1" si="4"/>
        <v>1 - 2</v>
      </c>
      <c r="Q25" s="166" t="str">
        <f t="shared" ca="1" si="4"/>
        <v>1 - 1</v>
      </c>
      <c r="R25" s="166" t="str">
        <f t="shared" ca="1" si="4"/>
        <v>0 - 1</v>
      </c>
      <c r="S25" s="166" t="str">
        <f t="shared" ca="1" si="4"/>
        <v>0 - 2</v>
      </c>
      <c r="T25" s="166" t="str">
        <f t="shared" ca="1" si="5"/>
        <v>0 - 1</v>
      </c>
      <c r="U25" s="166" t="str">
        <f t="shared" ca="1" si="5"/>
        <v>1 - 2</v>
      </c>
      <c r="V25" s="166" t="str">
        <f t="shared" ca="1" si="5"/>
        <v>1 - 0</v>
      </c>
      <c r="W25" s="166" t="str">
        <f t="shared" ca="1" si="5"/>
        <v>1 - 2</v>
      </c>
      <c r="X25" s="166" t="str">
        <f t="shared" ca="1" si="5"/>
        <v>2 - 1</v>
      </c>
    </row>
    <row r="26" spans="1:24" hidden="1">
      <c r="A26" s="162">
        <v>25</v>
      </c>
      <c r="B26" s="165" t="str">
        <f>VLOOKUP($A26,Willem!$B$14:$N$89,4,0)&amp;"-"&amp;VLOOKUP($A26,Willem!$B$14:$N$89,6,0)</f>
        <v>Nederland  -  Japan</v>
      </c>
      <c r="C26" s="165" t="str">
        <f ca="1">VLOOKUP($A26,INDIRECT(C$1&amp;"!$B$14:$N$89"),7,0)&amp;" - "&amp;VLOOKUP($A26,INDIRECT(C$1&amp;"!$B$14:$N$89"),9,0)</f>
        <v>3 - 0</v>
      </c>
      <c r="D26" s="165" t="str">
        <f t="shared" ca="1" si="4"/>
        <v>3 - 0</v>
      </c>
      <c r="E26" s="165" t="str">
        <f ca="1">VLOOKUP($A26,INDIRECT(E$1&amp;"!$B$14:$N$89"),7,0)&amp;" - "&amp;VLOOKUP($A26,INDIRECT(E$1&amp;"!$B$14:$N$89"),9,0)</f>
        <v>3 - 0</v>
      </c>
      <c r="F26" s="165" t="str">
        <f ca="1">VLOOKUP($A26,INDIRECT(F$1&amp;"!$B$14:$N$89"),7,0)&amp;" - "&amp;VLOOKUP($A26,INDIRECT(F$1&amp;"!$B$14:$N$89"),9,0)</f>
        <v>3 - 0</v>
      </c>
      <c r="G26" s="165" t="str">
        <f t="shared" ca="1" si="4"/>
        <v>3 - 1</v>
      </c>
      <c r="H26" s="165" t="str">
        <f ca="1">VLOOKUP($A26,INDIRECT(H$1&amp;"!$B$14:$N$89"),7,0)&amp;" - "&amp;VLOOKUP($A26,INDIRECT(H$1&amp;"!$B$14:$N$89"),9,0)</f>
        <v>2 - 1</v>
      </c>
      <c r="I26" s="165" t="str">
        <f ca="1">VLOOKUP($A26,INDIRECT(I$1&amp;"!$B$14:$N$89"),7,0)&amp;" - "&amp;VLOOKUP($A26,INDIRECT(I$1&amp;"!$B$14:$N$89"),9,0)</f>
        <v>2 - 1</v>
      </c>
      <c r="J26" s="165" t="str">
        <f ca="1">VLOOKUP($A26,INDIRECT(J$1&amp;"!$B$14:$N$89"),7,0)&amp;" - "&amp;VLOOKUP($A26,INDIRECT(J$1&amp;"!$B$14:$N$89"),9,0)</f>
        <v>3 - 0</v>
      </c>
      <c r="K26" s="165" t="str">
        <f ca="1">VLOOKUP($A26,INDIRECT(K$1&amp;"!$B$14:$N$89"),7,0)&amp;" - "&amp;VLOOKUP($A26,INDIRECT(K$1&amp;"!$B$14:$N$89"),9,0)</f>
        <v>3 - 1</v>
      </c>
      <c r="L26" s="165" t="str">
        <f ca="1">VLOOKUP($A26,INDIRECT(L$1&amp;"!$B$14:$N$89"),7,0)&amp;" - "&amp;VLOOKUP($A26,INDIRECT(L$1&amp;"!$B$14:$N$89"),9,0)</f>
        <v>1 - 0</v>
      </c>
      <c r="M26" s="165" t="str">
        <f ca="1">VLOOKUP($A26,INDIRECT(M$1&amp;"!$B$14:$N$89"),7,0)&amp;" - "&amp;VLOOKUP($A26,INDIRECT(M$1&amp;"!$B$14:$N$89"),9,0)</f>
        <v>3 - 1</v>
      </c>
      <c r="N26" s="165" t="str">
        <f ca="1">VLOOKUP($A26,INDIRECT(N$1&amp;"!$B$14:$N$89"),7,0)&amp;" - "&amp;VLOOKUP($A26,INDIRECT(N$1&amp;"!$B$14:$N$89"),9,0)</f>
        <v>1 - 0</v>
      </c>
      <c r="O26" s="165" t="str">
        <f t="shared" ca="1" si="4"/>
        <v>2 - 1</v>
      </c>
      <c r="P26" s="165" t="str">
        <f t="shared" ca="1" si="4"/>
        <v>4 - 0</v>
      </c>
      <c r="Q26" s="165" t="str">
        <f t="shared" ca="1" si="4"/>
        <v>2 - 0</v>
      </c>
      <c r="R26" s="165" t="str">
        <f t="shared" ca="1" si="4"/>
        <v>2 - 0</v>
      </c>
      <c r="S26" s="165" t="str">
        <f t="shared" ca="1" si="4"/>
        <v>2 - 0</v>
      </c>
      <c r="T26" s="165" t="str">
        <f t="shared" ca="1" si="5"/>
        <v>2 - 0</v>
      </c>
      <c r="U26" s="165" t="str">
        <f t="shared" ca="1" si="5"/>
        <v>3 - 0</v>
      </c>
      <c r="V26" s="165" t="str">
        <f t="shared" ca="1" si="5"/>
        <v>2 - 0</v>
      </c>
      <c r="W26" s="165" t="str">
        <f t="shared" ca="1" si="5"/>
        <v>1 - 1</v>
      </c>
      <c r="X26" s="165" t="str">
        <f t="shared" ca="1" si="5"/>
        <v>2 - 0</v>
      </c>
    </row>
    <row r="27" spans="1:24" hidden="1">
      <c r="A27" s="162">
        <v>26</v>
      </c>
      <c r="B27" s="166" t="str">
        <f>VLOOKUP($A27,Willem!$B$14:$N$89,4,0)&amp;"-"&amp;VLOOKUP($A27,Willem!$B$14:$N$89,6,0)</f>
        <v>Kameroen  -  Denemarken</v>
      </c>
      <c r="C27" s="166" t="str">
        <f ca="1">VLOOKUP($A27,INDIRECT(C$1&amp;"!$B$14:$N$89"),7,0)&amp;" - "&amp;VLOOKUP($A27,INDIRECT(C$1&amp;"!$B$14:$N$89"),9,0)</f>
        <v>1 - 1</v>
      </c>
      <c r="D27" s="166" t="str">
        <f t="shared" ca="1" si="4"/>
        <v>1 - 1</v>
      </c>
      <c r="E27" s="166" t="str">
        <f ca="1">VLOOKUP($A27,INDIRECT(E$1&amp;"!$B$14:$N$89"),7,0)&amp;" - "&amp;VLOOKUP($A27,INDIRECT(E$1&amp;"!$B$14:$N$89"),9,0)</f>
        <v>1 - 0</v>
      </c>
      <c r="F27" s="166" t="str">
        <f ca="1">VLOOKUP($A27,INDIRECT(F$1&amp;"!$B$14:$N$89"),7,0)&amp;" - "&amp;VLOOKUP($A27,INDIRECT(F$1&amp;"!$B$14:$N$89"),9,0)</f>
        <v>1 - 2</v>
      </c>
      <c r="G27" s="166" t="str">
        <f t="shared" ca="1" si="4"/>
        <v>1 - 2</v>
      </c>
      <c r="H27" s="166" t="str">
        <f ca="1">VLOOKUP($A27,INDIRECT(H$1&amp;"!$B$14:$N$89"),7,0)&amp;" - "&amp;VLOOKUP($A27,INDIRECT(H$1&amp;"!$B$14:$N$89"),9,0)</f>
        <v>2 - 1</v>
      </c>
      <c r="I27" s="166" t="str">
        <f ca="1">VLOOKUP($A27,INDIRECT(I$1&amp;"!$B$14:$N$89"),7,0)&amp;" - "&amp;VLOOKUP($A27,INDIRECT(I$1&amp;"!$B$14:$N$89"),9,0)</f>
        <v>0 - 2</v>
      </c>
      <c r="J27" s="166" t="str">
        <f ca="1">VLOOKUP($A27,INDIRECT(J$1&amp;"!$B$14:$N$89"),7,0)&amp;" - "&amp;VLOOKUP($A27,INDIRECT(J$1&amp;"!$B$14:$N$89"),9,0)</f>
        <v>1 - 2</v>
      </c>
      <c r="K27" s="166" t="str">
        <f ca="1">VLOOKUP($A27,INDIRECT(K$1&amp;"!$B$14:$N$89"),7,0)&amp;" - "&amp;VLOOKUP($A27,INDIRECT(K$1&amp;"!$B$14:$N$89"),9,0)</f>
        <v>1 - 2</v>
      </c>
      <c r="L27" s="166" t="str">
        <f ca="1">VLOOKUP($A27,INDIRECT(L$1&amp;"!$B$14:$N$89"),7,0)&amp;" - "&amp;VLOOKUP($A27,INDIRECT(L$1&amp;"!$B$14:$N$89"),9,0)</f>
        <v>1 - 1</v>
      </c>
      <c r="M27" s="166" t="str">
        <f ca="1">VLOOKUP($A27,INDIRECT(M$1&amp;"!$B$14:$N$89"),7,0)&amp;" - "&amp;VLOOKUP($A27,INDIRECT(M$1&amp;"!$B$14:$N$89"),9,0)</f>
        <v>0 - 2</v>
      </c>
      <c r="N27" s="166" t="str">
        <f ca="1">VLOOKUP($A27,INDIRECT(N$1&amp;"!$B$14:$N$89"),7,0)&amp;" - "&amp;VLOOKUP($A27,INDIRECT(N$1&amp;"!$B$14:$N$89"),9,0)</f>
        <v>1 - 1</v>
      </c>
      <c r="O27" s="166" t="str">
        <f t="shared" ca="1" si="4"/>
        <v>2 - 1</v>
      </c>
      <c r="P27" s="166" t="str">
        <f t="shared" ca="1" si="4"/>
        <v>1 - 1</v>
      </c>
      <c r="Q27" s="166" t="str">
        <f t="shared" ca="1" si="4"/>
        <v>0 - 1</v>
      </c>
      <c r="R27" s="166" t="str">
        <f t="shared" ca="1" si="4"/>
        <v>1 - 0</v>
      </c>
      <c r="S27" s="166" t="str">
        <f t="shared" ca="1" si="4"/>
        <v>1 - 2</v>
      </c>
      <c r="T27" s="166" t="str">
        <f t="shared" ca="1" si="5"/>
        <v>3 - 1</v>
      </c>
      <c r="U27" s="166" t="str">
        <f t="shared" ca="1" si="5"/>
        <v>2 - 2</v>
      </c>
      <c r="V27" s="166" t="str">
        <f t="shared" ca="1" si="5"/>
        <v>1 - 1</v>
      </c>
      <c r="W27" s="166" t="str">
        <f t="shared" ca="1" si="5"/>
        <v>2 - 2</v>
      </c>
      <c r="X27" s="166" t="str">
        <f t="shared" ca="1" si="5"/>
        <v>1 - 1</v>
      </c>
    </row>
    <row r="28" spans="1:24" hidden="1">
      <c r="A28" s="162">
        <v>27</v>
      </c>
      <c r="B28" s="165" t="str">
        <f>VLOOKUP($A28,Willem!$B$14:$N$89,4,0)&amp;"-"&amp;VLOOKUP($A28,Willem!$B$14:$N$89,6,0)</f>
        <v>Slowakije  -  Paraguay</v>
      </c>
      <c r="C28" s="165" t="str">
        <f ca="1">VLOOKUP($A28,INDIRECT(C$1&amp;"!$B$14:$N$89"),7,0)&amp;" - "&amp;VLOOKUP($A28,INDIRECT(C$1&amp;"!$B$14:$N$89"),9,0)</f>
        <v>1 - 2</v>
      </c>
      <c r="D28" s="165" t="str">
        <f t="shared" ca="1" si="4"/>
        <v>0 - 2</v>
      </c>
      <c r="E28" s="165" t="str">
        <f ca="1">VLOOKUP($A28,INDIRECT(E$1&amp;"!$B$14:$N$89"),7,0)&amp;" - "&amp;VLOOKUP($A28,INDIRECT(E$1&amp;"!$B$14:$N$89"),9,0)</f>
        <v>1 - 2</v>
      </c>
      <c r="F28" s="165" t="str">
        <f ca="1">VLOOKUP($A28,INDIRECT(F$1&amp;"!$B$14:$N$89"),7,0)&amp;" - "&amp;VLOOKUP($A28,INDIRECT(F$1&amp;"!$B$14:$N$89"),9,0)</f>
        <v>1 - 0</v>
      </c>
      <c r="G28" s="165" t="str">
        <f t="shared" ca="1" si="4"/>
        <v>1 - 0</v>
      </c>
      <c r="H28" s="165" t="str">
        <f ca="1">VLOOKUP($A28,INDIRECT(H$1&amp;"!$B$14:$N$89"),7,0)&amp;" - "&amp;VLOOKUP($A28,INDIRECT(H$1&amp;"!$B$14:$N$89"),9,0)</f>
        <v>1 - 2</v>
      </c>
      <c r="I28" s="165" t="str">
        <f ca="1">VLOOKUP($A28,INDIRECT(I$1&amp;"!$B$14:$N$89"),7,0)&amp;" - "&amp;VLOOKUP($A28,INDIRECT(I$1&amp;"!$B$14:$N$89"),9,0)</f>
        <v>1 - 2</v>
      </c>
      <c r="J28" s="165" t="str">
        <f ca="1">VLOOKUP($A28,INDIRECT(J$1&amp;"!$B$14:$N$89"),7,0)&amp;" - "&amp;VLOOKUP($A28,INDIRECT(J$1&amp;"!$B$14:$N$89"),9,0)</f>
        <v>2 - 1</v>
      </c>
      <c r="K28" s="165" t="str">
        <f ca="1">VLOOKUP($A28,INDIRECT(K$1&amp;"!$B$14:$N$89"),7,0)&amp;" - "&amp;VLOOKUP($A28,INDIRECT(K$1&amp;"!$B$14:$N$89"),9,0)</f>
        <v>1 - 1</v>
      </c>
      <c r="L28" s="165" t="str">
        <f ca="1">VLOOKUP($A28,INDIRECT(L$1&amp;"!$B$14:$N$89"),7,0)&amp;" - "&amp;VLOOKUP($A28,INDIRECT(L$1&amp;"!$B$14:$N$89"),9,0)</f>
        <v>2 - 1</v>
      </c>
      <c r="M28" s="165" t="str">
        <f ca="1">VLOOKUP($A28,INDIRECT(M$1&amp;"!$B$14:$N$89"),7,0)&amp;" - "&amp;VLOOKUP($A28,INDIRECT(M$1&amp;"!$B$14:$N$89"),9,0)</f>
        <v>1 - 1</v>
      </c>
      <c r="N28" s="165" t="str">
        <f ca="1">VLOOKUP($A28,INDIRECT(N$1&amp;"!$B$14:$N$89"),7,0)&amp;" - "&amp;VLOOKUP($A28,INDIRECT(N$1&amp;"!$B$14:$N$89"),9,0)</f>
        <v>1 - 1</v>
      </c>
      <c r="O28" s="165" t="str">
        <f t="shared" ca="1" si="4"/>
        <v>1 - 2</v>
      </c>
      <c r="P28" s="165" t="str">
        <f t="shared" ca="1" si="4"/>
        <v>1 - 3</v>
      </c>
      <c r="Q28" s="165" t="str">
        <f t="shared" ca="1" si="4"/>
        <v>1 - 1</v>
      </c>
      <c r="R28" s="165" t="str">
        <f t="shared" ca="1" si="4"/>
        <v>1 - 1</v>
      </c>
      <c r="S28" s="165" t="str">
        <f t="shared" ca="1" si="4"/>
        <v>0 - 2</v>
      </c>
      <c r="T28" s="165" t="str">
        <f t="shared" ca="1" si="5"/>
        <v>0 - 2</v>
      </c>
      <c r="U28" s="165" t="str">
        <f t="shared" ca="1" si="5"/>
        <v>0 - 1</v>
      </c>
      <c r="V28" s="165" t="str">
        <f t="shared" ca="1" si="5"/>
        <v>0 - 1</v>
      </c>
      <c r="W28" s="165" t="str">
        <f t="shared" ca="1" si="5"/>
        <v>1 - 1</v>
      </c>
      <c r="X28" s="165" t="str">
        <f t="shared" ca="1" si="5"/>
        <v>1 - 3</v>
      </c>
    </row>
    <row r="29" spans="1:24" hidden="1">
      <c r="A29" s="162">
        <v>28</v>
      </c>
      <c r="B29" s="166" t="str">
        <f>VLOOKUP($A29,Willem!$B$14:$N$89,4,0)&amp;"-"&amp;VLOOKUP($A29,Willem!$B$14:$N$89,6,0)</f>
        <v>Italië  -  Nieuw-Zeeland</v>
      </c>
      <c r="C29" s="166" t="str">
        <f ca="1">VLOOKUP($A29,INDIRECT(C$1&amp;"!$B$14:$N$89"),7,0)&amp;" - "&amp;VLOOKUP($A29,INDIRECT(C$1&amp;"!$B$14:$N$89"),9,0)</f>
        <v>1 - 0</v>
      </c>
      <c r="D29" s="166" t="str">
        <f t="shared" ca="1" si="4"/>
        <v>2 - 0</v>
      </c>
      <c r="E29" s="166" t="str">
        <f ca="1">VLOOKUP($A29,INDIRECT(E$1&amp;"!$B$14:$N$89"),7,0)&amp;" - "&amp;VLOOKUP($A29,INDIRECT(E$1&amp;"!$B$14:$N$89"),9,0)</f>
        <v>2 - 0</v>
      </c>
      <c r="F29" s="166" t="str">
        <f ca="1">VLOOKUP($A29,INDIRECT(F$1&amp;"!$B$14:$N$89"),7,0)&amp;" - "&amp;VLOOKUP($A29,INDIRECT(F$1&amp;"!$B$14:$N$89"),9,0)</f>
        <v>3 - 0</v>
      </c>
      <c r="G29" s="166" t="str">
        <f t="shared" ca="1" si="4"/>
        <v>1 - 2</v>
      </c>
      <c r="H29" s="166" t="str">
        <f ca="1">VLOOKUP($A29,INDIRECT(H$1&amp;"!$B$14:$N$89"),7,0)&amp;" - "&amp;VLOOKUP($A29,INDIRECT(H$1&amp;"!$B$14:$N$89"),9,0)</f>
        <v>2 - 0</v>
      </c>
      <c r="I29" s="166" t="str">
        <f ca="1">VLOOKUP($A29,INDIRECT(I$1&amp;"!$B$14:$N$89"),7,0)&amp;" - "&amp;VLOOKUP($A29,INDIRECT(I$1&amp;"!$B$14:$N$89"),9,0)</f>
        <v>2 - 0</v>
      </c>
      <c r="J29" s="166" t="str">
        <f ca="1">VLOOKUP($A29,INDIRECT(J$1&amp;"!$B$14:$N$89"),7,0)&amp;" - "&amp;VLOOKUP($A29,INDIRECT(J$1&amp;"!$B$14:$N$89"),9,0)</f>
        <v>4 - 0</v>
      </c>
      <c r="K29" s="166" t="str">
        <f ca="1">VLOOKUP($A29,INDIRECT(K$1&amp;"!$B$14:$N$89"),7,0)&amp;" - "&amp;VLOOKUP($A29,INDIRECT(K$1&amp;"!$B$14:$N$89"),9,0)</f>
        <v>2 - 0</v>
      </c>
      <c r="L29" s="166" t="str">
        <f ca="1">VLOOKUP($A29,INDIRECT(L$1&amp;"!$B$14:$N$89"),7,0)&amp;" - "&amp;VLOOKUP($A29,INDIRECT(L$1&amp;"!$B$14:$N$89"),9,0)</f>
        <v>0 - 1</v>
      </c>
      <c r="M29" s="166" t="str">
        <f ca="1">VLOOKUP($A29,INDIRECT(M$1&amp;"!$B$14:$N$89"),7,0)&amp;" - "&amp;VLOOKUP($A29,INDIRECT(M$1&amp;"!$B$14:$N$89"),9,0)</f>
        <v>2 - 0</v>
      </c>
      <c r="N29" s="166" t="str">
        <f ca="1">VLOOKUP($A29,INDIRECT(N$1&amp;"!$B$14:$N$89"),7,0)&amp;" - "&amp;VLOOKUP($A29,INDIRECT(N$1&amp;"!$B$14:$N$89"),9,0)</f>
        <v>2 - 0</v>
      </c>
      <c r="O29" s="166" t="str">
        <f t="shared" ca="1" si="4"/>
        <v>2 - 1</v>
      </c>
      <c r="P29" s="166" t="str">
        <f t="shared" ca="1" si="4"/>
        <v>2 - 0</v>
      </c>
      <c r="Q29" s="166" t="str">
        <f t="shared" ca="1" si="4"/>
        <v>3 - 0</v>
      </c>
      <c r="R29" s="166" t="str">
        <f t="shared" ca="1" si="4"/>
        <v>3 - 0</v>
      </c>
      <c r="S29" s="166" t="str">
        <f t="shared" ca="1" si="4"/>
        <v>2 - 0</v>
      </c>
      <c r="T29" s="166" t="str">
        <f t="shared" ca="1" si="5"/>
        <v>1 - 0</v>
      </c>
      <c r="U29" s="166" t="str">
        <f t="shared" ca="1" si="5"/>
        <v>3 - 0</v>
      </c>
      <c r="V29" s="166" t="str">
        <f t="shared" ca="1" si="5"/>
        <v>1 - 0</v>
      </c>
      <c r="W29" s="166" t="str">
        <f t="shared" ca="1" si="5"/>
        <v>2 - 0</v>
      </c>
      <c r="X29" s="166" t="str">
        <f t="shared" ca="1" si="5"/>
        <v>3 - 0</v>
      </c>
    </row>
    <row r="30" spans="1:24" hidden="1">
      <c r="A30" s="162">
        <v>29</v>
      </c>
      <c r="B30" s="165" t="str">
        <f>VLOOKUP($A30,Willem!$B$14:$N$89,4,0)&amp;"-"&amp;VLOOKUP($A30,Willem!$B$14:$N$89,6,0)</f>
        <v>Brazilië  -  Ivoorkust</v>
      </c>
      <c r="C30" s="165" t="str">
        <f ca="1">VLOOKUP($A30,INDIRECT(C$1&amp;"!$B$14:$N$89"),7,0)&amp;" - "&amp;VLOOKUP($A30,INDIRECT(C$1&amp;"!$B$14:$N$89"),9,0)</f>
        <v>3 - 1</v>
      </c>
      <c r="D30" s="165" t="str">
        <f t="shared" ca="1" si="4"/>
        <v>1 - 1</v>
      </c>
      <c r="E30" s="165" t="str">
        <f ca="1">VLOOKUP($A30,INDIRECT(E$1&amp;"!$B$14:$N$89"),7,0)&amp;" - "&amp;VLOOKUP($A30,INDIRECT(E$1&amp;"!$B$14:$N$89"),9,0)</f>
        <v>2 - 1</v>
      </c>
      <c r="F30" s="165" t="str">
        <f ca="1">VLOOKUP($A30,INDIRECT(F$1&amp;"!$B$14:$N$89"),7,0)&amp;" - "&amp;VLOOKUP($A30,INDIRECT(F$1&amp;"!$B$14:$N$89"),9,0)</f>
        <v>3 - 1</v>
      </c>
      <c r="G30" s="165" t="str">
        <f t="shared" ca="1" si="4"/>
        <v>2 - 2</v>
      </c>
      <c r="H30" s="165" t="str">
        <f ca="1">VLOOKUP($A30,INDIRECT(H$1&amp;"!$B$14:$N$89"),7,0)&amp;" - "&amp;VLOOKUP($A30,INDIRECT(H$1&amp;"!$B$14:$N$89"),9,0)</f>
        <v>3 - 1</v>
      </c>
      <c r="I30" s="165" t="str">
        <f ca="1">VLOOKUP($A30,INDIRECT(I$1&amp;"!$B$14:$N$89"),7,0)&amp;" - "&amp;VLOOKUP($A30,INDIRECT(I$1&amp;"!$B$14:$N$89"),9,0)</f>
        <v>2 - 1</v>
      </c>
      <c r="J30" s="165" t="str">
        <f ca="1">VLOOKUP($A30,INDIRECT(J$1&amp;"!$B$14:$N$89"),7,0)&amp;" - "&amp;VLOOKUP($A30,INDIRECT(J$1&amp;"!$B$14:$N$89"),9,0)</f>
        <v>2 - 0</v>
      </c>
      <c r="K30" s="165" t="str">
        <f ca="1">VLOOKUP($A30,INDIRECT(K$1&amp;"!$B$14:$N$89"),7,0)&amp;" - "&amp;VLOOKUP($A30,INDIRECT(K$1&amp;"!$B$14:$N$89"),9,0)</f>
        <v>2 - 2</v>
      </c>
      <c r="L30" s="165" t="str">
        <f ca="1">VLOOKUP($A30,INDIRECT(L$1&amp;"!$B$14:$N$89"),7,0)&amp;" - "&amp;VLOOKUP($A30,INDIRECT(L$1&amp;"!$B$14:$N$89"),9,0)</f>
        <v>3 - 1</v>
      </c>
      <c r="M30" s="165" t="str">
        <f ca="1">VLOOKUP($A30,INDIRECT(M$1&amp;"!$B$14:$N$89"),7,0)&amp;" - "&amp;VLOOKUP($A30,INDIRECT(M$1&amp;"!$B$14:$N$89"),9,0)</f>
        <v>2 - 1</v>
      </c>
      <c r="N30" s="165" t="str">
        <f ca="1">VLOOKUP($A30,INDIRECT(N$1&amp;"!$B$14:$N$89"),7,0)&amp;" - "&amp;VLOOKUP($A30,INDIRECT(N$1&amp;"!$B$14:$N$89"),9,0)</f>
        <v>2 - 0</v>
      </c>
      <c r="O30" s="165" t="str">
        <f t="shared" ca="1" si="4"/>
        <v>2 - 1</v>
      </c>
      <c r="P30" s="165" t="str">
        <f t="shared" ca="1" si="4"/>
        <v>2 - 1</v>
      </c>
      <c r="Q30" s="165" t="str">
        <f t="shared" ca="1" si="4"/>
        <v>3 - 1</v>
      </c>
      <c r="R30" s="165" t="str">
        <f t="shared" ca="1" si="4"/>
        <v>2 - 1</v>
      </c>
      <c r="S30" s="165" t="str">
        <f t="shared" ca="1" si="4"/>
        <v>3 - 0</v>
      </c>
      <c r="T30" s="165" t="str">
        <f t="shared" ca="1" si="5"/>
        <v>2 - 0</v>
      </c>
      <c r="U30" s="165" t="str">
        <f t="shared" ca="1" si="5"/>
        <v>2 - 0</v>
      </c>
      <c r="V30" s="165" t="str">
        <f t="shared" ca="1" si="5"/>
        <v>1 - 0</v>
      </c>
      <c r="W30" s="165" t="str">
        <f t="shared" ca="1" si="5"/>
        <v>2 - 2</v>
      </c>
      <c r="X30" s="165" t="str">
        <f t="shared" ca="1" si="5"/>
        <v>2 - 0</v>
      </c>
    </row>
    <row r="31" spans="1:24" hidden="1">
      <c r="A31" s="162">
        <v>30</v>
      </c>
      <c r="B31" s="166" t="str">
        <f>VLOOKUP($A31,Willem!$B$14:$N$89,4,0)&amp;"-"&amp;VLOOKUP($A31,Willem!$B$14:$N$89,6,0)</f>
        <v>Portugal  -  Noord-Korea</v>
      </c>
      <c r="C31" s="166" t="str">
        <f ca="1">VLOOKUP($A31,INDIRECT(C$1&amp;"!$B$14:$N$89"),7,0)&amp;" - "&amp;VLOOKUP($A31,INDIRECT(C$1&amp;"!$B$14:$N$89"),9,0)</f>
        <v>1 - 0</v>
      </c>
      <c r="D31" s="166" t="str">
        <f t="shared" ca="1" si="4"/>
        <v>1 - 0</v>
      </c>
      <c r="E31" s="166" t="str">
        <f ca="1">VLOOKUP($A31,INDIRECT(E$1&amp;"!$B$14:$N$89"),7,0)&amp;" - "&amp;VLOOKUP($A31,INDIRECT(E$1&amp;"!$B$14:$N$89"),9,0)</f>
        <v>3 - 0</v>
      </c>
      <c r="F31" s="166" t="str">
        <f ca="1">VLOOKUP($A31,INDIRECT(F$1&amp;"!$B$14:$N$89"),7,0)&amp;" - "&amp;VLOOKUP($A31,INDIRECT(F$1&amp;"!$B$14:$N$89"),9,0)</f>
        <v>2 - 0</v>
      </c>
      <c r="G31" s="166" t="str">
        <f t="shared" ca="1" si="4"/>
        <v>1 - 1</v>
      </c>
      <c r="H31" s="166" t="str">
        <f ca="1">VLOOKUP($A31,INDIRECT(H$1&amp;"!$B$14:$N$89"),7,0)&amp;" - "&amp;VLOOKUP($A31,INDIRECT(H$1&amp;"!$B$14:$N$89"),9,0)</f>
        <v>2 - 0</v>
      </c>
      <c r="I31" s="166" t="str">
        <f ca="1">VLOOKUP($A31,INDIRECT(I$1&amp;"!$B$14:$N$89"),7,0)&amp;" - "&amp;VLOOKUP($A31,INDIRECT(I$1&amp;"!$B$14:$N$89"),9,0)</f>
        <v>3 - 0</v>
      </c>
      <c r="J31" s="166" t="str">
        <f ca="1">VLOOKUP($A31,INDIRECT(J$1&amp;"!$B$14:$N$89"),7,0)&amp;" - "&amp;VLOOKUP($A31,INDIRECT(J$1&amp;"!$B$14:$N$89"),9,0)</f>
        <v>2 - 0</v>
      </c>
      <c r="K31" s="166" t="str">
        <f ca="1">VLOOKUP($A31,INDIRECT(K$1&amp;"!$B$14:$N$89"),7,0)&amp;" - "&amp;VLOOKUP($A31,INDIRECT(K$1&amp;"!$B$14:$N$89"),9,0)</f>
        <v>3 - 1</v>
      </c>
      <c r="L31" s="166" t="str">
        <f ca="1">VLOOKUP($A31,INDIRECT(L$1&amp;"!$B$14:$N$89"),7,0)&amp;" - "&amp;VLOOKUP($A31,INDIRECT(L$1&amp;"!$B$14:$N$89"),9,0)</f>
        <v>1 - 1</v>
      </c>
      <c r="M31" s="166" t="str">
        <f ca="1">VLOOKUP($A31,INDIRECT(M$1&amp;"!$B$14:$N$89"),7,0)&amp;" - "&amp;VLOOKUP($A31,INDIRECT(M$1&amp;"!$B$14:$N$89"),9,0)</f>
        <v>2 - 0</v>
      </c>
      <c r="N31" s="166" t="str">
        <f ca="1">VLOOKUP($A31,INDIRECT(N$1&amp;"!$B$14:$N$89"),7,0)&amp;" - "&amp;VLOOKUP($A31,INDIRECT(N$1&amp;"!$B$14:$N$89"),9,0)</f>
        <v>1 - 0</v>
      </c>
      <c r="O31" s="166" t="str">
        <f t="shared" ca="1" si="4"/>
        <v>2 - 0</v>
      </c>
      <c r="P31" s="166" t="str">
        <f t="shared" ca="1" si="4"/>
        <v>3 - 0</v>
      </c>
      <c r="Q31" s="166" t="str">
        <f t="shared" ca="1" si="4"/>
        <v>2 - 1</v>
      </c>
      <c r="R31" s="166" t="str">
        <f t="shared" ca="1" si="4"/>
        <v>3 - 0</v>
      </c>
      <c r="S31" s="166" t="str">
        <f t="shared" ca="1" si="4"/>
        <v>2 - 0</v>
      </c>
      <c r="T31" s="166" t="str">
        <f t="shared" ca="1" si="5"/>
        <v>1 - 0</v>
      </c>
      <c r="U31" s="166" t="str">
        <f t="shared" ca="1" si="5"/>
        <v>2 - 0</v>
      </c>
      <c r="V31" s="166" t="str">
        <f t="shared" ca="1" si="5"/>
        <v>2 - 0</v>
      </c>
      <c r="W31" s="166" t="str">
        <f t="shared" ca="1" si="5"/>
        <v>1 - 0</v>
      </c>
      <c r="X31" s="166" t="str">
        <f t="shared" ca="1" si="5"/>
        <v>3 - 0</v>
      </c>
    </row>
    <row r="32" spans="1:24" hidden="1">
      <c r="A32" s="162">
        <v>31</v>
      </c>
      <c r="B32" s="165" t="str">
        <f>VLOOKUP($A32,Willem!$B$14:$N$89,4,0)&amp;"-"&amp;VLOOKUP($A32,Willem!$B$14:$N$89,6,0)</f>
        <v>Chili  -  Zwitserland</v>
      </c>
      <c r="C32" s="165" t="str">
        <f ca="1">VLOOKUP($A32,INDIRECT(C$1&amp;"!$B$14:$N$89"),7,0)&amp;" - "&amp;VLOOKUP($A32,INDIRECT(C$1&amp;"!$B$14:$N$89"),9,0)</f>
        <v>1 - 0</v>
      </c>
      <c r="D32" s="165" t="str">
        <f t="shared" ref="D32:S41" ca="1" si="6">VLOOKUP($A32,INDIRECT(D$1&amp;"!$B$14:$N$89"),7,0)&amp;" - "&amp;VLOOKUP($A32,INDIRECT(D$1&amp;"!$B$14:$N$89"),9,0)</f>
        <v>1 - 0</v>
      </c>
      <c r="E32" s="165" t="str">
        <f ca="1">VLOOKUP($A32,INDIRECT(E$1&amp;"!$B$14:$N$89"),7,0)&amp;" - "&amp;VLOOKUP($A32,INDIRECT(E$1&amp;"!$B$14:$N$89"),9,0)</f>
        <v>1 - 1</v>
      </c>
      <c r="F32" s="165" t="str">
        <f ca="1">VLOOKUP($A32,INDIRECT(F$1&amp;"!$B$14:$N$89"),7,0)&amp;" - "&amp;VLOOKUP($A32,INDIRECT(F$1&amp;"!$B$14:$N$89"),9,0)</f>
        <v>1 - 2</v>
      </c>
      <c r="G32" s="165" t="str">
        <f t="shared" ca="1" si="6"/>
        <v>2 - 0</v>
      </c>
      <c r="H32" s="165" t="str">
        <f ca="1">VLOOKUP($A32,INDIRECT(H$1&amp;"!$B$14:$N$89"),7,0)&amp;" - "&amp;VLOOKUP($A32,INDIRECT(H$1&amp;"!$B$14:$N$89"),9,0)</f>
        <v>2 - 0</v>
      </c>
      <c r="I32" s="165" t="str">
        <f ca="1">VLOOKUP($A32,INDIRECT(I$1&amp;"!$B$14:$N$89"),7,0)&amp;" - "&amp;VLOOKUP($A32,INDIRECT(I$1&amp;"!$B$14:$N$89"),9,0)</f>
        <v>2 - 2</v>
      </c>
      <c r="J32" s="165" t="str">
        <f ca="1">VLOOKUP($A32,INDIRECT(J$1&amp;"!$B$14:$N$89"),7,0)&amp;" - "&amp;VLOOKUP($A32,INDIRECT(J$1&amp;"!$B$14:$N$89"),9,0)</f>
        <v>2 - 1</v>
      </c>
      <c r="K32" s="165" t="str">
        <f ca="1">VLOOKUP($A32,INDIRECT(K$1&amp;"!$B$14:$N$89"),7,0)&amp;" - "&amp;VLOOKUP($A32,INDIRECT(K$1&amp;"!$B$14:$N$89"),9,0)</f>
        <v>1 - 2</v>
      </c>
      <c r="L32" s="165" t="str">
        <f ca="1">VLOOKUP($A32,INDIRECT(L$1&amp;"!$B$14:$N$89"),7,0)&amp;" - "&amp;VLOOKUP($A32,INDIRECT(L$1&amp;"!$B$14:$N$89"),9,0)</f>
        <v>1 - 1</v>
      </c>
      <c r="M32" s="165" t="str">
        <f ca="1">VLOOKUP($A32,INDIRECT(M$1&amp;"!$B$14:$N$89"),7,0)&amp;" - "&amp;VLOOKUP($A32,INDIRECT(M$1&amp;"!$B$14:$N$89"),9,0)</f>
        <v>2 - 0</v>
      </c>
      <c r="N32" s="165" t="str">
        <f ca="1">VLOOKUP($A32,INDIRECT(N$1&amp;"!$B$14:$N$89"),7,0)&amp;" - "&amp;VLOOKUP($A32,INDIRECT(N$1&amp;"!$B$14:$N$89"),9,0)</f>
        <v>2 - 2</v>
      </c>
      <c r="O32" s="165" t="str">
        <f t="shared" ca="1" si="6"/>
        <v>1 - 0</v>
      </c>
      <c r="P32" s="165" t="str">
        <f t="shared" ca="1" si="6"/>
        <v>1 - 1</v>
      </c>
      <c r="Q32" s="165" t="str">
        <f t="shared" ca="1" si="6"/>
        <v>0 - 1</v>
      </c>
      <c r="R32" s="165" t="str">
        <f t="shared" ca="1" si="6"/>
        <v>1 - 1</v>
      </c>
      <c r="S32" s="165" t="str">
        <f t="shared" ca="1" si="6"/>
        <v>0 - 1</v>
      </c>
      <c r="T32" s="165" t="str">
        <f t="shared" ref="T32:X41" ca="1" si="7">VLOOKUP($A32,INDIRECT(T$1&amp;"!$B$14:$N$89"),7,0)&amp;" - "&amp;VLOOKUP($A32,INDIRECT(T$1&amp;"!$B$14:$N$89"),9,0)</f>
        <v>2 - 2</v>
      </c>
      <c r="U32" s="165" t="str">
        <f t="shared" ca="1" si="7"/>
        <v>1 - 1</v>
      </c>
      <c r="V32" s="165" t="str">
        <f t="shared" ca="1" si="7"/>
        <v>1 - 0</v>
      </c>
      <c r="W32" s="165" t="str">
        <f t="shared" ca="1" si="7"/>
        <v>1 - 1</v>
      </c>
      <c r="X32" s="165" t="str">
        <f t="shared" ca="1" si="7"/>
        <v>1 - 0</v>
      </c>
    </row>
    <row r="33" spans="1:24" hidden="1">
      <c r="A33" s="162">
        <v>32</v>
      </c>
      <c r="B33" s="166" t="str">
        <f>VLOOKUP($A33,Willem!$B$14:$N$89,4,0)&amp;"-"&amp;VLOOKUP($A33,Willem!$B$14:$N$89,6,0)</f>
        <v>Spanje  -  Honduras</v>
      </c>
      <c r="C33" s="166" t="str">
        <f ca="1">VLOOKUP($A33,INDIRECT(C$1&amp;"!$B$14:$N$89"),7,0)&amp;" - "&amp;VLOOKUP($A33,INDIRECT(C$1&amp;"!$B$14:$N$89"),9,0)</f>
        <v>3 - 0</v>
      </c>
      <c r="D33" s="166" t="str">
        <f t="shared" ca="1" si="6"/>
        <v>2 - 0</v>
      </c>
      <c r="E33" s="166" t="str">
        <f ca="1">VLOOKUP($A33,INDIRECT(E$1&amp;"!$B$14:$N$89"),7,0)&amp;" - "&amp;VLOOKUP($A33,INDIRECT(E$1&amp;"!$B$14:$N$89"),9,0)</f>
        <v>2 - 0</v>
      </c>
      <c r="F33" s="166" t="str">
        <f ca="1">VLOOKUP($A33,INDIRECT(F$1&amp;"!$B$14:$N$89"),7,0)&amp;" - "&amp;VLOOKUP($A33,INDIRECT(F$1&amp;"!$B$14:$N$89"),9,0)</f>
        <v>4 - 0</v>
      </c>
      <c r="G33" s="166" t="str">
        <f t="shared" ca="1" si="6"/>
        <v>1 - 1</v>
      </c>
      <c r="H33" s="166" t="str">
        <f ca="1">VLOOKUP($A33,INDIRECT(H$1&amp;"!$B$14:$N$89"),7,0)&amp;" - "&amp;VLOOKUP($A33,INDIRECT(H$1&amp;"!$B$14:$N$89"),9,0)</f>
        <v>1 - 0</v>
      </c>
      <c r="I33" s="166" t="str">
        <f ca="1">VLOOKUP($A33,INDIRECT(I$1&amp;"!$B$14:$N$89"),7,0)&amp;" - "&amp;VLOOKUP($A33,INDIRECT(I$1&amp;"!$B$14:$N$89"),9,0)</f>
        <v>3 - 0</v>
      </c>
      <c r="J33" s="166" t="str">
        <f ca="1">VLOOKUP($A33,INDIRECT(J$1&amp;"!$B$14:$N$89"),7,0)&amp;" - "&amp;VLOOKUP($A33,INDIRECT(J$1&amp;"!$B$14:$N$89"),9,0)</f>
        <v>2 - 0</v>
      </c>
      <c r="K33" s="166" t="str">
        <f ca="1">VLOOKUP($A33,INDIRECT(K$1&amp;"!$B$14:$N$89"),7,0)&amp;" - "&amp;VLOOKUP($A33,INDIRECT(K$1&amp;"!$B$14:$N$89"),9,0)</f>
        <v>5 - 0</v>
      </c>
      <c r="L33" s="166" t="str">
        <f ca="1">VLOOKUP($A33,INDIRECT(L$1&amp;"!$B$14:$N$89"),7,0)&amp;" - "&amp;VLOOKUP($A33,INDIRECT(L$1&amp;"!$B$14:$N$89"),9,0)</f>
        <v>2 - 2</v>
      </c>
      <c r="M33" s="166" t="str">
        <f ca="1">VLOOKUP($A33,INDIRECT(M$1&amp;"!$B$14:$N$89"),7,0)&amp;" - "&amp;VLOOKUP($A33,INDIRECT(M$1&amp;"!$B$14:$N$89"),9,0)</f>
        <v>4 - 0</v>
      </c>
      <c r="N33" s="166" t="str">
        <f ca="1">VLOOKUP($A33,INDIRECT(N$1&amp;"!$B$14:$N$89"),7,0)&amp;" - "&amp;VLOOKUP($A33,INDIRECT(N$1&amp;"!$B$14:$N$89"),9,0)</f>
        <v>2 - 0</v>
      </c>
      <c r="O33" s="166" t="str">
        <f t="shared" ca="1" si="6"/>
        <v>2 - 1</v>
      </c>
      <c r="P33" s="166" t="str">
        <f t="shared" ca="1" si="6"/>
        <v>4 - 1</v>
      </c>
      <c r="Q33" s="166" t="str">
        <f t="shared" ca="1" si="6"/>
        <v>3 - 0</v>
      </c>
      <c r="R33" s="166" t="str">
        <f t="shared" ca="1" si="6"/>
        <v>3 - 0</v>
      </c>
      <c r="S33" s="166" t="str">
        <f t="shared" ca="1" si="6"/>
        <v>2 - 1</v>
      </c>
      <c r="T33" s="166" t="str">
        <f t="shared" ca="1" si="7"/>
        <v>5 - 0</v>
      </c>
      <c r="U33" s="166" t="str">
        <f t="shared" ca="1" si="7"/>
        <v>2 - 0</v>
      </c>
      <c r="V33" s="166" t="str">
        <f t="shared" ca="1" si="7"/>
        <v>1 - 0</v>
      </c>
      <c r="W33" s="166" t="str">
        <f t="shared" ca="1" si="7"/>
        <v>3 - 0</v>
      </c>
      <c r="X33" s="166" t="str">
        <f t="shared" ca="1" si="7"/>
        <v>4 - 1</v>
      </c>
    </row>
    <row r="34" spans="1:24" s="169" customFormat="1" hidden="1">
      <c r="A34" s="167">
        <v>33</v>
      </c>
      <c r="B34" s="168" t="str">
        <f>VLOOKUP($A34,Willem!$B$14:$N$89,4,0)&amp;"-"&amp;VLOOKUP($A34,Willem!$B$14:$N$89,6,0)</f>
        <v>Mexico  -  Uruguay</v>
      </c>
      <c r="C34" s="168" t="str">
        <f ca="1">VLOOKUP($A34,INDIRECT(C$1&amp;"!$B$14:$N$89"),7,0)&amp;" - "&amp;VLOOKUP($A34,INDIRECT(C$1&amp;"!$B$14:$N$89"),9,0)</f>
        <v>1 - 2</v>
      </c>
      <c r="D34" s="168" t="str">
        <f t="shared" ca="1" si="6"/>
        <v>0 - 0</v>
      </c>
      <c r="E34" s="168" t="str">
        <f ca="1">VLOOKUP($A34,INDIRECT(E$1&amp;"!$B$14:$N$89"),7,0)&amp;" - "&amp;VLOOKUP($A34,INDIRECT(E$1&amp;"!$B$14:$N$89"),9,0)</f>
        <v>0 - 0</v>
      </c>
      <c r="F34" s="168" t="str">
        <f ca="1">VLOOKUP($A34,INDIRECT(F$1&amp;"!$B$14:$N$89"),7,0)&amp;" - "&amp;VLOOKUP($A34,INDIRECT(F$1&amp;"!$B$14:$N$89"),9,0)</f>
        <v>1 - 1</v>
      </c>
      <c r="G34" s="168" t="str">
        <f t="shared" ca="1" si="6"/>
        <v>1 - 0</v>
      </c>
      <c r="H34" s="168" t="str">
        <f ca="1">VLOOKUP($A34,INDIRECT(H$1&amp;"!$B$14:$N$89"),7,0)&amp;" - "&amp;VLOOKUP($A34,INDIRECT(H$1&amp;"!$B$14:$N$89"),9,0)</f>
        <v>1 - 1</v>
      </c>
      <c r="I34" s="168" t="str">
        <f ca="1">VLOOKUP($A34,INDIRECT(I$1&amp;"!$B$14:$N$89"),7,0)&amp;" - "&amp;VLOOKUP($A34,INDIRECT(I$1&amp;"!$B$14:$N$89"),9,0)</f>
        <v>1 - 1</v>
      </c>
      <c r="J34" s="168" t="str">
        <f ca="1">VLOOKUP($A34,INDIRECT(J$1&amp;"!$B$14:$N$89"),7,0)&amp;" - "&amp;VLOOKUP($A34,INDIRECT(J$1&amp;"!$B$14:$N$89"),9,0)</f>
        <v>1 - 1</v>
      </c>
      <c r="K34" s="168" t="str">
        <f ca="1">VLOOKUP($A34,INDIRECT(K$1&amp;"!$B$14:$N$89"),7,0)&amp;" - "&amp;VLOOKUP($A34,INDIRECT(K$1&amp;"!$B$14:$N$89"),9,0)</f>
        <v>2 - 1</v>
      </c>
      <c r="L34" s="168" t="str">
        <f ca="1">VLOOKUP($A34,INDIRECT(L$1&amp;"!$B$14:$N$89"),7,0)&amp;" - "&amp;VLOOKUP($A34,INDIRECT(L$1&amp;"!$B$14:$N$89"),9,0)</f>
        <v>4 - 1</v>
      </c>
      <c r="M34" s="168" t="str">
        <f ca="1">VLOOKUP($A34,INDIRECT(M$1&amp;"!$B$14:$N$89"),7,0)&amp;" - "&amp;VLOOKUP($A34,INDIRECT(M$1&amp;"!$B$14:$N$89"),9,0)</f>
        <v>2 - 1</v>
      </c>
      <c r="N34" s="168" t="str">
        <f ca="1">VLOOKUP($A34,INDIRECT(N$1&amp;"!$B$14:$N$89"),7,0)&amp;" - "&amp;VLOOKUP($A34,INDIRECT(N$1&amp;"!$B$14:$N$89"),9,0)</f>
        <v>1 - 2</v>
      </c>
      <c r="O34" s="168" t="str">
        <f t="shared" ca="1" si="6"/>
        <v>2 - 1</v>
      </c>
      <c r="P34" s="168" t="str">
        <f t="shared" ca="1" si="6"/>
        <v>1 - 1</v>
      </c>
      <c r="Q34" s="168" t="str">
        <f t="shared" ca="1" si="6"/>
        <v>1 - 1</v>
      </c>
      <c r="R34" s="168" t="str">
        <f t="shared" ca="1" si="6"/>
        <v>0 - 1</v>
      </c>
      <c r="S34" s="168" t="str">
        <f t="shared" ca="1" si="6"/>
        <v>2 - 1</v>
      </c>
      <c r="T34" s="168" t="str">
        <f t="shared" ca="1" si="7"/>
        <v>1 - 0</v>
      </c>
      <c r="U34" s="168" t="str">
        <f t="shared" ca="1" si="7"/>
        <v>1 - 1</v>
      </c>
      <c r="V34" s="168" t="str">
        <f t="shared" ca="1" si="7"/>
        <v>1 - 0</v>
      </c>
      <c r="W34" s="168" t="str">
        <f t="shared" ca="1" si="7"/>
        <v>1 - 2</v>
      </c>
      <c r="X34" s="168" t="str">
        <f t="shared" ca="1" si="7"/>
        <v>2 - 2</v>
      </c>
    </row>
    <row r="35" spans="1:24" s="169" customFormat="1" hidden="1">
      <c r="A35" s="167">
        <v>34</v>
      </c>
      <c r="B35" s="170" t="str">
        <f>VLOOKUP($A35,Willem!$B$14:$N$89,4,0)&amp;"-"&amp;VLOOKUP($A35,Willem!$B$14:$N$89,6,0)</f>
        <v>Frankrijk  -  Zuid-Afrika</v>
      </c>
      <c r="C35" s="170" t="str">
        <f ca="1">VLOOKUP($A35,INDIRECT(C$1&amp;"!$B$14:$N$89"),7,0)&amp;" - "&amp;VLOOKUP($A35,INDIRECT(C$1&amp;"!$B$14:$N$89"),9,0)</f>
        <v>3 - 0</v>
      </c>
      <c r="D35" s="170" t="str">
        <f t="shared" ca="1" si="6"/>
        <v>1 - 1</v>
      </c>
      <c r="E35" s="170" t="str">
        <f ca="1">VLOOKUP($A35,INDIRECT(E$1&amp;"!$B$14:$N$89"),7,0)&amp;" - "&amp;VLOOKUP($A35,INDIRECT(E$1&amp;"!$B$14:$N$89"),9,0)</f>
        <v>3 - 0</v>
      </c>
      <c r="F35" s="170" t="str">
        <f ca="1">VLOOKUP($A35,INDIRECT(F$1&amp;"!$B$14:$N$89"),7,0)&amp;" - "&amp;VLOOKUP($A35,INDIRECT(F$1&amp;"!$B$14:$N$89"),9,0)</f>
        <v>2 - 2</v>
      </c>
      <c r="G35" s="170" t="str">
        <f t="shared" ca="1" si="6"/>
        <v>2 - 0</v>
      </c>
      <c r="H35" s="170" t="str">
        <f ca="1">VLOOKUP($A35,INDIRECT(H$1&amp;"!$B$14:$N$89"),7,0)&amp;" - "&amp;VLOOKUP($A35,INDIRECT(H$1&amp;"!$B$14:$N$89"),9,0)</f>
        <v>5 - 1</v>
      </c>
      <c r="I35" s="170" t="str">
        <f ca="1">VLOOKUP($A35,INDIRECT(I$1&amp;"!$B$14:$N$89"),7,0)&amp;" - "&amp;VLOOKUP($A35,INDIRECT(I$1&amp;"!$B$14:$N$89"),9,0)</f>
        <v>2 - 0</v>
      </c>
      <c r="J35" s="170" t="str">
        <f ca="1">VLOOKUP($A35,INDIRECT(J$1&amp;"!$B$14:$N$89"),7,0)&amp;" - "&amp;VLOOKUP($A35,INDIRECT(J$1&amp;"!$B$14:$N$89"),9,0)</f>
        <v>3 - 1</v>
      </c>
      <c r="K35" s="170" t="str">
        <f ca="1">VLOOKUP($A35,INDIRECT(K$1&amp;"!$B$14:$N$89"),7,0)&amp;" - "&amp;VLOOKUP($A35,INDIRECT(K$1&amp;"!$B$14:$N$89"),9,0)</f>
        <v>3 - 0</v>
      </c>
      <c r="L35" s="170" t="str">
        <f ca="1">VLOOKUP($A35,INDIRECT(L$1&amp;"!$B$14:$N$89"),7,0)&amp;" - "&amp;VLOOKUP($A35,INDIRECT(L$1&amp;"!$B$14:$N$89"),9,0)</f>
        <v>2 - 1</v>
      </c>
      <c r="M35" s="170" t="str">
        <f ca="1">VLOOKUP($A35,INDIRECT(M$1&amp;"!$B$14:$N$89"),7,0)&amp;" - "&amp;VLOOKUP($A35,INDIRECT(M$1&amp;"!$B$14:$N$89"),9,0)</f>
        <v>3 - 1</v>
      </c>
      <c r="N35" s="170" t="str">
        <f ca="1">VLOOKUP($A35,INDIRECT(N$1&amp;"!$B$14:$N$89"),7,0)&amp;" - "&amp;VLOOKUP($A35,INDIRECT(N$1&amp;"!$B$14:$N$89"),9,0)</f>
        <v>2 - 0</v>
      </c>
      <c r="O35" s="170" t="str">
        <f t="shared" ca="1" si="6"/>
        <v>2 - 1</v>
      </c>
      <c r="P35" s="170" t="str">
        <f t="shared" ca="1" si="6"/>
        <v>1 - 0</v>
      </c>
      <c r="Q35" s="170" t="str">
        <f t="shared" ca="1" si="6"/>
        <v>2 - 0</v>
      </c>
      <c r="R35" s="170" t="str">
        <f t="shared" ca="1" si="6"/>
        <v>2 - 0</v>
      </c>
      <c r="S35" s="170" t="str">
        <f t="shared" ca="1" si="6"/>
        <v>2 - 0</v>
      </c>
      <c r="T35" s="170" t="str">
        <f t="shared" ca="1" si="7"/>
        <v>3 - 1</v>
      </c>
      <c r="U35" s="170" t="str">
        <f t="shared" ca="1" si="7"/>
        <v>3 - 0</v>
      </c>
      <c r="V35" s="170" t="str">
        <f t="shared" ca="1" si="7"/>
        <v>2 - 1</v>
      </c>
      <c r="W35" s="170" t="str">
        <f t="shared" ca="1" si="7"/>
        <v>1 - 0</v>
      </c>
      <c r="X35" s="170" t="str">
        <f t="shared" ca="1" si="7"/>
        <v>0 - 1</v>
      </c>
    </row>
    <row r="36" spans="1:24" s="169" customFormat="1" hidden="1">
      <c r="A36" s="167">
        <v>35</v>
      </c>
      <c r="B36" s="168" t="str">
        <f>VLOOKUP($A36,Willem!$B$14:$N$89,4,0)&amp;"-"&amp;VLOOKUP($A36,Willem!$B$14:$N$89,6,0)</f>
        <v>Nigeria-  Zuid-Korea</v>
      </c>
      <c r="C36" s="168" t="str">
        <f ca="1">VLOOKUP($A36,INDIRECT(C$1&amp;"!$B$14:$N$89"),7,0)&amp;" - "&amp;VLOOKUP($A36,INDIRECT(C$1&amp;"!$B$14:$N$89"),9,0)</f>
        <v>2 - 0</v>
      </c>
      <c r="D36" s="168" t="str">
        <f t="shared" ca="1" si="6"/>
        <v>2 - 0</v>
      </c>
      <c r="E36" s="168" t="str">
        <f ca="1">VLOOKUP($A36,INDIRECT(E$1&amp;"!$B$14:$N$89"),7,0)&amp;" - "&amp;VLOOKUP($A36,INDIRECT(E$1&amp;"!$B$14:$N$89"),9,0)</f>
        <v>0 - 1</v>
      </c>
      <c r="F36" s="168" t="str">
        <f ca="1">VLOOKUP($A36,INDIRECT(F$1&amp;"!$B$14:$N$89"),7,0)&amp;" - "&amp;VLOOKUP($A36,INDIRECT(F$1&amp;"!$B$14:$N$89"),9,0)</f>
        <v>1 - 2</v>
      </c>
      <c r="G36" s="168" t="str">
        <f t="shared" ca="1" si="6"/>
        <v>1 - 2</v>
      </c>
      <c r="H36" s="168" t="str">
        <f ca="1">VLOOKUP($A36,INDIRECT(H$1&amp;"!$B$14:$N$89"),7,0)&amp;" - "&amp;VLOOKUP($A36,INDIRECT(H$1&amp;"!$B$14:$N$89"),9,0)</f>
        <v>3 - 0</v>
      </c>
      <c r="I36" s="168" t="str">
        <f ca="1">VLOOKUP($A36,INDIRECT(I$1&amp;"!$B$14:$N$89"),7,0)&amp;" - "&amp;VLOOKUP($A36,INDIRECT(I$1&amp;"!$B$14:$N$89"),9,0)</f>
        <v>1 - 0</v>
      </c>
      <c r="J36" s="168" t="str">
        <f ca="1">VLOOKUP($A36,INDIRECT(J$1&amp;"!$B$14:$N$89"),7,0)&amp;" - "&amp;VLOOKUP($A36,INDIRECT(J$1&amp;"!$B$14:$N$89"),9,0)</f>
        <v>2 - 1</v>
      </c>
      <c r="K36" s="168" t="str">
        <f ca="1">VLOOKUP($A36,INDIRECT(K$1&amp;"!$B$14:$N$89"),7,0)&amp;" - "&amp;VLOOKUP($A36,INDIRECT(K$1&amp;"!$B$14:$N$89"),9,0)</f>
        <v>0 - 1</v>
      </c>
      <c r="L36" s="168" t="str">
        <f ca="1">VLOOKUP($A36,INDIRECT(L$1&amp;"!$B$14:$N$89"),7,0)&amp;" - "&amp;VLOOKUP($A36,INDIRECT(L$1&amp;"!$B$14:$N$89"),9,0)</f>
        <v>0 - 2</v>
      </c>
      <c r="M36" s="168" t="str">
        <f ca="1">VLOOKUP($A36,INDIRECT(M$1&amp;"!$B$14:$N$89"),7,0)&amp;" - "&amp;VLOOKUP($A36,INDIRECT(M$1&amp;"!$B$14:$N$89"),9,0)</f>
        <v>2 - 1</v>
      </c>
      <c r="N36" s="168" t="str">
        <f ca="1">VLOOKUP($A36,INDIRECT(N$1&amp;"!$B$14:$N$89"),7,0)&amp;" - "&amp;VLOOKUP($A36,INDIRECT(N$1&amp;"!$B$14:$N$89"),9,0)</f>
        <v>2 - 0</v>
      </c>
      <c r="O36" s="168" t="str">
        <f t="shared" ca="1" si="6"/>
        <v>1 - 0</v>
      </c>
      <c r="P36" s="168" t="str">
        <f t="shared" ca="1" si="6"/>
        <v>2 - 2</v>
      </c>
      <c r="Q36" s="168" t="str">
        <f t="shared" ca="1" si="6"/>
        <v>1 - 1</v>
      </c>
      <c r="R36" s="168" t="str">
        <f t="shared" ca="1" si="6"/>
        <v>2 - 1</v>
      </c>
      <c r="S36" s="168" t="str">
        <f t="shared" ca="1" si="6"/>
        <v>0 - 1</v>
      </c>
      <c r="T36" s="168" t="str">
        <f t="shared" ca="1" si="7"/>
        <v>1 - 0</v>
      </c>
      <c r="U36" s="168" t="str">
        <f t="shared" ca="1" si="7"/>
        <v>1 - 1</v>
      </c>
      <c r="V36" s="168" t="str">
        <f t="shared" ca="1" si="7"/>
        <v>1 - 0</v>
      </c>
      <c r="W36" s="168" t="str">
        <f t="shared" ca="1" si="7"/>
        <v>2 - 0</v>
      </c>
      <c r="X36" s="168" t="str">
        <f t="shared" ca="1" si="7"/>
        <v>1 - 2</v>
      </c>
    </row>
    <row r="37" spans="1:24" s="169" customFormat="1" hidden="1">
      <c r="A37" s="167">
        <v>36</v>
      </c>
      <c r="B37" s="170" t="str">
        <f>VLOOKUP($A37,Willem!$B$14:$N$89,4,0)&amp;"-"&amp;VLOOKUP($A37,Willem!$B$14:$N$89,6,0)</f>
        <v>Griekenland-  Argentinië</v>
      </c>
      <c r="C37" s="170" t="str">
        <f ca="1">VLOOKUP($A37,INDIRECT(C$1&amp;"!$B$14:$N$89"),7,0)&amp;" - "&amp;VLOOKUP($A37,INDIRECT(C$1&amp;"!$B$14:$N$89"),9,0)</f>
        <v>2 - 2</v>
      </c>
      <c r="D37" s="170" t="str">
        <f t="shared" ca="1" si="6"/>
        <v>0 - 2</v>
      </c>
      <c r="E37" s="170" t="str">
        <f ca="1">VLOOKUP($A37,INDIRECT(E$1&amp;"!$B$14:$N$89"),7,0)&amp;" - "&amp;VLOOKUP($A37,INDIRECT(E$1&amp;"!$B$14:$N$89"),9,0)</f>
        <v>0 - 1</v>
      </c>
      <c r="F37" s="170" t="str">
        <f ca="1">VLOOKUP($A37,INDIRECT(F$1&amp;"!$B$14:$N$89"),7,0)&amp;" - "&amp;VLOOKUP($A37,INDIRECT(F$1&amp;"!$B$14:$N$89"),9,0)</f>
        <v>1 - 4</v>
      </c>
      <c r="G37" s="170" t="str">
        <f t="shared" ca="1" si="6"/>
        <v>1 - 1</v>
      </c>
      <c r="H37" s="170" t="str">
        <f ca="1">VLOOKUP($A37,INDIRECT(H$1&amp;"!$B$14:$N$89"),7,0)&amp;" - "&amp;VLOOKUP($A37,INDIRECT(H$1&amp;"!$B$14:$N$89"),9,0)</f>
        <v>1 - 2</v>
      </c>
      <c r="I37" s="170" t="str">
        <f ca="1">VLOOKUP($A37,INDIRECT(I$1&amp;"!$B$14:$N$89"),7,0)&amp;" - "&amp;VLOOKUP($A37,INDIRECT(I$1&amp;"!$B$14:$N$89"),9,0)</f>
        <v>0 - 0</v>
      </c>
      <c r="J37" s="170" t="str">
        <f ca="1">VLOOKUP($A37,INDIRECT(J$1&amp;"!$B$14:$N$89"),7,0)&amp;" - "&amp;VLOOKUP($A37,INDIRECT(J$1&amp;"!$B$14:$N$89"),9,0)</f>
        <v>0 - 1</v>
      </c>
      <c r="K37" s="170" t="str">
        <f ca="1">VLOOKUP($A37,INDIRECT(K$1&amp;"!$B$14:$N$89"),7,0)&amp;" - "&amp;VLOOKUP($A37,INDIRECT(K$1&amp;"!$B$14:$N$89"),9,0)</f>
        <v>0 - 4</v>
      </c>
      <c r="L37" s="170" t="str">
        <f ca="1">VLOOKUP($A37,INDIRECT(L$1&amp;"!$B$14:$N$89"),7,0)&amp;" - "&amp;VLOOKUP($A37,INDIRECT(L$1&amp;"!$B$14:$N$89"),9,0)</f>
        <v>0 - 2</v>
      </c>
      <c r="M37" s="170" t="str">
        <f ca="1">VLOOKUP($A37,INDIRECT(M$1&amp;"!$B$14:$N$89"),7,0)&amp;" - "&amp;VLOOKUP($A37,INDIRECT(M$1&amp;"!$B$14:$N$89"),9,0)</f>
        <v>0 - 1</v>
      </c>
      <c r="N37" s="170" t="str">
        <f ca="1">VLOOKUP($A37,INDIRECT(N$1&amp;"!$B$14:$N$89"),7,0)&amp;" - "&amp;VLOOKUP($A37,INDIRECT(N$1&amp;"!$B$14:$N$89"),9,0)</f>
        <v>0 - 2</v>
      </c>
      <c r="O37" s="170" t="str">
        <f t="shared" ca="1" si="6"/>
        <v>0 - 1</v>
      </c>
      <c r="P37" s="170" t="str">
        <f t="shared" ca="1" si="6"/>
        <v>0 - 2</v>
      </c>
      <c r="Q37" s="170" t="str">
        <f t="shared" ca="1" si="6"/>
        <v>0 - 2</v>
      </c>
      <c r="R37" s="170" t="str">
        <f t="shared" ca="1" si="6"/>
        <v>0 - 1</v>
      </c>
      <c r="S37" s="170" t="str">
        <f t="shared" ca="1" si="6"/>
        <v>0 - 3</v>
      </c>
      <c r="T37" s="170" t="str">
        <f t="shared" ca="1" si="7"/>
        <v>1 - 3</v>
      </c>
      <c r="U37" s="170" t="str">
        <f t="shared" ca="1" si="7"/>
        <v>1 - 2</v>
      </c>
      <c r="V37" s="170" t="str">
        <f t="shared" ca="1" si="7"/>
        <v>0 - 1</v>
      </c>
      <c r="W37" s="170" t="str">
        <f t="shared" ca="1" si="7"/>
        <v>0 - 0</v>
      </c>
      <c r="X37" s="170" t="str">
        <f t="shared" ca="1" si="7"/>
        <v>0 - 1</v>
      </c>
    </row>
    <row r="38" spans="1:24" s="169" customFormat="1" hidden="1">
      <c r="A38" s="167">
        <v>37</v>
      </c>
      <c r="B38" s="168" t="str">
        <f>VLOOKUP($A38,Willem!$B$14:$N$89,4,0)&amp;"-"&amp;VLOOKUP($A38,Willem!$B$14:$N$89,6,0)</f>
        <v>Slovenië-  Engeland</v>
      </c>
      <c r="C38" s="168" t="str">
        <f ca="1">VLOOKUP($A38,INDIRECT(C$1&amp;"!$B$14:$N$89"),7,0)&amp;" - "&amp;VLOOKUP($A38,INDIRECT(C$1&amp;"!$B$14:$N$89"),9,0)</f>
        <v>1 - 3</v>
      </c>
      <c r="D38" s="168" t="str">
        <f t="shared" ca="1" si="6"/>
        <v>1 - 2</v>
      </c>
      <c r="E38" s="168" t="str">
        <f ca="1">VLOOKUP($A38,INDIRECT(E$1&amp;"!$B$14:$N$89"),7,0)&amp;" - "&amp;VLOOKUP($A38,INDIRECT(E$1&amp;"!$B$14:$N$89"),9,0)</f>
        <v>2 - 2</v>
      </c>
      <c r="F38" s="168" t="str">
        <f ca="1">VLOOKUP($A38,INDIRECT(F$1&amp;"!$B$14:$N$89"),7,0)&amp;" - "&amp;VLOOKUP($A38,INDIRECT(F$1&amp;"!$B$14:$N$89"),9,0)</f>
        <v>0 - 3</v>
      </c>
      <c r="G38" s="168" t="str">
        <f t="shared" ca="1" si="6"/>
        <v>1 - 1</v>
      </c>
      <c r="H38" s="168" t="str">
        <f ca="1">VLOOKUP($A38,INDIRECT(H$1&amp;"!$B$14:$N$89"),7,0)&amp;" - "&amp;VLOOKUP($A38,INDIRECT(H$1&amp;"!$B$14:$N$89"),9,0)</f>
        <v>0 - 3</v>
      </c>
      <c r="I38" s="168" t="str">
        <f ca="1">VLOOKUP($A38,INDIRECT(I$1&amp;"!$B$14:$N$89"),7,0)&amp;" - "&amp;VLOOKUP($A38,INDIRECT(I$1&amp;"!$B$14:$N$89"),9,0)</f>
        <v>1 - 2</v>
      </c>
      <c r="J38" s="168" t="str">
        <f ca="1">VLOOKUP($A38,INDIRECT(J$1&amp;"!$B$14:$N$89"),7,0)&amp;" - "&amp;VLOOKUP($A38,INDIRECT(J$1&amp;"!$B$14:$N$89"),9,0)</f>
        <v>1 - 2</v>
      </c>
      <c r="K38" s="168" t="str">
        <f ca="1">VLOOKUP($A38,INDIRECT(K$1&amp;"!$B$14:$N$89"),7,0)&amp;" - "&amp;VLOOKUP($A38,INDIRECT(K$1&amp;"!$B$14:$N$89"),9,0)</f>
        <v>1 - 2</v>
      </c>
      <c r="L38" s="168" t="str">
        <f ca="1">VLOOKUP($A38,INDIRECT(L$1&amp;"!$B$14:$N$89"),7,0)&amp;" - "&amp;VLOOKUP($A38,INDIRECT(L$1&amp;"!$B$14:$N$89"),9,0)</f>
        <v>1 - 1</v>
      </c>
      <c r="M38" s="168" t="str">
        <f ca="1">VLOOKUP($A38,INDIRECT(M$1&amp;"!$B$14:$N$89"),7,0)&amp;" - "&amp;VLOOKUP($A38,INDIRECT(M$1&amp;"!$B$14:$N$89"),9,0)</f>
        <v>0 - 2</v>
      </c>
      <c r="N38" s="168" t="str">
        <f ca="1">VLOOKUP($A38,INDIRECT(N$1&amp;"!$B$14:$N$89"),7,0)&amp;" - "&amp;VLOOKUP($A38,INDIRECT(N$1&amp;"!$B$14:$N$89"),9,0)</f>
        <v>0 - 3</v>
      </c>
      <c r="O38" s="168" t="str">
        <f t="shared" ca="1" si="6"/>
        <v>1 - 2</v>
      </c>
      <c r="P38" s="168" t="str">
        <f t="shared" ca="1" si="6"/>
        <v>1 - 2</v>
      </c>
      <c r="Q38" s="168" t="str">
        <f t="shared" ca="1" si="6"/>
        <v>0 - 2</v>
      </c>
      <c r="R38" s="168" t="str">
        <f t="shared" ca="1" si="6"/>
        <v>1 - 2</v>
      </c>
      <c r="S38" s="168" t="str">
        <f t="shared" ca="1" si="6"/>
        <v>0 - 1</v>
      </c>
      <c r="T38" s="168" t="str">
        <f t="shared" ca="1" si="7"/>
        <v>1 - 2</v>
      </c>
      <c r="U38" s="168" t="str">
        <f t="shared" ca="1" si="7"/>
        <v>0 - 2</v>
      </c>
      <c r="V38" s="168" t="str">
        <f t="shared" ca="1" si="7"/>
        <v>1 - 1</v>
      </c>
      <c r="W38" s="168" t="str">
        <f t="shared" ca="1" si="7"/>
        <v>1 - 1</v>
      </c>
      <c r="X38" s="168" t="str">
        <f t="shared" ca="1" si="7"/>
        <v>1 - 1</v>
      </c>
    </row>
    <row r="39" spans="1:24" s="169" customFormat="1" hidden="1">
      <c r="A39" s="167">
        <v>38</v>
      </c>
      <c r="B39" s="170" t="str">
        <f>VLOOKUP($A39,Willem!$B$14:$N$89,4,0)&amp;"-"&amp;VLOOKUP($A39,Willem!$B$14:$N$89,6,0)</f>
        <v>USA-  Algerije</v>
      </c>
      <c r="C39" s="170" t="str">
        <f ca="1">VLOOKUP($A39,INDIRECT(C$1&amp;"!$B$14:$N$89"),7,0)&amp;" - "&amp;VLOOKUP($A39,INDIRECT(C$1&amp;"!$B$14:$N$89"),9,0)</f>
        <v>2 - 0</v>
      </c>
      <c r="D39" s="170" t="str">
        <f t="shared" ca="1" si="6"/>
        <v>0 - 0</v>
      </c>
      <c r="E39" s="170" t="str">
        <f ca="1">VLOOKUP($A39,INDIRECT(E$1&amp;"!$B$14:$N$89"),7,0)&amp;" - "&amp;VLOOKUP($A39,INDIRECT(E$1&amp;"!$B$14:$N$89"),9,0)</f>
        <v>2 - 0</v>
      </c>
      <c r="F39" s="170" t="str">
        <f ca="1">VLOOKUP($A39,INDIRECT(F$1&amp;"!$B$14:$N$89"),7,0)&amp;" - "&amp;VLOOKUP($A39,INDIRECT(F$1&amp;"!$B$14:$N$89"),9,0)</f>
        <v>1 - 2</v>
      </c>
      <c r="G39" s="170" t="str">
        <f t="shared" ca="1" si="6"/>
        <v>2 - 0</v>
      </c>
      <c r="H39" s="170" t="str">
        <f ca="1">VLOOKUP($A39,INDIRECT(H$1&amp;"!$B$14:$N$89"),7,0)&amp;" - "&amp;VLOOKUP($A39,INDIRECT(H$1&amp;"!$B$14:$N$89"),9,0)</f>
        <v>3 - 0</v>
      </c>
      <c r="I39" s="170" t="str">
        <f ca="1">VLOOKUP($A39,INDIRECT(I$1&amp;"!$B$14:$N$89"),7,0)&amp;" - "&amp;VLOOKUP($A39,INDIRECT(I$1&amp;"!$B$14:$N$89"),9,0)</f>
        <v>2 - 0</v>
      </c>
      <c r="J39" s="170" t="str">
        <f ca="1">VLOOKUP($A39,INDIRECT(J$1&amp;"!$B$14:$N$89"),7,0)&amp;" - "&amp;VLOOKUP($A39,INDIRECT(J$1&amp;"!$B$14:$N$89"),9,0)</f>
        <v>1 - 2</v>
      </c>
      <c r="K39" s="170" t="str">
        <f ca="1">VLOOKUP($A39,INDIRECT(K$1&amp;"!$B$14:$N$89"),7,0)&amp;" - "&amp;VLOOKUP($A39,INDIRECT(K$1&amp;"!$B$14:$N$89"),9,0)</f>
        <v>3 - 0</v>
      </c>
      <c r="L39" s="170" t="str">
        <f ca="1">VLOOKUP($A39,INDIRECT(L$1&amp;"!$B$14:$N$89"),7,0)&amp;" - "&amp;VLOOKUP($A39,INDIRECT(L$1&amp;"!$B$14:$N$89"),9,0)</f>
        <v>1 - 0</v>
      </c>
      <c r="M39" s="170" t="str">
        <f ca="1">VLOOKUP($A39,INDIRECT(M$1&amp;"!$B$14:$N$89"),7,0)&amp;" - "&amp;VLOOKUP($A39,INDIRECT(M$1&amp;"!$B$14:$N$89"),9,0)</f>
        <v>3 - 0</v>
      </c>
      <c r="N39" s="170" t="str">
        <f ca="1">VLOOKUP($A39,INDIRECT(N$1&amp;"!$B$14:$N$89"),7,0)&amp;" - "&amp;VLOOKUP($A39,INDIRECT(N$1&amp;"!$B$14:$N$89"),9,0)</f>
        <v>1 - 0</v>
      </c>
      <c r="O39" s="170" t="str">
        <f t="shared" ca="1" si="6"/>
        <v>1 - 0</v>
      </c>
      <c r="P39" s="170" t="str">
        <f t="shared" ca="1" si="6"/>
        <v>3 - 1</v>
      </c>
      <c r="Q39" s="170" t="str">
        <f t="shared" ca="1" si="6"/>
        <v>2 - 2</v>
      </c>
      <c r="R39" s="170" t="str">
        <f t="shared" ca="1" si="6"/>
        <v>0 - 1</v>
      </c>
      <c r="S39" s="170" t="str">
        <f t="shared" ca="1" si="6"/>
        <v>1 - 0</v>
      </c>
      <c r="T39" s="170" t="str">
        <f t="shared" ca="1" si="7"/>
        <v>0 - 1</v>
      </c>
      <c r="U39" s="170" t="str">
        <f t="shared" ca="1" si="7"/>
        <v>1 - 0</v>
      </c>
      <c r="V39" s="170" t="str">
        <f t="shared" ca="1" si="7"/>
        <v>1 - 0</v>
      </c>
      <c r="W39" s="170" t="str">
        <f t="shared" ca="1" si="7"/>
        <v>0 - 0</v>
      </c>
      <c r="X39" s="170" t="str">
        <f t="shared" ca="1" si="7"/>
        <v>2 - 2</v>
      </c>
    </row>
    <row r="40" spans="1:24" s="169" customFormat="1" hidden="1">
      <c r="A40" s="167">
        <v>39</v>
      </c>
      <c r="B40" s="168" t="str">
        <f>VLOOKUP($A40,Willem!$B$14:$N$89,4,0)&amp;"-"&amp;VLOOKUP($A40,Willem!$B$14:$N$89,6,0)</f>
        <v>Ghana  -  Duitsland</v>
      </c>
      <c r="C40" s="168" t="str">
        <f ca="1">VLOOKUP($A40,INDIRECT(C$1&amp;"!$B$14:$N$89"),7,0)&amp;" - "&amp;VLOOKUP($A40,INDIRECT(C$1&amp;"!$B$14:$N$89"),9,0)</f>
        <v>0 - 2</v>
      </c>
      <c r="D40" s="168" t="str">
        <f t="shared" ca="1" si="6"/>
        <v>0 - 3</v>
      </c>
      <c r="E40" s="168" t="str">
        <f ca="1">VLOOKUP($A40,INDIRECT(E$1&amp;"!$B$14:$N$89"),7,0)&amp;" - "&amp;VLOOKUP($A40,INDIRECT(E$1&amp;"!$B$14:$N$89"),9,0)</f>
        <v>0 - 3</v>
      </c>
      <c r="F40" s="168" t="str">
        <f ca="1">VLOOKUP($A40,INDIRECT(F$1&amp;"!$B$14:$N$89"),7,0)&amp;" - "&amp;VLOOKUP($A40,INDIRECT(F$1&amp;"!$B$14:$N$89"),9,0)</f>
        <v>1 - 2</v>
      </c>
      <c r="G40" s="168" t="str">
        <f t="shared" ca="1" si="6"/>
        <v>1 - 1</v>
      </c>
      <c r="H40" s="168" t="str">
        <f ca="1">VLOOKUP($A40,INDIRECT(H$1&amp;"!$B$14:$N$89"),7,0)&amp;" - "&amp;VLOOKUP($A40,INDIRECT(H$1&amp;"!$B$14:$N$89"),9,0)</f>
        <v>0 - 2</v>
      </c>
      <c r="I40" s="168" t="str">
        <f ca="1">VLOOKUP($A40,INDIRECT(I$1&amp;"!$B$14:$N$89"),7,0)&amp;" - "&amp;VLOOKUP($A40,INDIRECT(I$1&amp;"!$B$14:$N$89"),9,0)</f>
        <v>0 - 3</v>
      </c>
      <c r="J40" s="168" t="str">
        <f ca="1">VLOOKUP($A40,INDIRECT(J$1&amp;"!$B$14:$N$89"),7,0)&amp;" - "&amp;VLOOKUP($A40,INDIRECT(J$1&amp;"!$B$14:$N$89"),9,0)</f>
        <v>1 - 3</v>
      </c>
      <c r="K40" s="168" t="str">
        <f ca="1">VLOOKUP($A40,INDIRECT(K$1&amp;"!$B$14:$N$89"),7,0)&amp;" - "&amp;VLOOKUP($A40,INDIRECT(K$1&amp;"!$B$14:$N$89"),9,0)</f>
        <v>0 - 2</v>
      </c>
      <c r="L40" s="168" t="str">
        <f ca="1">VLOOKUP($A40,INDIRECT(L$1&amp;"!$B$14:$N$89"),7,0)&amp;" - "&amp;VLOOKUP($A40,INDIRECT(L$1&amp;"!$B$14:$N$89"),9,0)</f>
        <v>1 - 1</v>
      </c>
      <c r="M40" s="168" t="str">
        <f ca="1">VLOOKUP($A40,INDIRECT(M$1&amp;"!$B$14:$N$89"),7,0)&amp;" - "&amp;VLOOKUP($A40,INDIRECT(M$1&amp;"!$B$14:$N$89"),9,0)</f>
        <v>0 - 3</v>
      </c>
      <c r="N40" s="168" t="str">
        <f ca="1">VLOOKUP($A40,INDIRECT(N$1&amp;"!$B$14:$N$89"),7,0)&amp;" - "&amp;VLOOKUP($A40,INDIRECT(N$1&amp;"!$B$14:$N$89"),9,0)</f>
        <v>0 - 3</v>
      </c>
      <c r="O40" s="168" t="str">
        <f t="shared" ca="1" si="6"/>
        <v>1 - 2</v>
      </c>
      <c r="P40" s="168" t="str">
        <f t="shared" ca="1" si="6"/>
        <v>1 - 2</v>
      </c>
      <c r="Q40" s="168" t="str">
        <f t="shared" ca="1" si="6"/>
        <v>0 - 2</v>
      </c>
      <c r="R40" s="168" t="str">
        <f t="shared" ca="1" si="6"/>
        <v>1 - 2</v>
      </c>
      <c r="S40" s="168" t="str">
        <f t="shared" ca="1" si="6"/>
        <v>1 - 0</v>
      </c>
      <c r="T40" s="168" t="str">
        <f t="shared" ca="1" si="7"/>
        <v>1 - 2</v>
      </c>
      <c r="U40" s="168" t="str">
        <f t="shared" ca="1" si="7"/>
        <v>1 - 4</v>
      </c>
      <c r="V40" s="168" t="str">
        <f t="shared" ca="1" si="7"/>
        <v>0 - 1</v>
      </c>
      <c r="W40" s="168" t="str">
        <f t="shared" ca="1" si="7"/>
        <v>1 - 2</v>
      </c>
      <c r="X40" s="168" t="str">
        <f t="shared" ca="1" si="7"/>
        <v>0 - 2</v>
      </c>
    </row>
    <row r="41" spans="1:24" s="169" customFormat="1" hidden="1">
      <c r="A41" s="167">
        <v>40</v>
      </c>
      <c r="B41" s="170" t="str">
        <f>VLOOKUP($A41,Willem!$B$14:$N$89,4,0)&amp;"-"&amp;VLOOKUP($A41,Willem!$B$14:$N$89,6,0)</f>
        <v>Australië  -  Servië</v>
      </c>
      <c r="C41" s="170" t="str">
        <f ca="1">VLOOKUP($A41,INDIRECT(C$1&amp;"!$B$14:$N$89"),7,0)&amp;" - "&amp;VLOOKUP($A41,INDIRECT(C$1&amp;"!$B$14:$N$89"),9,0)</f>
        <v>1 - 3</v>
      </c>
      <c r="D41" s="170" t="str">
        <f t="shared" ca="1" si="6"/>
        <v>1 - 2</v>
      </c>
      <c r="E41" s="170" t="str">
        <f ca="1">VLOOKUP($A41,INDIRECT(E$1&amp;"!$B$14:$N$89"),7,0)&amp;" - "&amp;VLOOKUP($A41,INDIRECT(E$1&amp;"!$B$14:$N$89"),9,0)</f>
        <v>1 - 1</v>
      </c>
      <c r="F41" s="170" t="str">
        <f ca="1">VLOOKUP($A41,INDIRECT(F$1&amp;"!$B$14:$N$89"),7,0)&amp;" - "&amp;VLOOKUP($A41,INDIRECT(F$1&amp;"!$B$14:$N$89"),9,0)</f>
        <v>0 - 3</v>
      </c>
      <c r="G41" s="170" t="str">
        <f t="shared" ca="1" si="6"/>
        <v>2 - 1</v>
      </c>
      <c r="H41" s="170" t="str">
        <f ca="1">VLOOKUP($A41,INDIRECT(H$1&amp;"!$B$14:$N$89"),7,0)&amp;" - "&amp;VLOOKUP($A41,INDIRECT(H$1&amp;"!$B$14:$N$89"),9,0)</f>
        <v>1 - 0</v>
      </c>
      <c r="I41" s="170" t="str">
        <f ca="1">VLOOKUP($A41,INDIRECT(I$1&amp;"!$B$14:$N$89"),7,0)&amp;" - "&amp;VLOOKUP($A41,INDIRECT(I$1&amp;"!$B$14:$N$89"),9,0)</f>
        <v>0 - 2</v>
      </c>
      <c r="J41" s="170" t="str">
        <f ca="1">VLOOKUP($A41,INDIRECT(J$1&amp;"!$B$14:$N$89"),7,0)&amp;" - "&amp;VLOOKUP($A41,INDIRECT(J$1&amp;"!$B$14:$N$89"),9,0)</f>
        <v>1 - 2</v>
      </c>
      <c r="K41" s="170" t="str">
        <f ca="1">VLOOKUP($A41,INDIRECT(K$1&amp;"!$B$14:$N$89"),7,0)&amp;" - "&amp;VLOOKUP($A41,INDIRECT(K$1&amp;"!$B$14:$N$89"),9,0)</f>
        <v>0 - 1</v>
      </c>
      <c r="L41" s="170" t="str">
        <f ca="1">VLOOKUP($A41,INDIRECT(L$1&amp;"!$B$14:$N$89"),7,0)&amp;" - "&amp;VLOOKUP($A41,INDIRECT(L$1&amp;"!$B$14:$N$89"),9,0)</f>
        <v>0 - 1</v>
      </c>
      <c r="M41" s="170" t="str">
        <f ca="1">VLOOKUP($A41,INDIRECT(M$1&amp;"!$B$14:$N$89"),7,0)&amp;" - "&amp;VLOOKUP($A41,INDIRECT(M$1&amp;"!$B$14:$N$89"),9,0)</f>
        <v>2 - 1</v>
      </c>
      <c r="N41" s="170" t="str">
        <f ca="1">VLOOKUP($A41,INDIRECT(N$1&amp;"!$B$14:$N$89"),7,0)&amp;" - "&amp;VLOOKUP($A41,INDIRECT(N$1&amp;"!$B$14:$N$89"),9,0)</f>
        <v>2 - 2</v>
      </c>
      <c r="O41" s="170" t="str">
        <f t="shared" ca="1" si="6"/>
        <v>1 - 2</v>
      </c>
      <c r="P41" s="170" t="str">
        <f t="shared" ca="1" si="6"/>
        <v>2 - 0</v>
      </c>
      <c r="Q41" s="170" t="str">
        <f t="shared" ca="1" si="6"/>
        <v>1 - 0</v>
      </c>
      <c r="R41" s="170" t="str">
        <f t="shared" ca="1" si="6"/>
        <v>0 - 1</v>
      </c>
      <c r="S41" s="170" t="str">
        <f t="shared" ca="1" si="6"/>
        <v>0 - 1</v>
      </c>
      <c r="T41" s="170" t="str">
        <f t="shared" ca="1" si="7"/>
        <v>1 - 1</v>
      </c>
      <c r="U41" s="170" t="str">
        <f t="shared" ca="1" si="7"/>
        <v>1 - 1</v>
      </c>
      <c r="V41" s="170" t="str">
        <f t="shared" ca="1" si="7"/>
        <v>1 - 0</v>
      </c>
      <c r="W41" s="170" t="str">
        <f t="shared" ca="1" si="7"/>
        <v>1 - 1</v>
      </c>
      <c r="X41" s="170" t="str">
        <f t="shared" ca="1" si="7"/>
        <v>0 - 2</v>
      </c>
    </row>
    <row r="42" spans="1:24" s="169" customFormat="1">
      <c r="A42" s="167">
        <v>41</v>
      </c>
      <c r="B42" s="168" t="str">
        <f>VLOOKUP($A42,Willem!$B$14:$N$89,4,0)&amp;"-"&amp;VLOOKUP($A42,Willem!$B$14:$N$89,6,0)</f>
        <v>Slowakije  -  Italië</v>
      </c>
      <c r="C42" s="168" t="str">
        <f ca="1">VLOOKUP($A42,INDIRECT(C$1&amp;"!$B$14:$N$89"),7,0)&amp;" - "&amp;VLOOKUP($A42,INDIRECT(C$1&amp;"!$B$14:$N$89"),9,0)</f>
        <v>1 - 1</v>
      </c>
      <c r="D42" s="168" t="str">
        <f t="shared" ref="D42:S49" ca="1" si="8">VLOOKUP($A42,INDIRECT(D$1&amp;"!$B$14:$N$89"),7,0)&amp;" - "&amp;VLOOKUP($A42,INDIRECT(D$1&amp;"!$B$14:$N$89"),9,0)</f>
        <v>0 - 1</v>
      </c>
      <c r="E42" s="168" t="str">
        <f ca="1">VLOOKUP($A42,INDIRECT(E$1&amp;"!$B$14:$N$89"),7,0)&amp;" - "&amp;VLOOKUP($A42,INDIRECT(E$1&amp;"!$B$14:$N$89"),9,0)</f>
        <v>2 - 2</v>
      </c>
      <c r="F42" s="168" t="str">
        <f ca="1">VLOOKUP($A42,INDIRECT(F$1&amp;"!$B$14:$N$89"),7,0)&amp;" - "&amp;VLOOKUP($A42,INDIRECT(F$1&amp;"!$B$14:$N$89"),9,0)</f>
        <v>1 - 1</v>
      </c>
      <c r="G42" s="168" t="str">
        <f t="shared" ca="1" si="8"/>
        <v>0 - 1</v>
      </c>
      <c r="H42" s="168" t="str">
        <f ca="1">VLOOKUP($A42,INDIRECT(H$1&amp;"!$B$14:$N$89"),7,0)&amp;" - "&amp;VLOOKUP($A42,INDIRECT(H$1&amp;"!$B$14:$N$89"),9,0)</f>
        <v>0 - 1</v>
      </c>
      <c r="I42" s="168" t="str">
        <f ca="1">VLOOKUP($A42,INDIRECT(I$1&amp;"!$B$14:$N$89"),7,0)&amp;" - "&amp;VLOOKUP($A42,INDIRECT(I$1&amp;"!$B$14:$N$89"),9,0)</f>
        <v>1 - 1</v>
      </c>
      <c r="J42" s="168" t="str">
        <f ca="1">VLOOKUP($A42,INDIRECT(J$1&amp;"!$B$14:$N$89"),7,0)&amp;" - "&amp;VLOOKUP($A42,INDIRECT(J$1&amp;"!$B$14:$N$89"),9,0)</f>
        <v>1 - 1</v>
      </c>
      <c r="K42" s="168" t="str">
        <f ca="1">VLOOKUP($A42,INDIRECT(K$1&amp;"!$B$14:$N$89"),7,0)&amp;" - "&amp;VLOOKUP($A42,INDIRECT(K$1&amp;"!$B$14:$N$89"),9,0)</f>
        <v>1 - 1</v>
      </c>
      <c r="L42" s="168" t="str">
        <f ca="1">VLOOKUP($A42,INDIRECT(L$1&amp;"!$B$14:$N$89"),7,0)&amp;" - "&amp;VLOOKUP($A42,INDIRECT(L$1&amp;"!$B$14:$N$89"),9,0)</f>
        <v>1 - 0</v>
      </c>
      <c r="M42" s="168" t="str">
        <f ca="1">VLOOKUP($A42,INDIRECT(M$1&amp;"!$B$14:$N$89"),7,0)&amp;" - "&amp;VLOOKUP($A42,INDIRECT(M$1&amp;"!$B$14:$N$89"),9,0)</f>
        <v>1 - 1</v>
      </c>
      <c r="N42" s="168" t="str">
        <f ca="1">VLOOKUP($A42,INDIRECT(N$1&amp;"!$B$14:$N$89"),7,0)&amp;" - "&amp;VLOOKUP($A42,INDIRECT(N$1&amp;"!$B$14:$N$89"),9,0)</f>
        <v>0 - 2</v>
      </c>
      <c r="O42" s="168" t="str">
        <f t="shared" ca="1" si="8"/>
        <v>1 - 2</v>
      </c>
      <c r="P42" s="168" t="str">
        <f t="shared" ca="1" si="8"/>
        <v>0 - 1</v>
      </c>
      <c r="Q42" s="168" t="str">
        <f t="shared" ca="1" si="8"/>
        <v>1 - 1</v>
      </c>
      <c r="R42" s="168" t="str">
        <f t="shared" ca="1" si="8"/>
        <v>1 - 3</v>
      </c>
      <c r="S42" s="168" t="str">
        <f t="shared" ca="1" si="8"/>
        <v>1 - 0</v>
      </c>
      <c r="T42" s="168" t="str">
        <f t="shared" ref="T42:X49" ca="1" si="9">VLOOKUP($A42,INDIRECT(T$1&amp;"!$B$14:$N$89"),7,0)&amp;" - "&amp;VLOOKUP($A42,INDIRECT(T$1&amp;"!$B$14:$N$89"),9,0)</f>
        <v>0 - 1</v>
      </c>
      <c r="U42" s="168" t="str">
        <f t="shared" ca="1" si="9"/>
        <v>1 - 3</v>
      </c>
      <c r="V42" s="168" t="str">
        <f t="shared" ca="1" si="9"/>
        <v>0 - 2</v>
      </c>
      <c r="W42" s="168" t="str">
        <f t="shared" ca="1" si="9"/>
        <v>1 - 1</v>
      </c>
      <c r="X42" s="168" t="str">
        <f t="shared" ca="1" si="9"/>
        <v>1 - 2</v>
      </c>
    </row>
    <row r="43" spans="1:24" s="169" customFormat="1">
      <c r="A43" s="167">
        <v>42</v>
      </c>
      <c r="B43" s="170" t="str">
        <f>VLOOKUP($A43,Willem!$B$14:$N$89,4,0)&amp;"-"&amp;VLOOKUP($A43,Willem!$B$14:$N$89,6,0)</f>
        <v>Paraguay  -  Nieuw-Zeeland</v>
      </c>
      <c r="C43" s="170" t="str">
        <f ca="1">VLOOKUP($A43,INDIRECT(C$1&amp;"!$B$14:$N$89"),7,0)&amp;" - "&amp;VLOOKUP($A43,INDIRECT(C$1&amp;"!$B$14:$N$89"),9,0)</f>
        <v>2 - 0</v>
      </c>
      <c r="D43" s="170" t="str">
        <f t="shared" ca="1" si="8"/>
        <v>2 - 0</v>
      </c>
      <c r="E43" s="170" t="str">
        <f ca="1">VLOOKUP($A43,INDIRECT(E$1&amp;"!$B$14:$N$89"),7,0)&amp;" - "&amp;VLOOKUP($A43,INDIRECT(E$1&amp;"!$B$14:$N$89"),9,0)</f>
        <v>1 - 0</v>
      </c>
      <c r="F43" s="170" t="str">
        <f ca="1">VLOOKUP($A43,INDIRECT(F$1&amp;"!$B$14:$N$89"),7,0)&amp;" - "&amp;VLOOKUP($A43,INDIRECT(F$1&amp;"!$B$14:$N$89"),9,0)</f>
        <v>1 - 0</v>
      </c>
      <c r="G43" s="170" t="str">
        <f t="shared" ca="1" si="8"/>
        <v>1 - 3</v>
      </c>
      <c r="H43" s="170" t="str">
        <f ca="1">VLOOKUP($A43,INDIRECT(H$1&amp;"!$B$14:$N$89"),7,0)&amp;" - "&amp;VLOOKUP($A43,INDIRECT(H$1&amp;"!$B$14:$N$89"),9,0)</f>
        <v>1 - 0</v>
      </c>
      <c r="I43" s="170" t="str">
        <f ca="1">VLOOKUP($A43,INDIRECT(I$1&amp;"!$B$14:$N$89"),7,0)&amp;" - "&amp;VLOOKUP($A43,INDIRECT(I$1&amp;"!$B$14:$N$89"),9,0)</f>
        <v>2 - 0</v>
      </c>
      <c r="J43" s="170" t="str">
        <f ca="1">VLOOKUP($A43,INDIRECT(J$1&amp;"!$B$14:$N$89"),7,0)&amp;" - "&amp;VLOOKUP($A43,INDIRECT(J$1&amp;"!$B$14:$N$89"),9,0)</f>
        <v>2 - 0</v>
      </c>
      <c r="K43" s="170" t="str">
        <f ca="1">VLOOKUP($A43,INDIRECT(K$1&amp;"!$B$14:$N$89"),7,0)&amp;" - "&amp;VLOOKUP($A43,INDIRECT(K$1&amp;"!$B$14:$N$89"),9,0)</f>
        <v>2 - 1</v>
      </c>
      <c r="L43" s="170" t="str">
        <f ca="1">VLOOKUP($A43,INDIRECT(L$1&amp;"!$B$14:$N$89"),7,0)&amp;" - "&amp;VLOOKUP($A43,INDIRECT(L$1&amp;"!$B$14:$N$89"),9,0)</f>
        <v>2 - 0</v>
      </c>
      <c r="M43" s="170" t="str">
        <f ca="1">VLOOKUP($A43,INDIRECT(M$1&amp;"!$B$14:$N$89"),7,0)&amp;" - "&amp;VLOOKUP($A43,INDIRECT(M$1&amp;"!$B$14:$N$89"),9,0)</f>
        <v>3 - 0</v>
      </c>
      <c r="N43" s="170" t="str">
        <f ca="1">VLOOKUP($A43,INDIRECT(N$1&amp;"!$B$14:$N$89"),7,0)&amp;" - "&amp;VLOOKUP($A43,INDIRECT(N$1&amp;"!$B$14:$N$89"),9,0)</f>
        <v>1 - 0</v>
      </c>
      <c r="O43" s="170" t="str">
        <f t="shared" ca="1" si="8"/>
        <v>2 - 1</v>
      </c>
      <c r="P43" s="170" t="str">
        <f t="shared" ca="1" si="8"/>
        <v>3 - 3</v>
      </c>
      <c r="Q43" s="170" t="str">
        <f t="shared" ca="1" si="8"/>
        <v>2 - 0</v>
      </c>
      <c r="R43" s="170" t="str">
        <f t="shared" ca="1" si="8"/>
        <v>2 - 1</v>
      </c>
      <c r="S43" s="170" t="str">
        <f t="shared" ca="1" si="8"/>
        <v>0 - 1</v>
      </c>
      <c r="T43" s="170" t="str">
        <f t="shared" ca="1" si="9"/>
        <v>2 - 0</v>
      </c>
      <c r="U43" s="170" t="str">
        <f t="shared" ca="1" si="9"/>
        <v>2 - 2</v>
      </c>
      <c r="V43" s="170" t="str">
        <f t="shared" ca="1" si="9"/>
        <v>1 - 0</v>
      </c>
      <c r="W43" s="170" t="str">
        <f t="shared" ca="1" si="9"/>
        <v>2 - 1</v>
      </c>
      <c r="X43" s="170" t="str">
        <f t="shared" ca="1" si="9"/>
        <v>3 - 0</v>
      </c>
    </row>
    <row r="44" spans="1:24" s="169" customFormat="1">
      <c r="A44" s="167">
        <v>43</v>
      </c>
      <c r="B44" s="168" t="str">
        <f>VLOOKUP($A44,Willem!$B$14:$N$89,4,0)&amp;"-"&amp;VLOOKUP($A44,Willem!$B$14:$N$89,6,0)</f>
        <v>Denemarken  -  Japan</v>
      </c>
      <c r="C44" s="168" t="str">
        <f ca="1">VLOOKUP($A44,INDIRECT(C$1&amp;"!$B$14:$N$89"),7,0)&amp;" - "&amp;VLOOKUP($A44,INDIRECT(C$1&amp;"!$B$14:$N$89"),9,0)</f>
        <v>2 - 0</v>
      </c>
      <c r="D44" s="168" t="str">
        <f t="shared" ca="1" si="8"/>
        <v>2 - 0</v>
      </c>
      <c r="E44" s="168" t="str">
        <f ca="1">VLOOKUP($A44,INDIRECT(E$1&amp;"!$B$14:$N$89"),7,0)&amp;" - "&amp;VLOOKUP($A44,INDIRECT(E$1&amp;"!$B$14:$N$89"),9,0)</f>
        <v>2 - 1</v>
      </c>
      <c r="F44" s="168" t="str">
        <f ca="1">VLOOKUP($A44,INDIRECT(F$1&amp;"!$B$14:$N$89"),7,0)&amp;" - "&amp;VLOOKUP($A44,INDIRECT(F$1&amp;"!$B$14:$N$89"),9,0)</f>
        <v>2 - 0</v>
      </c>
      <c r="G44" s="168" t="str">
        <f t="shared" ca="1" si="8"/>
        <v>2 - 0</v>
      </c>
      <c r="H44" s="168" t="str">
        <f ca="1">VLOOKUP($A44,INDIRECT(H$1&amp;"!$B$14:$N$89"),7,0)&amp;" - "&amp;VLOOKUP($A44,INDIRECT(H$1&amp;"!$B$14:$N$89"),9,0)</f>
        <v>2 - 0</v>
      </c>
      <c r="I44" s="168" t="str">
        <f ca="1">VLOOKUP($A44,INDIRECT(I$1&amp;"!$B$14:$N$89"),7,0)&amp;" - "&amp;VLOOKUP($A44,INDIRECT(I$1&amp;"!$B$14:$N$89"),9,0)</f>
        <v>2 - 0</v>
      </c>
      <c r="J44" s="168" t="str">
        <f ca="1">VLOOKUP($A44,INDIRECT(J$1&amp;"!$B$14:$N$89"),7,0)&amp;" - "&amp;VLOOKUP($A44,INDIRECT(J$1&amp;"!$B$14:$N$89"),9,0)</f>
        <v>2 - 1</v>
      </c>
      <c r="K44" s="354" t="str">
        <f ca="1">VLOOKUP($A44,INDIRECT(K$1&amp;"!$B$14:$N$89"),7,0)&amp;" - "&amp;VLOOKUP($A44,INDIRECT(K$1&amp;"!$B$14:$N$89"),9,0)</f>
        <v>2 - 2</v>
      </c>
      <c r="L44" s="168" t="str">
        <f ca="1">VLOOKUP($A44,INDIRECT(L$1&amp;"!$B$14:$N$89"),7,0)&amp;" - "&amp;VLOOKUP($A44,INDIRECT(L$1&amp;"!$B$14:$N$89"),9,0)</f>
        <v>2 - 1</v>
      </c>
      <c r="M44" s="168" t="str">
        <f ca="1">VLOOKUP($A44,INDIRECT(M$1&amp;"!$B$14:$N$89"),7,0)&amp;" - "&amp;VLOOKUP($A44,INDIRECT(M$1&amp;"!$B$14:$N$89"),9,0)</f>
        <v>2 - 0</v>
      </c>
      <c r="N44" s="168" t="str">
        <f ca="1">VLOOKUP($A44,INDIRECT(N$1&amp;"!$B$14:$N$89"),7,0)&amp;" - "&amp;VLOOKUP($A44,INDIRECT(N$1&amp;"!$B$14:$N$89"),9,0)</f>
        <v>2 - 0</v>
      </c>
      <c r="O44" s="168" t="str">
        <f t="shared" ca="1" si="8"/>
        <v>1 - 0</v>
      </c>
      <c r="P44" s="168" t="str">
        <f t="shared" ca="1" si="8"/>
        <v>2 - 2</v>
      </c>
      <c r="Q44" s="168" t="str">
        <f t="shared" ca="1" si="8"/>
        <v>1 - 1</v>
      </c>
      <c r="R44" s="168" t="str">
        <f t="shared" ca="1" si="8"/>
        <v>2 - 1</v>
      </c>
      <c r="S44" s="168" t="str">
        <f t="shared" ca="1" si="8"/>
        <v>2 - 0</v>
      </c>
      <c r="T44" s="168" t="str">
        <f t="shared" ca="1" si="9"/>
        <v>1 - 1</v>
      </c>
      <c r="U44" s="168" t="str">
        <f t="shared" ca="1" si="9"/>
        <v>2 - 1</v>
      </c>
      <c r="V44" s="168" t="str">
        <f t="shared" ca="1" si="9"/>
        <v>1 - 0</v>
      </c>
      <c r="W44" s="168" t="str">
        <f t="shared" ca="1" si="9"/>
        <v>1 - 1</v>
      </c>
      <c r="X44" s="168" t="str">
        <f t="shared" ca="1" si="9"/>
        <v>2 - 1</v>
      </c>
    </row>
    <row r="45" spans="1:24" s="169" customFormat="1">
      <c r="A45" s="167">
        <v>44</v>
      </c>
      <c r="B45" s="170" t="str">
        <f>VLOOKUP($A45,Willem!$B$14:$N$89,4,0)&amp;"-"&amp;VLOOKUP($A45,Willem!$B$14:$N$89,6,0)</f>
        <v>Kameroen  -  Nederland</v>
      </c>
      <c r="C45" s="170" t="str">
        <f ca="1">VLOOKUP($A45,INDIRECT(C$1&amp;"!$B$14:$N$89"),7,0)&amp;" - "&amp;VLOOKUP($A45,INDIRECT(C$1&amp;"!$B$14:$N$89"),9,0)</f>
        <v>0 - 3</v>
      </c>
      <c r="D45" s="170" t="str">
        <f t="shared" ca="1" si="8"/>
        <v>1 - 1</v>
      </c>
      <c r="E45" s="170" t="str">
        <f ca="1">VLOOKUP($A45,INDIRECT(E$1&amp;"!$B$14:$N$89"),7,0)&amp;" - "&amp;VLOOKUP($A45,INDIRECT(E$1&amp;"!$B$14:$N$89"),9,0)</f>
        <v>1 - 2</v>
      </c>
      <c r="F45" s="170" t="str">
        <f ca="1">VLOOKUP($A45,INDIRECT(F$1&amp;"!$B$14:$N$89"),7,0)&amp;" - "&amp;VLOOKUP($A45,INDIRECT(F$1&amp;"!$B$14:$N$89"),9,0)</f>
        <v>1 - 2</v>
      </c>
      <c r="G45" s="170" t="str">
        <f t="shared" ca="1" si="8"/>
        <v>2 - 2</v>
      </c>
      <c r="H45" s="170" t="str">
        <f ca="1">VLOOKUP($A45,INDIRECT(H$1&amp;"!$B$14:$N$89"),7,0)&amp;" - "&amp;VLOOKUP($A45,INDIRECT(H$1&amp;"!$B$14:$N$89"),9,0)</f>
        <v>1 - 3</v>
      </c>
      <c r="I45" s="170" t="str">
        <f ca="1">VLOOKUP($A45,INDIRECT(I$1&amp;"!$B$14:$N$89"),7,0)&amp;" - "&amp;VLOOKUP($A45,INDIRECT(I$1&amp;"!$B$14:$N$89"),9,0)</f>
        <v>1 - 2</v>
      </c>
      <c r="J45" s="170" t="str">
        <f ca="1">VLOOKUP($A45,INDIRECT(J$1&amp;"!$B$14:$N$89"),7,0)&amp;" - "&amp;VLOOKUP($A45,INDIRECT(J$1&amp;"!$B$14:$N$89"),9,0)</f>
        <v>1 - 2</v>
      </c>
      <c r="K45" s="170" t="str">
        <f ca="1">VLOOKUP($A45,INDIRECT(K$1&amp;"!$B$14:$N$89"),7,0)&amp;" - "&amp;VLOOKUP($A45,INDIRECT(K$1&amp;"!$B$14:$N$89"),9,0)</f>
        <v>1 - 2</v>
      </c>
      <c r="L45" s="170" t="str">
        <f ca="1">VLOOKUP($A45,INDIRECT(L$1&amp;"!$B$14:$N$89"),7,0)&amp;" - "&amp;VLOOKUP($A45,INDIRECT(L$1&amp;"!$B$14:$N$89"),9,0)</f>
        <v>0 - 0</v>
      </c>
      <c r="M45" s="170" t="str">
        <f ca="1">VLOOKUP($A45,INDIRECT(M$1&amp;"!$B$14:$N$89"),7,0)&amp;" - "&amp;VLOOKUP($A45,INDIRECT(M$1&amp;"!$B$14:$N$89"),9,0)</f>
        <v>1 - 1</v>
      </c>
      <c r="N45" s="170" t="str">
        <f ca="1">VLOOKUP($A45,INDIRECT(N$1&amp;"!$B$14:$N$89"),7,0)&amp;" - "&amp;VLOOKUP($A45,INDIRECT(N$1&amp;"!$B$14:$N$89"),9,0)</f>
        <v>1 - 1</v>
      </c>
      <c r="O45" s="170" t="str">
        <f t="shared" ca="1" si="8"/>
        <v>1 - 2</v>
      </c>
      <c r="P45" s="170" t="str">
        <f t="shared" ca="1" si="8"/>
        <v>1 - 1</v>
      </c>
      <c r="Q45" s="170" t="str">
        <f t="shared" ca="1" si="8"/>
        <v>1 - 2</v>
      </c>
      <c r="R45" s="170" t="str">
        <f t="shared" ca="1" si="8"/>
        <v>1 - 2</v>
      </c>
      <c r="S45" s="170" t="str">
        <f t="shared" ca="1" si="8"/>
        <v>0 - 2</v>
      </c>
      <c r="T45" s="170" t="str">
        <f t="shared" ca="1" si="9"/>
        <v>1 - 2</v>
      </c>
      <c r="U45" s="170" t="str">
        <f t="shared" ca="1" si="9"/>
        <v>1 - 2</v>
      </c>
      <c r="V45" s="170" t="str">
        <f t="shared" ca="1" si="9"/>
        <v>1 - 1</v>
      </c>
      <c r="W45" s="170" t="str">
        <f t="shared" ca="1" si="9"/>
        <v>2 - 1</v>
      </c>
      <c r="X45" s="170" t="str">
        <f t="shared" ca="1" si="9"/>
        <v>1 - 2</v>
      </c>
    </row>
    <row r="46" spans="1:24" s="169" customFormat="1">
      <c r="A46" s="167">
        <v>45</v>
      </c>
      <c r="B46" s="168" t="str">
        <f>VLOOKUP($A46,Willem!$B$14:$N$89,4,0)&amp;"-"&amp;VLOOKUP($A46,Willem!$B$14:$N$89,6,0)</f>
        <v>Portugal  -  Brazilië</v>
      </c>
      <c r="C46" s="168" t="str">
        <f ca="1">VLOOKUP($A46,INDIRECT(C$1&amp;"!$B$14:$N$89"),7,0)&amp;" - "&amp;VLOOKUP($A46,INDIRECT(C$1&amp;"!$B$14:$N$89"),9,0)</f>
        <v>1 - 1</v>
      </c>
      <c r="D46" s="168" t="str">
        <f t="shared" ca="1" si="8"/>
        <v>1 - 2</v>
      </c>
      <c r="E46" s="168" t="str">
        <f ca="1">VLOOKUP($A46,INDIRECT(E$1&amp;"!$B$14:$N$89"),7,0)&amp;" - "&amp;VLOOKUP($A46,INDIRECT(E$1&amp;"!$B$14:$N$89"),9,0)</f>
        <v>2 - 3</v>
      </c>
      <c r="F46" s="168" t="str">
        <f ca="1">VLOOKUP($A46,INDIRECT(F$1&amp;"!$B$14:$N$89"),7,0)&amp;" - "&amp;VLOOKUP($A46,INDIRECT(F$1&amp;"!$B$14:$N$89"),9,0)</f>
        <v>1 - 2</v>
      </c>
      <c r="G46" s="168" t="str">
        <f t="shared" ca="1" si="8"/>
        <v>2 - 2</v>
      </c>
      <c r="H46" s="168" t="str">
        <f ca="1">VLOOKUP($A46,INDIRECT(H$1&amp;"!$B$14:$N$89"),7,0)&amp;" - "&amp;VLOOKUP($A46,INDIRECT(H$1&amp;"!$B$14:$N$89"),9,0)</f>
        <v>1 - 4</v>
      </c>
      <c r="I46" s="168" t="str">
        <f ca="1">VLOOKUP($A46,INDIRECT(I$1&amp;"!$B$14:$N$89"),7,0)&amp;" - "&amp;VLOOKUP($A46,INDIRECT(I$1&amp;"!$B$14:$N$89"),9,0)</f>
        <v>2 - 3</v>
      </c>
      <c r="J46" s="168" t="str">
        <f ca="1">VLOOKUP($A46,INDIRECT(J$1&amp;"!$B$14:$N$89"),7,0)&amp;" - "&amp;VLOOKUP($A46,INDIRECT(J$1&amp;"!$B$14:$N$89"),9,0)</f>
        <v>1 - 1</v>
      </c>
      <c r="K46" s="168" t="str">
        <f ca="1">VLOOKUP($A46,INDIRECT(K$1&amp;"!$B$14:$N$89"),7,0)&amp;" - "&amp;VLOOKUP($A46,INDIRECT(K$1&amp;"!$B$14:$N$89"),9,0)</f>
        <v>1 - 2</v>
      </c>
      <c r="L46" s="168" t="str">
        <f ca="1">VLOOKUP($A46,INDIRECT(L$1&amp;"!$B$14:$N$89"),7,0)&amp;" - "&amp;VLOOKUP($A46,INDIRECT(L$1&amp;"!$B$14:$N$89"),9,0)</f>
        <v>1 - 1</v>
      </c>
      <c r="M46" s="168" t="str">
        <f ca="1">VLOOKUP($A46,INDIRECT(M$1&amp;"!$B$14:$N$89"),7,0)&amp;" - "&amp;VLOOKUP($A46,INDIRECT(M$1&amp;"!$B$14:$N$89"),9,0)</f>
        <v>1 - 1</v>
      </c>
      <c r="N46" s="168" t="str">
        <f ca="1">VLOOKUP($A46,INDIRECT(N$1&amp;"!$B$14:$N$89"),7,0)&amp;" - "&amp;VLOOKUP($A46,INDIRECT(N$1&amp;"!$B$14:$N$89"),9,0)</f>
        <v>1 - 1</v>
      </c>
      <c r="O46" s="168" t="str">
        <f t="shared" ca="1" si="8"/>
        <v>1 - 2</v>
      </c>
      <c r="P46" s="168" t="str">
        <f t="shared" ca="1" si="8"/>
        <v>1 - 1</v>
      </c>
      <c r="Q46" s="168" t="str">
        <f t="shared" ca="1" si="8"/>
        <v>2 - 2</v>
      </c>
      <c r="R46" s="168" t="str">
        <f t="shared" ca="1" si="8"/>
        <v>0 - 1</v>
      </c>
      <c r="S46" s="168" t="str">
        <f t="shared" ca="1" si="8"/>
        <v>1 - 1</v>
      </c>
      <c r="T46" s="168" t="str">
        <f t="shared" ca="1" si="9"/>
        <v>0 - 2</v>
      </c>
      <c r="U46" s="168" t="str">
        <f t="shared" ca="1" si="9"/>
        <v>1 - 2</v>
      </c>
      <c r="V46" s="168" t="str">
        <f t="shared" ca="1" si="9"/>
        <v>0 - 1</v>
      </c>
      <c r="W46" s="168" t="str">
        <f t="shared" ca="1" si="9"/>
        <v>1 - 2</v>
      </c>
      <c r="X46" s="168" t="str">
        <f t="shared" ca="1" si="9"/>
        <v>1 - 2</v>
      </c>
    </row>
    <row r="47" spans="1:24" s="169" customFormat="1">
      <c r="A47" s="167">
        <v>46</v>
      </c>
      <c r="B47" s="170" t="str">
        <f>VLOOKUP($A47,Willem!$B$14:$N$89,4,0)&amp;"-"&amp;VLOOKUP($A47,Willem!$B$14:$N$89,6,0)</f>
        <v>Noord-Korea  -  Ivoorkust</v>
      </c>
      <c r="C47" s="170" t="str">
        <f ca="1">VLOOKUP($A47,INDIRECT(C$1&amp;"!$B$14:$N$89"),7,0)&amp;" - "&amp;VLOOKUP($A47,INDIRECT(C$1&amp;"!$B$14:$N$89"),9,0)</f>
        <v>0 - 2</v>
      </c>
      <c r="D47" s="170" t="str">
        <f t="shared" ca="1" si="8"/>
        <v>0 - 2</v>
      </c>
      <c r="E47" s="170" t="str">
        <f ca="1">VLOOKUP($A47,INDIRECT(E$1&amp;"!$B$14:$N$89"),7,0)&amp;" - "&amp;VLOOKUP($A47,INDIRECT(E$1&amp;"!$B$14:$N$89"),9,0)</f>
        <v>0 - 1</v>
      </c>
      <c r="F47" s="170" t="str">
        <f ca="1">VLOOKUP($A47,INDIRECT(F$1&amp;"!$B$14:$N$89"),7,0)&amp;" - "&amp;VLOOKUP($A47,INDIRECT(F$1&amp;"!$B$14:$N$89"),9,0)</f>
        <v>1 - 1</v>
      </c>
      <c r="G47" s="170" t="str">
        <f t="shared" ca="1" si="8"/>
        <v>2 - 1</v>
      </c>
      <c r="H47" s="170" t="str">
        <f ca="1">VLOOKUP($A47,INDIRECT(H$1&amp;"!$B$14:$N$89"),7,0)&amp;" - "&amp;VLOOKUP($A47,INDIRECT(H$1&amp;"!$B$14:$N$89"),9,0)</f>
        <v>0 - 3</v>
      </c>
      <c r="I47" s="170" t="str">
        <f ca="1">VLOOKUP($A47,INDIRECT(I$1&amp;"!$B$14:$N$89"),7,0)&amp;" - "&amp;VLOOKUP($A47,INDIRECT(I$1&amp;"!$B$14:$N$89"),9,0)</f>
        <v>0 - 2</v>
      </c>
      <c r="J47" s="170" t="str">
        <f ca="1">VLOOKUP($A47,INDIRECT(J$1&amp;"!$B$14:$N$89"),7,0)&amp;" - "&amp;VLOOKUP($A47,INDIRECT(J$1&amp;"!$B$14:$N$89"),9,0)</f>
        <v>0 - 1</v>
      </c>
      <c r="K47" s="170" t="str">
        <f ca="1">VLOOKUP($A47,INDIRECT(K$1&amp;"!$B$14:$N$89"),7,0)&amp;" - "&amp;VLOOKUP($A47,INDIRECT(K$1&amp;"!$B$14:$N$89"),9,0)</f>
        <v>0 - 3</v>
      </c>
      <c r="L47" s="170" t="str">
        <f ca="1">VLOOKUP($A47,INDIRECT(L$1&amp;"!$B$14:$N$89"),7,0)&amp;" - "&amp;VLOOKUP($A47,INDIRECT(L$1&amp;"!$B$14:$N$89"),9,0)</f>
        <v>1 - 3</v>
      </c>
      <c r="M47" s="170" t="str">
        <f ca="1">VLOOKUP($A47,INDIRECT(M$1&amp;"!$B$14:$N$89"),7,0)&amp;" - "&amp;VLOOKUP($A47,INDIRECT(M$1&amp;"!$B$14:$N$89"),9,0)</f>
        <v>1 - 3</v>
      </c>
      <c r="N47" s="170" t="str">
        <f ca="1">VLOOKUP($A47,INDIRECT(N$1&amp;"!$B$14:$N$89"),7,0)&amp;" - "&amp;VLOOKUP($A47,INDIRECT(N$1&amp;"!$B$14:$N$89"),9,0)</f>
        <v>1 - 1</v>
      </c>
      <c r="O47" s="170" t="str">
        <f t="shared" ca="1" si="8"/>
        <v>0 - 1</v>
      </c>
      <c r="P47" s="170" t="str">
        <f t="shared" ca="1" si="8"/>
        <v>0 - 2</v>
      </c>
      <c r="Q47" s="170" t="str">
        <f t="shared" ca="1" si="8"/>
        <v>0 - 2</v>
      </c>
      <c r="R47" s="170" t="str">
        <f t="shared" ca="1" si="8"/>
        <v>0 - 2</v>
      </c>
      <c r="S47" s="170" t="str">
        <f t="shared" ca="1" si="8"/>
        <v>1 - 0</v>
      </c>
      <c r="T47" s="170" t="str">
        <f t="shared" ca="1" si="9"/>
        <v>1 - 3</v>
      </c>
      <c r="U47" s="170" t="str">
        <f t="shared" ca="1" si="9"/>
        <v>0 - 1</v>
      </c>
      <c r="V47" s="170" t="str">
        <f t="shared" ca="1" si="9"/>
        <v>0 - 1</v>
      </c>
      <c r="W47" s="170" t="str">
        <f t="shared" ca="1" si="9"/>
        <v>0 - 1</v>
      </c>
      <c r="X47" s="170" t="str">
        <f t="shared" ca="1" si="9"/>
        <v>1 - 2</v>
      </c>
    </row>
    <row r="48" spans="1:24" s="169" customFormat="1">
      <c r="A48" s="167">
        <v>47</v>
      </c>
      <c r="B48" s="168" t="str">
        <f>VLOOKUP($A48,Willem!$B$14:$N$89,4,0)&amp;"-"&amp;VLOOKUP($A48,Willem!$B$14:$N$89,6,0)</f>
        <v>Chili  -  Spanje</v>
      </c>
      <c r="C48" s="168" t="str">
        <f ca="1">VLOOKUP($A48,INDIRECT(C$1&amp;"!$B$14:$N$89"),7,0)&amp;" - "&amp;VLOOKUP($A48,INDIRECT(C$1&amp;"!$B$14:$N$89"),9,0)</f>
        <v>0 - 1</v>
      </c>
      <c r="D48" s="168" t="str">
        <f t="shared" ca="1" si="8"/>
        <v>0 - 1</v>
      </c>
      <c r="E48" s="168" t="str">
        <f ca="1">VLOOKUP($A48,INDIRECT(E$1&amp;"!$B$14:$N$89"),7,0)&amp;" - "&amp;VLOOKUP($A48,INDIRECT(E$1&amp;"!$B$14:$N$89"),9,0)</f>
        <v>0 - 1</v>
      </c>
      <c r="F48" s="168" t="str">
        <f ca="1">VLOOKUP($A48,INDIRECT(F$1&amp;"!$B$14:$N$89"),7,0)&amp;" - "&amp;VLOOKUP($A48,INDIRECT(F$1&amp;"!$B$14:$N$89"),9,0)</f>
        <v>0 - 4</v>
      </c>
      <c r="G48" s="168" t="str">
        <f t="shared" ca="1" si="8"/>
        <v>1 - 1</v>
      </c>
      <c r="H48" s="168" t="str">
        <f ca="1">VLOOKUP($A48,INDIRECT(H$1&amp;"!$B$14:$N$89"),7,0)&amp;" - "&amp;VLOOKUP($A48,INDIRECT(H$1&amp;"!$B$14:$N$89"),9,0)</f>
        <v>1 - 2</v>
      </c>
      <c r="I48" s="168" t="str">
        <f ca="1">VLOOKUP($A48,INDIRECT(I$1&amp;"!$B$14:$N$89"),7,0)&amp;" - "&amp;VLOOKUP($A48,INDIRECT(I$1&amp;"!$B$14:$N$89"),9,0)</f>
        <v>1 - 2</v>
      </c>
      <c r="J48" s="168" t="str">
        <f ca="1">VLOOKUP($A48,INDIRECT(J$1&amp;"!$B$14:$N$89"),7,0)&amp;" - "&amp;VLOOKUP($A48,INDIRECT(J$1&amp;"!$B$14:$N$89"),9,0)</f>
        <v>1 - 3</v>
      </c>
      <c r="K48" s="168" t="str">
        <f ca="1">VLOOKUP($A48,INDIRECT(K$1&amp;"!$B$14:$N$89"),7,0)&amp;" - "&amp;VLOOKUP($A48,INDIRECT(K$1&amp;"!$B$14:$N$89"),9,0)</f>
        <v>1 - 1</v>
      </c>
      <c r="L48" s="168" t="str">
        <f ca="1">VLOOKUP($A48,INDIRECT(L$1&amp;"!$B$14:$N$89"),7,0)&amp;" - "&amp;VLOOKUP($A48,INDIRECT(L$1&amp;"!$B$14:$N$89"),9,0)</f>
        <v>1 - 1</v>
      </c>
      <c r="M48" s="168" t="str">
        <f ca="1">VLOOKUP($A48,INDIRECT(M$1&amp;"!$B$14:$N$89"),7,0)&amp;" - "&amp;VLOOKUP($A48,INDIRECT(M$1&amp;"!$B$14:$N$89"),9,0)</f>
        <v>0 - 0</v>
      </c>
      <c r="N48" s="168" t="str">
        <f ca="1">VLOOKUP($A48,INDIRECT(N$1&amp;"!$B$14:$N$89"),7,0)&amp;" - "&amp;VLOOKUP($A48,INDIRECT(N$1&amp;"!$B$14:$N$89"),9,0)</f>
        <v>0 - 1</v>
      </c>
      <c r="O48" s="168" t="str">
        <f t="shared" ca="1" si="8"/>
        <v>1 - 2</v>
      </c>
      <c r="P48" s="168" t="str">
        <f t="shared" ca="1" si="8"/>
        <v>0 - 3</v>
      </c>
      <c r="Q48" s="168" t="str">
        <f t="shared" ca="1" si="8"/>
        <v>0 - 2</v>
      </c>
      <c r="R48" s="168" t="str">
        <f t="shared" ca="1" si="8"/>
        <v>1 - 2</v>
      </c>
      <c r="S48" s="168" t="str">
        <f t="shared" ca="1" si="8"/>
        <v>1 - 0</v>
      </c>
      <c r="T48" s="168" t="str">
        <f t="shared" ca="1" si="9"/>
        <v>0 - 1</v>
      </c>
      <c r="U48" s="168" t="str">
        <f t="shared" ca="1" si="9"/>
        <v>0 - 2</v>
      </c>
      <c r="V48" s="168" t="str">
        <f t="shared" ca="1" si="9"/>
        <v>0 - 1</v>
      </c>
      <c r="W48" s="168" t="str">
        <f t="shared" ca="1" si="9"/>
        <v>1 - 2</v>
      </c>
      <c r="X48" s="168" t="str">
        <f t="shared" ca="1" si="9"/>
        <v>2 - 2</v>
      </c>
    </row>
    <row r="49" spans="1:24" s="169" customFormat="1" ht="13.5" thickBot="1">
      <c r="A49" s="167">
        <v>48</v>
      </c>
      <c r="B49" s="170" t="str">
        <f>VLOOKUP($A49,Willem!$B$14:$N$89,4,0)&amp;"-"&amp;VLOOKUP($A49,Willem!$B$14:$N$89,6,0)</f>
        <v>Zwitserland  -  Honduras</v>
      </c>
      <c r="C49" s="170" t="str">
        <f ca="1">VLOOKUP($A49,INDIRECT(C$1&amp;"!$B$14:$N$89"),7,0)&amp;" - "&amp;VLOOKUP($A49,INDIRECT(C$1&amp;"!$B$14:$N$89"),9,0)</f>
        <v>1 - 1</v>
      </c>
      <c r="D49" s="170" t="str">
        <f t="shared" ca="1" si="8"/>
        <v>1 - 1</v>
      </c>
      <c r="E49" s="170" t="str">
        <f ca="1">VLOOKUP($A49,INDIRECT(E$1&amp;"!$B$14:$N$89"),7,0)&amp;" - "&amp;VLOOKUP($A49,INDIRECT(E$1&amp;"!$B$14:$N$89"),9,0)</f>
        <v>0 - 2</v>
      </c>
      <c r="F49" s="170" t="str">
        <f ca="1">VLOOKUP($A49,INDIRECT(F$1&amp;"!$B$14:$N$89"),7,0)&amp;" - "&amp;VLOOKUP($A49,INDIRECT(F$1&amp;"!$B$14:$N$89"),9,0)</f>
        <v>2 - 1</v>
      </c>
      <c r="G49" s="170" t="str">
        <f t="shared" ca="1" si="8"/>
        <v>0 - 1</v>
      </c>
      <c r="H49" s="170" t="str">
        <f ca="1">VLOOKUP($A49,INDIRECT(H$1&amp;"!$B$14:$N$89"),7,0)&amp;" - "&amp;VLOOKUP($A49,INDIRECT(H$1&amp;"!$B$14:$N$89"),9,0)</f>
        <v>0 - 0</v>
      </c>
      <c r="I49" s="170" t="str">
        <f ca="1">VLOOKUP($A49,INDIRECT(I$1&amp;"!$B$14:$N$89"),7,0)&amp;" - "&amp;VLOOKUP($A49,INDIRECT(I$1&amp;"!$B$14:$N$89"),9,0)</f>
        <v>2 - 1</v>
      </c>
      <c r="J49" s="170" t="str">
        <f ca="1">VLOOKUP($A49,INDIRECT(J$1&amp;"!$B$14:$N$89"),7,0)&amp;" - "&amp;VLOOKUP($A49,INDIRECT(J$1&amp;"!$B$14:$N$89"),9,0)</f>
        <v>1 - 0</v>
      </c>
      <c r="K49" s="170" t="str">
        <f ca="1">VLOOKUP($A49,INDIRECT(K$1&amp;"!$B$14:$N$89"),7,0)&amp;" - "&amp;VLOOKUP($A49,INDIRECT(K$1&amp;"!$B$14:$N$89"),9,0)</f>
        <v>3 - 1</v>
      </c>
      <c r="L49" s="170" t="str">
        <f ca="1">VLOOKUP($A49,INDIRECT(L$1&amp;"!$B$14:$N$89"),7,0)&amp;" - "&amp;VLOOKUP($A49,INDIRECT(L$1&amp;"!$B$14:$N$89"),9,0)</f>
        <v>1 - 0</v>
      </c>
      <c r="M49" s="170" t="str">
        <f ca="1">VLOOKUP($A49,INDIRECT(M$1&amp;"!$B$14:$N$89"),7,0)&amp;" - "&amp;VLOOKUP($A49,INDIRECT(M$1&amp;"!$B$14:$N$89"),9,0)</f>
        <v>1 - 0</v>
      </c>
      <c r="N49" s="170" t="str">
        <f ca="1">VLOOKUP($A49,INDIRECT(N$1&amp;"!$B$14:$N$89"),7,0)&amp;" - "&amp;VLOOKUP($A49,INDIRECT(N$1&amp;"!$B$14:$N$89"),9,0)</f>
        <v>1 - 0</v>
      </c>
      <c r="O49" s="170" t="str">
        <f t="shared" ca="1" si="8"/>
        <v>1 - 0</v>
      </c>
      <c r="P49" s="170" t="str">
        <f t="shared" ca="1" si="8"/>
        <v>2 - 1</v>
      </c>
      <c r="Q49" s="170" t="str">
        <f t="shared" ca="1" si="8"/>
        <v>1 - 0</v>
      </c>
      <c r="R49" s="170" t="str">
        <f t="shared" ca="1" si="8"/>
        <v>1 - 0</v>
      </c>
      <c r="S49" s="170" t="str">
        <f t="shared" ca="1" si="8"/>
        <v>0 - 2</v>
      </c>
      <c r="T49" s="170" t="str">
        <f t="shared" ca="1" si="9"/>
        <v>3 - 0</v>
      </c>
      <c r="U49" s="170" t="str">
        <f t="shared" ca="1" si="9"/>
        <v>1 - 0</v>
      </c>
      <c r="V49" s="170" t="str">
        <f t="shared" ca="1" si="9"/>
        <v>0 - 0</v>
      </c>
      <c r="W49" s="170" t="str">
        <f t="shared" ca="1" si="9"/>
        <v>1 - 1</v>
      </c>
      <c r="X49" s="170" t="str">
        <f t="shared" ca="1" si="9"/>
        <v>1 - 0</v>
      </c>
    </row>
    <row r="50" spans="1:24" s="175" customFormat="1">
      <c r="A50" s="171" t="s">
        <v>73</v>
      </c>
      <c r="B50" s="172" t="str">
        <f>Invulblad!F76</f>
        <v>Uruguay</v>
      </c>
      <c r="C50" s="173" t="str">
        <f ca="1">(VLOOKUP($A50,INDIRECT(C$1&amp;"!$a$94:$d$262"),4,0))</f>
        <v>Frankrijk</v>
      </c>
      <c r="D50" s="173" t="str">
        <f t="shared" ref="D50:S54" ca="1" si="10">(VLOOKUP($A50,INDIRECT(D$1&amp;"!$a$94:$d$262"),4,0))</f>
        <v>Zuid-Afrika</v>
      </c>
      <c r="E50" s="173" t="str">
        <f ca="1">(VLOOKUP($A50,INDIRECT(E$1&amp;"!$a$94:$d$262"),4,0))</f>
        <v>Frankrijk</v>
      </c>
      <c r="F50" s="173" t="str">
        <f ca="1">(VLOOKUP($A50,INDIRECT(F$1&amp;"!$a$94:$d$262"),4,0))</f>
        <v>Zuid-Afrika</v>
      </c>
      <c r="G50" s="174" t="str">
        <f t="shared" ca="1" si="10"/>
        <v>Mexico</v>
      </c>
      <c r="H50" s="173" t="str">
        <f ca="1">(VLOOKUP($A50,INDIRECT(H$1&amp;"!$a$94:$d$262"),4,0))</f>
        <v>Frankrijk</v>
      </c>
      <c r="I50" s="173" t="str">
        <f ca="1">(VLOOKUP($A50,INDIRECT(I$1&amp;"!$a$94:$d$262"),4,0))</f>
        <v>Frankrijk</v>
      </c>
      <c r="J50" s="174" t="str">
        <f ca="1">(VLOOKUP($A50,INDIRECT(J$1&amp;"!$a$94:$d$262"),4,0))</f>
        <v>Uruguay</v>
      </c>
      <c r="K50" s="173" t="str">
        <f ca="1">(VLOOKUP($A50,INDIRECT(K$1&amp;"!$a$94:$d$262"),4,0))</f>
        <v>Frankrijk</v>
      </c>
      <c r="L50" s="174" t="str">
        <f ca="1">(VLOOKUP($A50,INDIRECT(L$1&amp;"!$a$94:$d$262"),4,0))</f>
        <v>Mexico</v>
      </c>
      <c r="M50" s="173" t="str">
        <f ca="1">(VLOOKUP($A50,INDIRECT(M$1&amp;"!$a$94:$d$262"),4,0))</f>
        <v>Frankrijk</v>
      </c>
      <c r="N50" s="173" t="str">
        <f ca="1">(VLOOKUP($A50,INDIRECT(N$1&amp;"!$a$94:$d$262"),4,0))</f>
        <v>Frankrijk</v>
      </c>
      <c r="O50" s="174" t="str">
        <f t="shared" ca="1" si="10"/>
        <v>Mexico</v>
      </c>
      <c r="P50" s="173" t="str">
        <f t="shared" ca="1" si="10"/>
        <v>Frankrijk</v>
      </c>
      <c r="Q50" s="174" t="str">
        <f t="shared" ca="1" si="10"/>
        <v>Uruguay</v>
      </c>
      <c r="R50" s="174" t="str">
        <f t="shared" ca="1" si="10"/>
        <v>Uruguay</v>
      </c>
      <c r="S50" s="173" t="str">
        <f t="shared" ca="1" si="10"/>
        <v>Frankrijk</v>
      </c>
      <c r="T50" s="173" t="str">
        <f t="shared" ref="T50:X54" ca="1" si="11">(VLOOKUP($A50,INDIRECT(T$1&amp;"!$a$94:$d$262"),4,0))</f>
        <v>Frankrijk</v>
      </c>
      <c r="U50" s="173" t="str">
        <f t="shared" ca="1" si="11"/>
        <v>Frankrijk</v>
      </c>
      <c r="V50" s="173" t="str">
        <f t="shared" ca="1" si="11"/>
        <v>Frankrijk</v>
      </c>
      <c r="W50" s="174" t="str">
        <f t="shared" ca="1" si="11"/>
        <v>Uruguay</v>
      </c>
      <c r="X50" s="173" t="str">
        <f t="shared" ca="1" si="11"/>
        <v>Frankrijk</v>
      </c>
    </row>
    <row r="51" spans="1:24">
      <c r="A51" s="162" t="s">
        <v>74</v>
      </c>
      <c r="B51" s="163" t="str">
        <f>Invulblad!J79</f>
        <v>Mexico</v>
      </c>
      <c r="C51" s="177" t="str">
        <f ca="1">(VLOOKUP($A51,INDIRECT(C$1&amp;"!$a$94:$d$262"),4,0))</f>
        <v>Uruguay</v>
      </c>
      <c r="D51" s="176" t="str">
        <f t="shared" ca="1" si="10"/>
        <v>Frankrijk</v>
      </c>
      <c r="E51" s="177" t="str">
        <f ca="1">(VLOOKUP($A51,INDIRECT(E$1&amp;"!$a$94:$d$262"),4,0))</f>
        <v>Mexico</v>
      </c>
      <c r="F51" s="176" t="str">
        <f ca="1">(VLOOKUP($A51,INDIRECT(F$1&amp;"!$a$94:$d$262"),4,0))</f>
        <v>Frankrijk</v>
      </c>
      <c r="G51" s="176" t="str">
        <f t="shared" ca="1" si="10"/>
        <v>Frankrijk</v>
      </c>
      <c r="H51" s="177" t="str">
        <f ca="1">(VLOOKUP($A51,INDIRECT(H$1&amp;"!$a$94:$d$262"),4,0))</f>
        <v>Mexico</v>
      </c>
      <c r="I51" s="176" t="str">
        <f ca="1">(VLOOKUP($A51,INDIRECT(I$1&amp;"!$a$94:$d$262"),4,0))</f>
        <v>Zuid-Afrika</v>
      </c>
      <c r="J51" s="176" t="str">
        <f ca="1">(VLOOKUP($A51,INDIRECT(J$1&amp;"!$a$94:$d$262"),4,0))</f>
        <v>Frankrijk</v>
      </c>
      <c r="K51" s="177" t="str">
        <f ca="1">(VLOOKUP($A51,INDIRECT(K$1&amp;"!$a$94:$d$262"),4,0))</f>
        <v>Mexico</v>
      </c>
      <c r="L51" s="176" t="str">
        <f ca="1">(VLOOKUP($A51,INDIRECT(L$1&amp;"!$a$94:$d$262"),4,0))</f>
        <v>Frankrijk</v>
      </c>
      <c r="M51" s="177" t="str">
        <f ca="1">(VLOOKUP($A51,INDIRECT(M$1&amp;"!$a$94:$d$262"),4,0))</f>
        <v>Mexico</v>
      </c>
      <c r="N51" s="177" t="str">
        <f ca="1">(VLOOKUP($A51,INDIRECT(N$1&amp;"!$a$94:$d$262"),4,0))</f>
        <v>Uruguay</v>
      </c>
      <c r="O51" s="176" t="str">
        <f t="shared" ca="1" si="10"/>
        <v>Frankrijk</v>
      </c>
      <c r="P51" s="177" t="str">
        <f t="shared" ca="1" si="10"/>
        <v>Uruguay</v>
      </c>
      <c r="Q51" s="177" t="str">
        <f t="shared" ca="1" si="10"/>
        <v>Mexico</v>
      </c>
      <c r="R51" s="177" t="str">
        <f t="shared" ca="1" si="10"/>
        <v>Mexico</v>
      </c>
      <c r="S51" s="176" t="str">
        <f t="shared" ca="1" si="10"/>
        <v>Zuid-Afrika</v>
      </c>
      <c r="T51" s="177" t="str">
        <f t="shared" ca="1" si="11"/>
        <v>Mexico</v>
      </c>
      <c r="U51" s="177" t="str">
        <f t="shared" ca="1" si="11"/>
        <v>Uruguay</v>
      </c>
      <c r="V51" s="176" t="str">
        <f t="shared" ca="1" si="11"/>
        <v>Zuid-Afrika</v>
      </c>
      <c r="W51" s="176" t="str">
        <f t="shared" ca="1" si="11"/>
        <v>Frankrijk</v>
      </c>
      <c r="X51" s="176" t="str">
        <f t="shared" ca="1" si="11"/>
        <v>Zuid-Afrika</v>
      </c>
    </row>
    <row r="52" spans="1:24">
      <c r="A52" s="162" t="s">
        <v>75</v>
      </c>
      <c r="B52" s="178" t="str">
        <f>Invulblad!F79</f>
        <v>Argentinië</v>
      </c>
      <c r="C52" s="180" t="str">
        <f ca="1">(VLOOKUP($A52,INDIRECT(C$1&amp;"!$a$94:$d$262"),4,0))</f>
        <v>Nigeria</v>
      </c>
      <c r="D52" s="179" t="str">
        <f t="shared" ca="1" si="10"/>
        <v>Argentinië</v>
      </c>
      <c r="E52" s="179" t="str">
        <f ca="1">(VLOOKUP($A52,INDIRECT(E$1&amp;"!$a$94:$d$262"),4,0))</f>
        <v>Argentinië</v>
      </c>
      <c r="F52" s="179" t="str">
        <f ca="1">(VLOOKUP($A52,INDIRECT(F$1&amp;"!$a$94:$d$262"),4,0))</f>
        <v>Argentinië</v>
      </c>
      <c r="G52" s="179" t="str">
        <f t="shared" ca="1" si="10"/>
        <v>Argentinië</v>
      </c>
      <c r="H52" s="179" t="str">
        <f ca="1">(VLOOKUP($A52,INDIRECT(H$1&amp;"!$a$94:$d$262"),4,0))</f>
        <v>Argentinië</v>
      </c>
      <c r="I52" s="180" t="str">
        <f ca="1">(VLOOKUP($A52,INDIRECT(I$1&amp;"!$a$94:$d$262"),4,0))</f>
        <v>Griekenland</v>
      </c>
      <c r="J52" s="180" t="str">
        <f ca="1">(VLOOKUP($A52,INDIRECT(J$1&amp;"!$a$94:$d$262"),4,0))</f>
        <v>Nigeria</v>
      </c>
      <c r="K52" s="179" t="str">
        <f ca="1">(VLOOKUP($A52,INDIRECT(K$1&amp;"!$a$94:$d$262"),4,0))</f>
        <v>Argentinië</v>
      </c>
      <c r="L52" s="179" t="str">
        <f ca="1">(VLOOKUP($A52,INDIRECT(L$1&amp;"!$a$94:$d$262"),4,0))</f>
        <v>Argentinië</v>
      </c>
      <c r="M52" s="179" t="str">
        <f ca="1">(VLOOKUP($A52,INDIRECT(M$1&amp;"!$a$94:$d$262"),4,0))</f>
        <v>Argentinië</v>
      </c>
      <c r="N52" s="179" t="str">
        <f ca="1">(VLOOKUP($A52,INDIRECT(N$1&amp;"!$a$94:$d$262"),4,0))</f>
        <v>Argentinië</v>
      </c>
      <c r="O52" s="179" t="str">
        <f t="shared" ca="1" si="10"/>
        <v>Argentinië</v>
      </c>
      <c r="P52" s="179" t="str">
        <f t="shared" ca="1" si="10"/>
        <v>Argentinië</v>
      </c>
      <c r="Q52" s="179" t="str">
        <f t="shared" ca="1" si="10"/>
        <v>Argentinië</v>
      </c>
      <c r="R52" s="179" t="str">
        <f t="shared" ca="1" si="10"/>
        <v>Argentinië</v>
      </c>
      <c r="S52" s="179" t="str">
        <f t="shared" ca="1" si="10"/>
        <v>Zuid-Korea</v>
      </c>
      <c r="T52" s="179" t="str">
        <f t="shared" ca="1" si="11"/>
        <v>Argentinië</v>
      </c>
      <c r="U52" s="179" t="str">
        <f t="shared" ca="1" si="11"/>
        <v>Argentinië</v>
      </c>
      <c r="V52" s="179" t="str">
        <f t="shared" ca="1" si="11"/>
        <v>Argentinië</v>
      </c>
      <c r="W52" s="180" t="str">
        <f t="shared" ca="1" si="11"/>
        <v>Nigeria</v>
      </c>
      <c r="X52" s="179" t="str">
        <f t="shared" ca="1" si="11"/>
        <v>Argentinië</v>
      </c>
    </row>
    <row r="53" spans="1:24">
      <c r="A53" s="162" t="s">
        <v>76</v>
      </c>
      <c r="B53" s="163" t="str">
        <f>Invulblad!J76</f>
        <v>Zuid-Korea</v>
      </c>
      <c r="C53" s="177" t="str">
        <f ca="1">(VLOOKUP($A53,INDIRECT(C$1&amp;"!$a$94:$d$262"),4,0))</f>
        <v>Argentinië</v>
      </c>
      <c r="D53" s="176" t="str">
        <f t="shared" ca="1" si="10"/>
        <v>Nigeria</v>
      </c>
      <c r="E53" s="177" t="str">
        <f ca="1">(VLOOKUP($A53,INDIRECT(E$1&amp;"!$a$94:$d$262"),4,0))</f>
        <v>Zuid-Korea</v>
      </c>
      <c r="F53" s="177" t="str">
        <f ca="1">(VLOOKUP($A53,INDIRECT(F$1&amp;"!$a$94:$d$262"),4,0))</f>
        <v>Zuid-Korea</v>
      </c>
      <c r="G53" s="177" t="str">
        <f t="shared" ca="1" si="10"/>
        <v>Zuid-Korea</v>
      </c>
      <c r="H53" s="176" t="str">
        <f ca="1">(VLOOKUP($A53,INDIRECT(H$1&amp;"!$a$94:$d$262"),4,0))</f>
        <v>Nigeria</v>
      </c>
      <c r="I53" s="177" t="str">
        <f ca="1">(VLOOKUP($A53,INDIRECT(I$1&amp;"!$a$94:$d$262"),4,0))</f>
        <v>Argentinië</v>
      </c>
      <c r="J53" s="177" t="str">
        <f ca="1">(VLOOKUP($A53,INDIRECT(J$1&amp;"!$a$94:$d$262"),4,0))</f>
        <v>Argentinië</v>
      </c>
      <c r="K53" s="177" t="str">
        <f ca="1">(VLOOKUP($A53,INDIRECT(K$1&amp;"!$a$94:$d$262"),4,0))</f>
        <v>Zuid-Korea</v>
      </c>
      <c r="L53" s="177" t="str">
        <f ca="1">(VLOOKUP($A53,INDIRECT(L$1&amp;"!$a$94:$d$262"),4,0))</f>
        <v>Zuid-Korea</v>
      </c>
      <c r="M53" s="176" t="str">
        <f ca="1">(VLOOKUP($A53,INDIRECT(M$1&amp;"!$a$94:$d$262"),4,0))</f>
        <v>Nigeria</v>
      </c>
      <c r="N53" s="176" t="str">
        <f ca="1">(VLOOKUP($A53,INDIRECT(N$1&amp;"!$a$94:$d$262"),4,0))</f>
        <v>Nigeria</v>
      </c>
      <c r="O53" s="176" t="str">
        <f t="shared" ca="1" si="10"/>
        <v>Nigeria</v>
      </c>
      <c r="P53" s="176" t="str">
        <f t="shared" ca="1" si="10"/>
        <v>Griekenland</v>
      </c>
      <c r="Q53" s="176" t="str">
        <f t="shared" ca="1" si="10"/>
        <v>Nigeria</v>
      </c>
      <c r="R53" s="176" t="str">
        <f t="shared" ca="1" si="10"/>
        <v>Nigeria</v>
      </c>
      <c r="S53" s="177" t="str">
        <f t="shared" ca="1" si="10"/>
        <v>Argentinië</v>
      </c>
      <c r="T53" s="176" t="str">
        <f t="shared" ca="1" si="11"/>
        <v>Nigeria</v>
      </c>
      <c r="U53" s="176" t="str">
        <f t="shared" ca="1" si="11"/>
        <v>Griekenland</v>
      </c>
      <c r="V53" s="176" t="str">
        <f t="shared" ca="1" si="11"/>
        <v>Nigeria</v>
      </c>
      <c r="W53" s="177" t="str">
        <f t="shared" ca="1" si="11"/>
        <v>Argentinië</v>
      </c>
      <c r="X53" s="176" t="str">
        <f t="shared" ca="1" si="11"/>
        <v>Griekenland</v>
      </c>
    </row>
    <row r="54" spans="1:24" ht="13.5" thickBot="1">
      <c r="A54" s="162" t="s">
        <v>77</v>
      </c>
      <c r="B54" s="178" t="str">
        <f>Invulblad!F77</f>
        <v>USA</v>
      </c>
      <c r="C54" s="179" t="str">
        <f ca="1">(VLOOKUP($A54,INDIRECT(C$1&amp;"!$a$94:$d$262"),4,0))</f>
        <v>Engeland</v>
      </c>
      <c r="D54" s="179" t="str">
        <f t="shared" ca="1" si="10"/>
        <v>USA</v>
      </c>
      <c r="E54" s="332" t="str">
        <f ca="1">(VLOOKUP($A54,INDIRECT(E$1&amp;"!$a$94:$d$262"),4,0))</f>
        <v>Slovenië</v>
      </c>
      <c r="F54" s="179" t="str">
        <f ca="1">(VLOOKUP($A54,INDIRECT(F$1&amp;"!$a$94:$d$262"),4,0))</f>
        <v>Engeland</v>
      </c>
      <c r="G54" s="179" t="str">
        <f t="shared" ca="1" si="10"/>
        <v>USA</v>
      </c>
      <c r="H54" s="179" t="str">
        <f ca="1">(VLOOKUP($A54,INDIRECT(H$1&amp;"!$a$94:$d$262"),4,0))</f>
        <v>USA</v>
      </c>
      <c r="I54" s="179" t="str">
        <f ca="1">(VLOOKUP($A54,INDIRECT(I$1&amp;"!$a$94:$d$262"),4,0))</f>
        <v>Engeland</v>
      </c>
      <c r="J54" s="179" t="str">
        <f ca="1">(VLOOKUP($A54,INDIRECT(J$1&amp;"!$a$94:$d$262"),4,0))</f>
        <v>Engeland</v>
      </c>
      <c r="K54" s="179" t="str">
        <f ca="1">(VLOOKUP($A54,INDIRECT(K$1&amp;"!$a$94:$d$262"),4,0))</f>
        <v>Engeland</v>
      </c>
      <c r="L54" s="179" t="str">
        <f ca="1">(VLOOKUP($A54,INDIRECT(L$1&amp;"!$a$94:$d$262"),4,0))</f>
        <v>Engeland</v>
      </c>
      <c r="M54" s="179" t="str">
        <f ca="1">(VLOOKUP($A54,INDIRECT(M$1&amp;"!$a$94:$d$262"),4,0))</f>
        <v>Engeland</v>
      </c>
      <c r="N54" s="179" t="str">
        <f ca="1">(VLOOKUP($A54,INDIRECT(N$1&amp;"!$a$94:$d$262"),4,0))</f>
        <v>Engeland</v>
      </c>
      <c r="O54" s="179" t="str">
        <f t="shared" ca="1" si="10"/>
        <v>Engeland</v>
      </c>
      <c r="P54" s="179" t="str">
        <f t="shared" ca="1" si="10"/>
        <v>Engeland</v>
      </c>
      <c r="Q54" s="179" t="str">
        <f t="shared" ca="1" si="10"/>
        <v>Engeland</v>
      </c>
      <c r="R54" s="179" t="str">
        <f t="shared" ca="1" si="10"/>
        <v>Engeland</v>
      </c>
      <c r="S54" s="179" t="str">
        <f t="shared" ca="1" si="10"/>
        <v>Engeland</v>
      </c>
      <c r="T54" s="179" t="str">
        <f t="shared" ca="1" si="11"/>
        <v>Engeland</v>
      </c>
      <c r="U54" s="179" t="str">
        <f t="shared" ca="1" si="11"/>
        <v>Engeland</v>
      </c>
      <c r="V54" s="179" t="str">
        <f t="shared" ca="1" si="11"/>
        <v>Engeland</v>
      </c>
      <c r="W54" s="179" t="str">
        <f t="shared" ca="1" si="11"/>
        <v>Engeland</v>
      </c>
      <c r="X54" s="179" t="str">
        <f t="shared" ca="1" si="11"/>
        <v>Engeland</v>
      </c>
    </row>
    <row r="55" spans="1:24">
      <c r="A55" s="162" t="s">
        <v>78</v>
      </c>
      <c r="B55" s="163" t="str">
        <f>Invulblad!J78</f>
        <v>Engeland</v>
      </c>
      <c r="C55" s="181" t="str">
        <f ca="1">(VLOOKUP($A55,INDIRECT(C$1&amp;"!$a$94:$d$262"),4,0))</f>
        <v>USA</v>
      </c>
      <c r="D55" s="181" t="str">
        <f t="shared" ref="D55:O65" ca="1" si="12">(VLOOKUP($A55,INDIRECT(D$1&amp;"!$a$94:$d$262"),4,0))</f>
        <v>Engeland</v>
      </c>
      <c r="E55" s="181" t="str">
        <f ca="1">(VLOOKUP($A55,INDIRECT(E$1&amp;"!$a$94:$d$262"),4,0))</f>
        <v>Engeland</v>
      </c>
      <c r="F55" s="333" t="str">
        <f ca="1">(VLOOKUP($A55,INDIRECT(F$1&amp;"!$a$94:$d$262"),4,0))</f>
        <v>Algerije</v>
      </c>
      <c r="G55" s="181" t="str">
        <f t="shared" ca="1" si="12"/>
        <v>Engeland</v>
      </c>
      <c r="H55" s="181" t="str">
        <f ca="1">(VLOOKUP($A55,INDIRECT(H$1&amp;"!$a$94:$d$262"),4,0))</f>
        <v>Engeland</v>
      </c>
      <c r="I55" s="333" t="str">
        <f ca="1">(VLOOKUP($A55,INDIRECT(I$1&amp;"!$a$94:$d$262"),4,0))</f>
        <v>Slovenië</v>
      </c>
      <c r="J55" s="333" t="str">
        <f ca="1">(VLOOKUP($A55,INDIRECT(J$1&amp;"!$a$94:$d$262"),4,0))</f>
        <v>Algerije</v>
      </c>
      <c r="K55" s="181" t="str">
        <f ca="1">(VLOOKUP($A55,INDIRECT(K$1&amp;"!$a$94:$d$262"),4,0))</f>
        <v>USA</v>
      </c>
      <c r="L55" s="333" t="str">
        <f ca="1">(VLOOKUP($A55,INDIRECT(L$1&amp;"!$a$94:$d$262"),4,0))</f>
        <v>Slovenië</v>
      </c>
      <c r="M55" s="181" t="str">
        <f ca="1">(VLOOKUP($A55,INDIRECT(M$1&amp;"!$a$94:$d$262"),4,0))</f>
        <v>USA</v>
      </c>
      <c r="N55" s="181" t="str">
        <f ca="1">(VLOOKUP($A55,INDIRECT(N$1&amp;"!$a$94:$d$262"),4,0))</f>
        <v>USA</v>
      </c>
      <c r="O55" s="181" t="str">
        <f t="shared" ca="1" si="12"/>
        <v>USA</v>
      </c>
      <c r="P55" s="181" t="s">
        <v>32</v>
      </c>
      <c r="Q55" s="333" t="str">
        <f t="shared" ref="Q55:X65" ca="1" si="13">(VLOOKUP($A55,INDIRECT(Q$1&amp;"!$a$94:$d$262"),4,0))</f>
        <v>Slovenië</v>
      </c>
      <c r="R55" s="333" t="str">
        <f t="shared" ca="1" si="13"/>
        <v>Algerije</v>
      </c>
      <c r="S55" s="181" t="str">
        <f t="shared" ca="1" si="13"/>
        <v>USA</v>
      </c>
      <c r="T55" s="181" t="str">
        <f t="shared" ca="1" si="13"/>
        <v>USA</v>
      </c>
      <c r="U55" s="181" t="str">
        <f t="shared" ca="1" si="13"/>
        <v>USA</v>
      </c>
      <c r="V55" s="333" t="str">
        <f t="shared" ca="1" si="13"/>
        <v>Slovenië</v>
      </c>
      <c r="W55" s="333" t="str">
        <f t="shared" ca="1" si="13"/>
        <v>Slovenië</v>
      </c>
      <c r="X55" s="333" t="str">
        <f t="shared" ca="1" si="13"/>
        <v>Slovenië</v>
      </c>
    </row>
    <row r="56" spans="1:24" ht="13.5" thickBot="1">
      <c r="A56" s="162" t="s">
        <v>79</v>
      </c>
      <c r="B56" s="178" t="str">
        <f>Invulblad!F78</f>
        <v>Duitsland</v>
      </c>
      <c r="C56" s="179" t="str">
        <f ca="1">(VLOOKUP($A56,INDIRECT(C$1&amp;"!$a$94:$d$262"),4,0))</f>
        <v>Duitsland</v>
      </c>
      <c r="D56" s="179" t="str">
        <f t="shared" ca="1" si="12"/>
        <v>Duitsland</v>
      </c>
      <c r="E56" s="179" t="str">
        <f ca="1">(VLOOKUP($A56,INDIRECT(E$1&amp;"!$a$94:$d$262"),4,0))</f>
        <v>Duitsland</v>
      </c>
      <c r="F56" s="179" t="str">
        <f ca="1">(VLOOKUP($A56,INDIRECT(F$1&amp;"!$a$94:$d$262"),4,0))</f>
        <v>Duitsland</v>
      </c>
      <c r="G56" s="179" t="str">
        <f t="shared" ca="1" si="12"/>
        <v>Duitsland</v>
      </c>
      <c r="H56" s="179" t="str">
        <f ca="1">(VLOOKUP($A56,INDIRECT(H$1&amp;"!$a$94:$d$262"),4,0))</f>
        <v>Duitsland</v>
      </c>
      <c r="I56" s="179" t="str">
        <f ca="1">(VLOOKUP($A56,INDIRECT(I$1&amp;"!$a$94:$d$262"),4,0))</f>
        <v>Duitsland</v>
      </c>
      <c r="J56" s="179" t="str">
        <f ca="1">(VLOOKUP($A56,INDIRECT(J$1&amp;"!$a$94:$d$262"),4,0))</f>
        <v>Duitsland</v>
      </c>
      <c r="K56" s="179" t="str">
        <f ca="1">(VLOOKUP($A56,INDIRECT(K$1&amp;"!$a$94:$d$262"),4,0))</f>
        <v>Duitsland</v>
      </c>
      <c r="L56" s="332" t="str">
        <f ca="1">(VLOOKUP($A56,INDIRECT(L$1&amp;"!$a$94:$d$262"),4,0))</f>
        <v>Servië</v>
      </c>
      <c r="M56" s="179" t="str">
        <f ca="1">(VLOOKUP($A56,INDIRECT(M$1&amp;"!$a$94:$d$262"),4,0))</f>
        <v>Duitsland</v>
      </c>
      <c r="N56" s="179" t="str">
        <f ca="1">(VLOOKUP($A56,INDIRECT(N$1&amp;"!$a$94:$d$262"),4,0))</f>
        <v>Duitsland</v>
      </c>
      <c r="O56" s="332" t="str">
        <f t="shared" ca="1" si="12"/>
        <v>Servië</v>
      </c>
      <c r="P56" s="179" t="str">
        <f t="shared" ref="P56:P65" ca="1" si="14">(VLOOKUP($A56,INDIRECT(P$1&amp;"!$a$94:$d$262"),4,0))</f>
        <v>Duitsland</v>
      </c>
      <c r="Q56" s="179" t="str">
        <f t="shared" ca="1" si="13"/>
        <v>Duitsland</v>
      </c>
      <c r="R56" s="179" t="str">
        <f t="shared" ca="1" si="13"/>
        <v>Duitsland</v>
      </c>
      <c r="S56" s="332" t="str">
        <f t="shared" ca="1" si="13"/>
        <v>Servië</v>
      </c>
      <c r="T56" s="179" t="str">
        <f t="shared" ca="1" si="13"/>
        <v>Duitsland</v>
      </c>
      <c r="U56" s="179" t="str">
        <f t="shared" ca="1" si="13"/>
        <v>Duitsland</v>
      </c>
      <c r="V56" s="179" t="str">
        <f t="shared" ca="1" si="13"/>
        <v>Duitsland</v>
      </c>
      <c r="W56" s="179" t="str">
        <f t="shared" ca="1" si="13"/>
        <v>Duitsland</v>
      </c>
      <c r="X56" s="179" t="str">
        <f t="shared" ca="1" si="13"/>
        <v>Duitsland</v>
      </c>
    </row>
    <row r="57" spans="1:24">
      <c r="A57" s="162" t="s">
        <v>80</v>
      </c>
      <c r="B57" s="163" t="str">
        <f>Invulblad!J77</f>
        <v>Ghana</v>
      </c>
      <c r="C57" s="333" t="str">
        <f ca="1">(VLOOKUP($A57,INDIRECT(C$1&amp;"!$a$94:$d$262"),4,0))</f>
        <v>Servië</v>
      </c>
      <c r="D57" s="333" t="str">
        <f t="shared" ca="1" si="12"/>
        <v>Servië</v>
      </c>
      <c r="E57" s="333" t="str">
        <f ca="1">(VLOOKUP($A57,INDIRECT(E$1&amp;"!$a$94:$d$262"),4,0))</f>
        <v>Servië</v>
      </c>
      <c r="F57" s="181" t="str">
        <f ca="1">(VLOOKUP($A57,INDIRECT(F$1&amp;"!$a$94:$d$262"),4,0))</f>
        <v>Ghana</v>
      </c>
      <c r="G57" s="333" t="str">
        <f t="shared" ca="1" si="12"/>
        <v>Australië</v>
      </c>
      <c r="H57" s="181" t="str">
        <f ca="1">(VLOOKUP($A57,INDIRECT(H$1&amp;"!$a$94:$d$262"),4,0))</f>
        <v>Ghana</v>
      </c>
      <c r="I57" s="333" t="str">
        <f ca="1">(VLOOKUP($A57,INDIRECT(I$1&amp;"!$a$94:$d$262"),4,0))</f>
        <v>Servië</v>
      </c>
      <c r="J57" s="333" t="str">
        <f ca="1">(VLOOKUP($A57,INDIRECT(J$1&amp;"!$a$94:$d$262"),4,0))</f>
        <v>Servië</v>
      </c>
      <c r="K57" s="333" t="str">
        <f ca="1">(VLOOKUP($A57,INDIRECT(K$1&amp;"!$a$94:$d$262"),4,0))</f>
        <v>Servië</v>
      </c>
      <c r="L57" s="181" t="str">
        <f ca="1">(VLOOKUP($A57,INDIRECT(L$1&amp;"!$a$94:$d$262"),4,0))</f>
        <v>Duitsland</v>
      </c>
      <c r="M57" s="333" t="str">
        <f ca="1">(VLOOKUP($A57,INDIRECT(M$1&amp;"!$a$94:$d$262"),4,0))</f>
        <v>Australië</v>
      </c>
      <c r="N57" s="333" t="str">
        <f ca="1">(VLOOKUP($A57,INDIRECT(N$1&amp;"!$a$94:$d$262"),4,0))</f>
        <v>Australië</v>
      </c>
      <c r="O57" s="181" t="str">
        <f t="shared" ca="1" si="12"/>
        <v>Duitsland</v>
      </c>
      <c r="P57" s="333" t="str">
        <f t="shared" ca="1" si="14"/>
        <v>Australië</v>
      </c>
      <c r="Q57" s="333" t="str">
        <f t="shared" ca="1" si="13"/>
        <v>Australië</v>
      </c>
      <c r="R57" s="333" t="str">
        <f t="shared" ca="1" si="13"/>
        <v>Servië</v>
      </c>
      <c r="S57" s="181" t="str">
        <f t="shared" ca="1" si="13"/>
        <v>Duitsland</v>
      </c>
      <c r="T57" s="333" t="str">
        <f t="shared" ca="1" si="13"/>
        <v>Servië</v>
      </c>
      <c r="U57" s="333" t="str">
        <f t="shared" ca="1" si="13"/>
        <v>Servië</v>
      </c>
      <c r="V57" s="181" t="str">
        <f t="shared" ca="1" si="13"/>
        <v>Ghana</v>
      </c>
      <c r="W57" s="333" t="str">
        <f t="shared" ca="1" si="13"/>
        <v>Australië</v>
      </c>
      <c r="X57" s="333" t="str">
        <f t="shared" ca="1" si="13"/>
        <v>Servië</v>
      </c>
    </row>
    <row r="58" spans="1:24" ht="13.5" thickBot="1">
      <c r="A58" s="162" t="s">
        <v>81</v>
      </c>
      <c r="B58" s="178" t="str">
        <f>Invulblad!F80</f>
        <v>Nederland</v>
      </c>
      <c r="C58" s="179" t="str">
        <f ca="1">(VLOOKUP($A58,INDIRECT(C$1&amp;"!$a$94:$d$262"),4,0))</f>
        <v>Nederland</v>
      </c>
      <c r="D58" s="179" t="str">
        <f t="shared" ca="1" si="12"/>
        <v>Nederland</v>
      </c>
      <c r="E58" s="179" t="str">
        <f ca="1">(VLOOKUP($A58,INDIRECT(E$1&amp;"!$a$94:$d$262"),4,0))</f>
        <v>Nederland</v>
      </c>
      <c r="F58" s="179" t="str">
        <f ca="1">(VLOOKUP($A58,INDIRECT(F$1&amp;"!$a$94:$d$262"),4,0))</f>
        <v>Nederland</v>
      </c>
      <c r="G58" s="179" t="str">
        <f t="shared" ca="1" si="12"/>
        <v>Nederland</v>
      </c>
      <c r="H58" s="179" t="str">
        <f ca="1">(VLOOKUP($A58,INDIRECT(H$1&amp;"!$a$94:$d$262"),4,0))</f>
        <v>Nederland</v>
      </c>
      <c r="I58" s="179" t="str">
        <f ca="1">(VLOOKUP($A58,INDIRECT(I$1&amp;"!$a$94:$d$262"),4,0))</f>
        <v>Nederland</v>
      </c>
      <c r="J58" s="179" t="str">
        <f ca="1">(VLOOKUP($A58,INDIRECT(J$1&amp;"!$a$94:$d$262"),4,0))</f>
        <v>Nederland</v>
      </c>
      <c r="K58" s="179" t="str">
        <f ca="1">(VLOOKUP($A58,INDIRECT(K$1&amp;"!$a$94:$d$262"),4,0))</f>
        <v>Nederland</v>
      </c>
      <c r="L58" s="179" t="str">
        <f ca="1">(VLOOKUP($A58,INDIRECT(L$1&amp;"!$a$94:$d$262"),4,0))</f>
        <v>Nederland</v>
      </c>
      <c r="M58" s="179" t="str">
        <f ca="1">(VLOOKUP($A58,INDIRECT(M$1&amp;"!$a$94:$d$262"),4,0))</f>
        <v>Nederland</v>
      </c>
      <c r="N58" s="332" t="str">
        <f ca="1">(VLOOKUP($A58,INDIRECT(N$1&amp;"!$a$94:$d$262"),4,0))</f>
        <v>Denemarken</v>
      </c>
      <c r="O58" s="179" t="str">
        <f t="shared" ca="1" si="12"/>
        <v>Nederland</v>
      </c>
      <c r="P58" s="179" t="str">
        <f t="shared" ca="1" si="14"/>
        <v>Nederland</v>
      </c>
      <c r="Q58" s="179" t="str">
        <f t="shared" ca="1" si="13"/>
        <v>Nederland</v>
      </c>
      <c r="R58" s="179" t="str">
        <f t="shared" ca="1" si="13"/>
        <v>Nederland</v>
      </c>
      <c r="S58" s="179" t="str">
        <f t="shared" ca="1" si="13"/>
        <v>Nederland</v>
      </c>
      <c r="T58" s="179" t="str">
        <f t="shared" ca="1" si="13"/>
        <v>Nederland</v>
      </c>
      <c r="U58" s="179" t="str">
        <f t="shared" ca="1" si="13"/>
        <v>Nederland</v>
      </c>
      <c r="V58" s="179" t="str">
        <f t="shared" ca="1" si="13"/>
        <v>Nederland</v>
      </c>
      <c r="W58" s="180" t="str">
        <f t="shared" ca="1" si="13"/>
        <v>Kameroen</v>
      </c>
      <c r="X58" s="179" t="str">
        <f t="shared" ca="1" si="13"/>
        <v>Nederland</v>
      </c>
    </row>
    <row r="59" spans="1:24">
      <c r="A59" s="162" t="s">
        <v>82</v>
      </c>
      <c r="B59" s="163" t="str">
        <f>Invulblad!J82</f>
        <v>Japan</v>
      </c>
      <c r="C59" s="333" t="str">
        <f ca="1">(VLOOKUP($A59,INDIRECT(C$1&amp;"!$a$94:$d$262"),4,0))</f>
        <v>Denemarken</v>
      </c>
      <c r="D59" s="182" t="str">
        <f t="shared" ca="1" si="12"/>
        <v>Kameroen</v>
      </c>
      <c r="E59" s="339" t="str">
        <f ca="1">(VLOOKUP($A59,INDIRECT(E$1&amp;"!$a$94:$d$262"),4,0))</f>
        <v>Kameroen</v>
      </c>
      <c r="F59" s="333" t="str">
        <f ca="1">(VLOOKUP($A59,INDIRECT(F$1&amp;"!$a$94:$d$262"),4,0))</f>
        <v>Denemarken</v>
      </c>
      <c r="G59" s="333" t="str">
        <f t="shared" ca="1" si="12"/>
        <v>Denemarken</v>
      </c>
      <c r="H59" s="182" t="str">
        <f ca="1">(VLOOKUP($A59,INDIRECT(H$1&amp;"!$a$94:$d$262"),4,0))</f>
        <v>Kameroen</v>
      </c>
      <c r="I59" s="333" t="str">
        <f ca="1">(VLOOKUP($A59,INDIRECT(I$1&amp;"!$a$94:$d$262"),4,0))</f>
        <v>Denemarken</v>
      </c>
      <c r="J59" s="333" t="str">
        <f ca="1">(VLOOKUP($A59,INDIRECT(J$1&amp;"!$a$94:$d$262"),4,0))</f>
        <v>Denemarken</v>
      </c>
      <c r="K59" s="333" t="str">
        <f ca="1">(VLOOKUP($A59,INDIRECT(K$1&amp;"!$a$94:$d$262"),4,0))</f>
        <v>Denemarken</v>
      </c>
      <c r="L59" s="339" t="str">
        <f ca="1">(VLOOKUP($A59,INDIRECT(L$1&amp;"!$a$94:$d$262"),4,0))</f>
        <v>Kameroen</v>
      </c>
      <c r="M59" s="333" t="str">
        <f ca="1">(VLOOKUP($A59,INDIRECT(M$1&amp;"!$a$94:$d$262"),4,0))</f>
        <v>Denemarken</v>
      </c>
      <c r="N59" s="339" t="str">
        <f ca="1">(VLOOKUP($A59,INDIRECT(N$1&amp;"!$a$94:$d$262"),4,0))</f>
        <v>Kameroen</v>
      </c>
      <c r="O59" s="339" t="str">
        <f t="shared" ca="1" si="12"/>
        <v>Kameroen</v>
      </c>
      <c r="P59" s="339" t="str">
        <f t="shared" ca="1" si="14"/>
        <v>Kameroen</v>
      </c>
      <c r="Q59" s="333" t="str">
        <f t="shared" ca="1" si="13"/>
        <v>Denemarken</v>
      </c>
      <c r="R59" s="339" t="str">
        <f t="shared" ca="1" si="13"/>
        <v>Kameroen</v>
      </c>
      <c r="S59" s="333" t="str">
        <f t="shared" ca="1" si="13"/>
        <v>Denemarken</v>
      </c>
      <c r="T59" s="339" t="str">
        <f t="shared" ca="1" si="13"/>
        <v>Kameroen</v>
      </c>
      <c r="U59" s="339" t="str">
        <f t="shared" ca="1" si="13"/>
        <v>Kameroen</v>
      </c>
      <c r="V59" s="339" t="str">
        <f t="shared" ca="1" si="13"/>
        <v>Kameroen</v>
      </c>
      <c r="W59" s="181" t="str">
        <f t="shared" ca="1" si="13"/>
        <v>Nederland</v>
      </c>
      <c r="X59" s="182" t="str">
        <f t="shared" ca="1" si="13"/>
        <v>Kameroen</v>
      </c>
    </row>
    <row r="60" spans="1:24" ht="13.5" thickBot="1">
      <c r="A60" s="162" t="s">
        <v>83</v>
      </c>
      <c r="B60" s="178" t="str">
        <f>Invulblad!F82</f>
        <v>Paraguay</v>
      </c>
      <c r="C60" s="332" t="str">
        <f ca="1">(VLOOKUP($A60,INDIRECT(C$1&amp;"!$a$94:$d$262"),4,0))</f>
        <v>Italië</v>
      </c>
      <c r="D60" s="332" t="str">
        <f t="shared" ca="1" si="12"/>
        <v>Italië</v>
      </c>
      <c r="E60" s="332" t="str">
        <f ca="1">(VLOOKUP($A60,INDIRECT(E$1&amp;"!$a$94:$d$262"),4,0))</f>
        <v>Italië</v>
      </c>
      <c r="F60" s="332" t="str">
        <f ca="1">(VLOOKUP($A60,INDIRECT(F$1&amp;"!$a$94:$d$262"),4,0))</f>
        <v>Italië</v>
      </c>
      <c r="G60" s="332" t="str">
        <f t="shared" ca="1" si="12"/>
        <v>Nieuw-Zeeland</v>
      </c>
      <c r="H60" s="332" t="str">
        <f ca="1">(VLOOKUP($A60,INDIRECT(H$1&amp;"!$a$94:$d$262"),4,0))</f>
        <v>Italië</v>
      </c>
      <c r="I60" s="332" t="str">
        <f ca="1">(VLOOKUP($A60,INDIRECT(I$1&amp;"!$a$94:$d$262"),4,0))</f>
        <v>Italië</v>
      </c>
      <c r="J60" s="179" t="str">
        <f ca="1">(VLOOKUP($A60,INDIRECT(J$1&amp;"!$a$94:$d$262"),4,0))</f>
        <v>Slowakije</v>
      </c>
      <c r="K60" s="332" t="str">
        <f ca="1">(VLOOKUP($A60,INDIRECT(K$1&amp;"!$a$94:$d$262"),4,0))</f>
        <v>Italië</v>
      </c>
      <c r="L60" s="179" t="str">
        <f ca="1">(VLOOKUP($A60,INDIRECT(L$1&amp;"!$a$94:$d$262"),4,0))</f>
        <v>Slowakije</v>
      </c>
      <c r="M60" s="332" t="str">
        <f ca="1">(VLOOKUP($A60,INDIRECT(M$1&amp;"!$a$94:$d$262"),4,0))</f>
        <v>Italië</v>
      </c>
      <c r="N60" s="332" t="str">
        <f ca="1">(VLOOKUP($A60,INDIRECT(N$1&amp;"!$a$94:$d$262"),4,0))</f>
        <v>Italië</v>
      </c>
      <c r="O60" s="332" t="str">
        <f t="shared" ca="1" si="12"/>
        <v>Italië</v>
      </c>
      <c r="P60" s="332" t="str">
        <f t="shared" ca="1" si="14"/>
        <v>Italië</v>
      </c>
      <c r="Q60" s="332" t="str">
        <f t="shared" ca="1" si="13"/>
        <v>Italië</v>
      </c>
      <c r="R60" s="332" t="str">
        <f t="shared" ca="1" si="13"/>
        <v>Italië</v>
      </c>
      <c r="S60" s="332" t="str">
        <f t="shared" ca="1" si="13"/>
        <v>Italië</v>
      </c>
      <c r="T60" s="179" t="str">
        <f t="shared" ca="1" si="13"/>
        <v>Paraguay</v>
      </c>
      <c r="U60" s="332" t="str">
        <f t="shared" ca="1" si="13"/>
        <v>Italië</v>
      </c>
      <c r="V60" s="332" t="str">
        <f t="shared" ca="1" si="13"/>
        <v>Italië</v>
      </c>
      <c r="W60" s="332" t="str">
        <f t="shared" ca="1" si="13"/>
        <v>Italië</v>
      </c>
      <c r="X60" s="179" t="str">
        <f t="shared" ca="1" si="13"/>
        <v>Paraguay</v>
      </c>
    </row>
    <row r="61" spans="1:24">
      <c r="A61" s="162" t="s">
        <v>84</v>
      </c>
      <c r="B61" s="163" t="str">
        <f>Invulblad!J80</f>
        <v>Slowakije</v>
      </c>
      <c r="C61" s="181" t="str">
        <f ca="1">(VLOOKUP($A61,INDIRECT(C$1&amp;"!$a$94:$d$262"),4,0))</f>
        <v>Paraguay</v>
      </c>
      <c r="D61" s="181" t="str">
        <f t="shared" ca="1" si="12"/>
        <v>Paraguay</v>
      </c>
      <c r="E61" s="181" t="str">
        <f ca="1">(VLOOKUP($A61,INDIRECT(E$1&amp;"!$a$94:$d$262"),4,0))</f>
        <v>Paraguay</v>
      </c>
      <c r="F61" s="181" t="str">
        <f ca="1">(VLOOKUP($A61,INDIRECT(F$1&amp;"!$a$94:$d$262"),4,0))</f>
        <v>Slowakije</v>
      </c>
      <c r="G61" s="333" t="str">
        <f t="shared" ca="1" si="12"/>
        <v>Italië</v>
      </c>
      <c r="H61" s="181" t="str">
        <f ca="1">(VLOOKUP($A61,INDIRECT(H$1&amp;"!$a$94:$d$262"),4,0))</f>
        <v>Paraguay</v>
      </c>
      <c r="I61" s="181" t="str">
        <f ca="1">(VLOOKUP($A61,INDIRECT(I$1&amp;"!$a$94:$d$262"),4,0))</f>
        <v>Paraguay</v>
      </c>
      <c r="J61" s="333" t="str">
        <f ca="1">(VLOOKUP($A61,INDIRECT(J$1&amp;"!$a$94:$d$262"),4,0))</f>
        <v>Italië</v>
      </c>
      <c r="K61" s="181" t="str">
        <f ca="1">(VLOOKUP($A61,INDIRECT(K$1&amp;"!$a$94:$d$262"),4,0))</f>
        <v>Slowakije</v>
      </c>
      <c r="L61" s="181" t="str">
        <f ca="1">(VLOOKUP($A61,INDIRECT(L$1&amp;"!$a$94:$d$262"),4,0))</f>
        <v>Paraguay</v>
      </c>
      <c r="M61" s="181" t="str">
        <f ca="1">(VLOOKUP($A61,INDIRECT(M$1&amp;"!$a$94:$d$262"),4,0))</f>
        <v>Slowakije</v>
      </c>
      <c r="N61" s="181" t="str">
        <f ca="1">(VLOOKUP($A61,INDIRECT(N$1&amp;"!$a$94:$d$262"),4,0))</f>
        <v>Paraguay</v>
      </c>
      <c r="O61" s="181" t="str">
        <f t="shared" ca="1" si="12"/>
        <v>Paraguay</v>
      </c>
      <c r="P61" s="181" t="str">
        <f t="shared" ca="1" si="14"/>
        <v>Paraguay</v>
      </c>
      <c r="Q61" s="181" t="str">
        <f t="shared" ca="1" si="13"/>
        <v>Slowakije</v>
      </c>
      <c r="R61" s="181" t="str">
        <f t="shared" ca="1" si="13"/>
        <v>Slowakije</v>
      </c>
      <c r="S61" s="333" t="str">
        <f t="shared" ca="1" si="13"/>
        <v>Nieuw-Zeeland</v>
      </c>
      <c r="T61" s="333" t="str">
        <f t="shared" ca="1" si="13"/>
        <v>Italië</v>
      </c>
      <c r="U61" s="181" t="str">
        <f t="shared" ca="1" si="13"/>
        <v>Paraguay</v>
      </c>
      <c r="V61" s="181" t="str">
        <f t="shared" ca="1" si="13"/>
        <v>Paraguay</v>
      </c>
      <c r="W61" s="181" t="str">
        <f t="shared" ca="1" si="13"/>
        <v>Slowakije</v>
      </c>
      <c r="X61" s="333" t="str">
        <f t="shared" ca="1" si="13"/>
        <v>Italië</v>
      </c>
    </row>
    <row r="62" spans="1:24" ht="13.5" thickBot="1">
      <c r="A62" s="162" t="s">
        <v>85</v>
      </c>
      <c r="B62" s="178" t="str">
        <f>Invulblad!F81</f>
        <v>Brazilië</v>
      </c>
      <c r="C62" s="179" t="str">
        <f ca="1">(VLOOKUP($A62,INDIRECT(C$1&amp;"!$a$94:$d$262"),4,0))</f>
        <v>Brazilië</v>
      </c>
      <c r="D62" s="179" t="str">
        <f t="shared" ca="1" si="12"/>
        <v>Brazilië</v>
      </c>
      <c r="E62" s="179" t="str">
        <f ca="1">(VLOOKUP($A62,INDIRECT(E$1&amp;"!$a$94:$d$262"),4,0))</f>
        <v>Brazilië</v>
      </c>
      <c r="F62" s="179" t="str">
        <f ca="1">(VLOOKUP($A62,INDIRECT(F$1&amp;"!$a$94:$d$262"),4,0))</f>
        <v>Brazilië</v>
      </c>
      <c r="G62" s="179" t="str">
        <f t="shared" ca="1" si="12"/>
        <v>Brazilië</v>
      </c>
      <c r="H62" s="179" t="str">
        <f ca="1">(VLOOKUP($A62,INDIRECT(H$1&amp;"!$a$94:$d$262"),4,0))</f>
        <v>Brazilië</v>
      </c>
      <c r="I62" s="179" t="str">
        <f ca="1">(VLOOKUP($A62,INDIRECT(I$1&amp;"!$a$94:$d$262"),4,0))</f>
        <v>Brazilië</v>
      </c>
      <c r="J62" s="179" t="str">
        <f ca="1">(VLOOKUP($A62,INDIRECT(J$1&amp;"!$a$94:$d$262"),4,0))</f>
        <v>Brazilië</v>
      </c>
      <c r="K62" s="179" t="str">
        <f ca="1">(VLOOKUP($A62,INDIRECT(K$1&amp;"!$a$94:$d$262"),4,0))</f>
        <v>Brazilië</v>
      </c>
      <c r="L62" s="179" t="str">
        <f ca="1">(VLOOKUP($A62,INDIRECT(L$1&amp;"!$a$94:$d$262"),4,0))</f>
        <v>Brazilië</v>
      </c>
      <c r="M62" s="179" t="str">
        <f ca="1">(VLOOKUP($A62,INDIRECT(M$1&amp;"!$a$94:$d$262"),4,0))</f>
        <v>Brazilië</v>
      </c>
      <c r="N62" s="179" t="str">
        <f ca="1">(VLOOKUP($A62,INDIRECT(N$1&amp;"!$a$94:$d$262"),4,0))</f>
        <v>Brazilië</v>
      </c>
      <c r="O62" s="179" t="str">
        <f t="shared" ca="1" si="12"/>
        <v>Brazilië</v>
      </c>
      <c r="P62" s="179" t="str">
        <f t="shared" ca="1" si="14"/>
        <v>Brazilië</v>
      </c>
      <c r="Q62" s="179" t="str">
        <f t="shared" ca="1" si="13"/>
        <v>Brazilië</v>
      </c>
      <c r="R62" s="179" t="str">
        <f t="shared" ca="1" si="13"/>
        <v>Brazilië</v>
      </c>
      <c r="S62" s="179" t="str">
        <f t="shared" ca="1" si="13"/>
        <v>Brazilië</v>
      </c>
      <c r="T62" s="179" t="str">
        <f t="shared" ca="1" si="13"/>
        <v>Brazilië</v>
      </c>
      <c r="U62" s="179" t="str">
        <f t="shared" ca="1" si="13"/>
        <v>Brazilië</v>
      </c>
      <c r="V62" s="179" t="str">
        <f t="shared" ca="1" si="13"/>
        <v>Brazilië</v>
      </c>
      <c r="W62" s="179" t="str">
        <f t="shared" ca="1" si="13"/>
        <v>Brazilië</v>
      </c>
      <c r="X62" s="179" t="str">
        <f t="shared" ca="1" si="13"/>
        <v>Brazilië</v>
      </c>
    </row>
    <row r="63" spans="1:24">
      <c r="A63" s="162" t="s">
        <v>86</v>
      </c>
      <c r="B63" s="163" t="str">
        <f>Invulblad!J83</f>
        <v>Portugal</v>
      </c>
      <c r="C63" s="181" t="str">
        <f ca="1">(VLOOKUP($A63,INDIRECT(C$1&amp;"!$a$94:$d$262"),4,0))</f>
        <v>Portugal</v>
      </c>
      <c r="D63" s="182" t="str">
        <f t="shared" ca="1" si="12"/>
        <v>Ivoorkust</v>
      </c>
      <c r="E63" s="181" t="str">
        <f ca="1">(VLOOKUP($A63,INDIRECT(E$1&amp;"!$a$94:$d$262"),4,0))</f>
        <v>Portugal</v>
      </c>
      <c r="F63" s="181" t="str">
        <f ca="1">(VLOOKUP($A63,INDIRECT(F$1&amp;"!$a$94:$d$262"),4,0))</f>
        <v>Portugal</v>
      </c>
      <c r="G63" s="182" t="str">
        <f t="shared" ca="1" si="12"/>
        <v>Noord-Korea</v>
      </c>
      <c r="H63" s="182" t="str">
        <f ca="1">(VLOOKUP($A63,INDIRECT(H$1&amp;"!$a$94:$d$262"),4,0))</f>
        <v>Ivoorkust</v>
      </c>
      <c r="I63" s="181" t="str">
        <f ca="1">(VLOOKUP($A63,INDIRECT(I$1&amp;"!$a$94:$d$262"),4,0))</f>
        <v>Portugal</v>
      </c>
      <c r="J63" s="182" t="str">
        <f ca="1">(VLOOKUP($A63,INDIRECT(J$1&amp;"!$a$94:$d$262"),4,0))</f>
        <v>Ivoorkust</v>
      </c>
      <c r="K63" s="182" t="str">
        <f ca="1">(VLOOKUP($A63,INDIRECT(K$1&amp;"!$a$94:$d$262"),4,0))</f>
        <v>Ivoorkust</v>
      </c>
      <c r="L63" s="181" t="str">
        <f ca="1">(VLOOKUP($A63,INDIRECT(L$1&amp;"!$a$94:$d$262"),4,0))</f>
        <v>Portugal</v>
      </c>
      <c r="M63" s="182" t="str">
        <f ca="1">(VLOOKUP($A63,INDIRECT(M$1&amp;"!$a$94:$d$262"),4,0))</f>
        <v>Ivoorkust</v>
      </c>
      <c r="N63" s="181" t="str">
        <f ca="1">(VLOOKUP($A63,INDIRECT(N$1&amp;"!$a$94:$d$262"),4,0))</f>
        <v>Portugal</v>
      </c>
      <c r="O63" s="181" t="str">
        <f t="shared" ca="1" si="12"/>
        <v>Portugal</v>
      </c>
      <c r="P63" s="182" t="str">
        <f t="shared" ca="1" si="14"/>
        <v>Ivoorkust</v>
      </c>
      <c r="Q63" s="181" t="str">
        <f t="shared" ca="1" si="13"/>
        <v>Portugal</v>
      </c>
      <c r="R63" s="181" t="str">
        <f t="shared" ca="1" si="13"/>
        <v>Portugal</v>
      </c>
      <c r="S63" s="181" t="str">
        <f t="shared" ca="1" si="13"/>
        <v>Portugal</v>
      </c>
      <c r="T63" s="181" t="str">
        <f t="shared" ca="1" si="13"/>
        <v>Portugal</v>
      </c>
      <c r="U63" s="181" t="str">
        <f t="shared" ca="1" si="13"/>
        <v>Portugal</v>
      </c>
      <c r="V63" s="181" t="str">
        <f t="shared" ca="1" si="13"/>
        <v>Portugal</v>
      </c>
      <c r="W63" s="182" t="str">
        <f t="shared" ca="1" si="13"/>
        <v>Ivoorkust</v>
      </c>
      <c r="X63" s="182" t="str">
        <f t="shared" ca="1" si="13"/>
        <v>Ivoorkust</v>
      </c>
    </row>
    <row r="64" spans="1:24" ht="13.5" thickBot="1">
      <c r="A64" s="162" t="s">
        <v>87</v>
      </c>
      <c r="B64" s="178" t="str">
        <f>Invulblad!F83</f>
        <v>Spanje</v>
      </c>
      <c r="C64" s="179" t="str">
        <f ca="1">(VLOOKUP($A64,INDIRECT(C$1&amp;"!$a$94:$d$262"),4,0))</f>
        <v>Spanje</v>
      </c>
      <c r="D64" s="179" t="str">
        <f t="shared" ca="1" si="12"/>
        <v>Spanje</v>
      </c>
      <c r="E64" s="179" t="str">
        <f ca="1">(VLOOKUP($A64,INDIRECT(E$1&amp;"!$a$94:$d$262"),4,0))</f>
        <v>Spanje</v>
      </c>
      <c r="F64" s="179" t="str">
        <f ca="1">(VLOOKUP($A64,INDIRECT(F$1&amp;"!$a$94:$d$262"),4,0))</f>
        <v>Spanje</v>
      </c>
      <c r="G64" s="179" t="str">
        <f t="shared" ca="1" si="12"/>
        <v>Spanje</v>
      </c>
      <c r="H64" s="179" t="str">
        <f ca="1">(VLOOKUP($A64,INDIRECT(H$1&amp;"!$a$94:$d$262"),4,0))</f>
        <v>Spanje</v>
      </c>
      <c r="I64" s="179" t="str">
        <f ca="1">(VLOOKUP($A64,INDIRECT(I$1&amp;"!$a$94:$d$262"),4,0))</f>
        <v>Spanje</v>
      </c>
      <c r="J64" s="179" t="str">
        <f ca="1">(VLOOKUP($A64,INDIRECT(J$1&amp;"!$a$94:$d$262"),4,0))</f>
        <v>Spanje</v>
      </c>
      <c r="K64" s="179" t="str">
        <f ca="1">(VLOOKUP($A64,INDIRECT(K$1&amp;"!$a$94:$d$262"),4,0))</f>
        <v>Spanje</v>
      </c>
      <c r="L64" s="179" t="str">
        <f ca="1">(VLOOKUP($A64,INDIRECT(L$1&amp;"!$a$94:$d$262"),4,0))</f>
        <v>Spanje</v>
      </c>
      <c r="M64" s="179" t="str">
        <f ca="1">(VLOOKUP($A64,INDIRECT(M$1&amp;"!$a$94:$d$262"),4,0))</f>
        <v>Spanje</v>
      </c>
      <c r="N64" s="179" t="str">
        <f ca="1">(VLOOKUP($A64,INDIRECT(N$1&amp;"!$a$94:$d$262"),4,0))</f>
        <v>Spanje</v>
      </c>
      <c r="O64" s="179" t="str">
        <f t="shared" ca="1" si="12"/>
        <v>Spanje</v>
      </c>
      <c r="P64" s="179" t="str">
        <f t="shared" ca="1" si="14"/>
        <v>Spanje</v>
      </c>
      <c r="Q64" s="179" t="str">
        <f t="shared" ca="1" si="13"/>
        <v>Spanje</v>
      </c>
      <c r="R64" s="179" t="str">
        <f t="shared" ca="1" si="13"/>
        <v>Spanje</v>
      </c>
      <c r="S64" s="179" t="str">
        <f t="shared" ca="1" si="13"/>
        <v>Spanje</v>
      </c>
      <c r="T64" s="179" t="str">
        <f t="shared" ca="1" si="13"/>
        <v>Spanje</v>
      </c>
      <c r="U64" s="179" t="str">
        <f t="shared" ca="1" si="13"/>
        <v>Spanje</v>
      </c>
      <c r="V64" s="179" t="str">
        <f t="shared" ca="1" si="13"/>
        <v>Spanje</v>
      </c>
      <c r="W64" s="179" t="str">
        <f t="shared" ca="1" si="13"/>
        <v>Spanje</v>
      </c>
      <c r="X64" s="179" t="str">
        <f t="shared" ca="1" si="13"/>
        <v>Spanje</v>
      </c>
    </row>
    <row r="65" spans="1:25">
      <c r="A65" s="162" t="s">
        <v>88</v>
      </c>
      <c r="B65" s="183" t="str">
        <f>Invulblad!J81</f>
        <v>Chili</v>
      </c>
      <c r="C65" s="181" t="str">
        <f ca="1">(VLOOKUP($A65,INDIRECT(C$1&amp;"!$a$94:$d$262"),4,0))</f>
        <v>Chili</v>
      </c>
      <c r="D65" s="181" t="str">
        <f t="shared" ca="1" si="12"/>
        <v>Chili</v>
      </c>
      <c r="E65" s="182" t="str">
        <f ca="1">(VLOOKUP($A65,INDIRECT(E$1&amp;"!$a$94:$d$262"),4,0))</f>
        <v>Honduras</v>
      </c>
      <c r="F65" s="333" t="str">
        <f ca="1">(VLOOKUP($A65,INDIRECT(F$1&amp;"!$a$94:$d$262"),4,0))</f>
        <v>Zwitserland</v>
      </c>
      <c r="G65" s="181" t="str">
        <f t="shared" ca="1" si="12"/>
        <v>Chili</v>
      </c>
      <c r="H65" s="182" t="str">
        <f ca="1">(VLOOKUP($A65,INDIRECT(H$1&amp;"!$a$94:$d$262"),4,0))</f>
        <v>Honduras</v>
      </c>
      <c r="I65" s="181" t="str">
        <f ca="1">(VLOOKUP($A65,INDIRECT(I$1&amp;"!$a$94:$d$262"),4,0))</f>
        <v>Chili</v>
      </c>
      <c r="J65" s="181" t="str">
        <f ca="1">(VLOOKUP($A65,INDIRECT(J$1&amp;"!$a$94:$d$262"),4,0))</f>
        <v>Chili</v>
      </c>
      <c r="K65" s="333" t="str">
        <f ca="1">(VLOOKUP($A65,INDIRECT(K$1&amp;"!$a$94:$d$262"),4,0))</f>
        <v>Zwitserland</v>
      </c>
      <c r="L65" s="181" t="str">
        <f ca="1">(VLOOKUP($A65,INDIRECT(L$1&amp;"!$a$94:$d$262"),4,0))</f>
        <v>Chili</v>
      </c>
      <c r="M65" s="181" t="str">
        <f ca="1">(VLOOKUP($A65,INDIRECT(M$1&amp;"!$a$94:$d$262"),4,0))</f>
        <v>Chili</v>
      </c>
      <c r="N65" s="181" t="str">
        <f ca="1">(VLOOKUP($A65,INDIRECT(N$1&amp;"!$a$94:$d$262"),4,0))</f>
        <v>Chili</v>
      </c>
      <c r="O65" s="181" t="str">
        <f t="shared" ca="1" si="12"/>
        <v>Chili</v>
      </c>
      <c r="P65" s="333" t="str">
        <f t="shared" ca="1" si="14"/>
        <v>Zwitserland</v>
      </c>
      <c r="Q65" s="333" t="str">
        <f t="shared" ca="1" si="13"/>
        <v>Zwitserland</v>
      </c>
      <c r="R65" s="181" t="str">
        <f t="shared" ca="1" si="13"/>
        <v>Chili</v>
      </c>
      <c r="S65" s="182" t="str">
        <f t="shared" ca="1" si="13"/>
        <v>Honduras</v>
      </c>
      <c r="T65" s="333" t="str">
        <f t="shared" ca="1" si="13"/>
        <v>Zwitserland</v>
      </c>
      <c r="U65" s="333" t="str">
        <f t="shared" ca="1" si="13"/>
        <v>Zwitserland</v>
      </c>
      <c r="V65" s="181" t="str">
        <f t="shared" ca="1" si="13"/>
        <v>Chili</v>
      </c>
      <c r="W65" s="181" t="str">
        <f t="shared" ca="1" si="13"/>
        <v>Chili</v>
      </c>
      <c r="X65" s="181" t="str">
        <f t="shared" ca="1" si="13"/>
        <v>Chili</v>
      </c>
      <c r="Y65" s="183"/>
    </row>
    <row r="66" spans="1:25" s="169" customFormat="1">
      <c r="A66" s="167">
        <v>49</v>
      </c>
      <c r="B66" s="184" t="str">
        <f>VLOOKUP($A66,Invulblad!A$76:J$103,6,0)&amp;"-"&amp;VLOOKUP($A66,Invulblad!A$76:J$103,10,0)</f>
        <v>Uruguay-Zuid-Korea</v>
      </c>
      <c r="C66" s="170" t="str">
        <f ca="1">VLOOKUP($A66,INDIRECT(C$1&amp;"!$B$14:$N$89"),7,0)&amp;" - "&amp;VLOOKUP($A66,INDIRECT(C$1&amp;"!$B$14:$N$89"),9,0)</f>
        <v>1 - 1</v>
      </c>
      <c r="D66" s="170" t="str">
        <f t="shared" ref="D66:S73" ca="1" si="15">VLOOKUP($A66,INDIRECT(D$1&amp;"!$B$14:$N$89"),7,0)&amp;" - "&amp;VLOOKUP($A66,INDIRECT(D$1&amp;"!$B$14:$N$89"),9,0)</f>
        <v>1 - 0</v>
      </c>
      <c r="E66" s="170" t="str">
        <f ca="1">VLOOKUP($A66,INDIRECT(E$1&amp;"!$B$14:$N$89"),7,0)&amp;" - "&amp;VLOOKUP($A66,INDIRECT(E$1&amp;"!$B$14:$N$89"),9,0)</f>
        <v>0 - 1</v>
      </c>
      <c r="F66" s="170" t="str">
        <f ca="1">VLOOKUP($A66,INDIRECT(F$1&amp;"!$B$14:$N$89"),7,0)&amp;" - "&amp;VLOOKUP($A66,INDIRECT(F$1&amp;"!$B$14:$N$89"),9,0)</f>
        <v>2 - 1</v>
      </c>
      <c r="G66" s="170" t="str">
        <f t="shared" ca="1" si="15"/>
        <v>1 - 0</v>
      </c>
      <c r="H66" s="170" t="str">
        <f ca="1">VLOOKUP($A66,INDIRECT(H$1&amp;"!$B$14:$N$89"),7,0)&amp;" - "&amp;VLOOKUP($A66,INDIRECT(H$1&amp;"!$B$14:$N$89"),9,0)</f>
        <v>2 - 1</v>
      </c>
      <c r="I66" s="170" t="str">
        <f ca="1">VLOOKUP($A66,INDIRECT(I$1&amp;"!$B$14:$N$89"),7,0)&amp;" - "&amp;VLOOKUP($A66,INDIRECT(I$1&amp;"!$B$14:$N$89"),9,0)</f>
        <v>2 - 2</v>
      </c>
      <c r="J66" s="170" t="str">
        <f ca="1">VLOOKUP($A66,INDIRECT(J$1&amp;"!$B$14:$N$89"),7,0)&amp;" - "&amp;VLOOKUP($A66,INDIRECT(J$1&amp;"!$B$14:$N$89"),9,0)</f>
        <v>1 - 0</v>
      </c>
      <c r="K66" s="170" t="str">
        <f ca="1">VLOOKUP($A66,INDIRECT(K$1&amp;"!$B$14:$N$89"),7,0)&amp;" - "&amp;VLOOKUP($A66,INDIRECT(K$1&amp;"!$B$14:$N$89"),9,0)</f>
        <v>2 - 1</v>
      </c>
      <c r="L66" s="170" t="str">
        <f ca="1">VLOOKUP($A66,INDIRECT(L$1&amp;"!$B$14:$N$89"),7,0)&amp;" - "&amp;VLOOKUP($A66,INDIRECT(L$1&amp;"!$B$14:$N$89"),9,0)</f>
        <v>1 - 1</v>
      </c>
      <c r="M66" s="170" t="str">
        <f ca="1">VLOOKUP($A66,INDIRECT(M$1&amp;"!$B$14:$N$89"),7,0)&amp;" - "&amp;VLOOKUP($A66,INDIRECT(M$1&amp;"!$B$14:$N$89"),9,0)</f>
        <v>0 - 0</v>
      </c>
      <c r="N66" s="170" t="str">
        <f ca="1">VLOOKUP($A66,INDIRECT(N$1&amp;"!$B$14:$N$89"),7,0)&amp;" - "&amp;VLOOKUP($A66,INDIRECT(N$1&amp;"!$B$14:$N$89"),9,0)</f>
        <v>1 - 0</v>
      </c>
      <c r="O66" s="170" t="str">
        <f t="shared" ca="1" si="15"/>
        <v>2 - 1</v>
      </c>
      <c r="P66" s="170" t="str">
        <f t="shared" ca="1" si="15"/>
        <v>1 - 0</v>
      </c>
      <c r="Q66" s="170" t="str">
        <f t="shared" ca="1" si="15"/>
        <v>1 - 1</v>
      </c>
      <c r="R66" s="170" t="str">
        <f t="shared" ca="1" si="15"/>
        <v>1 - 1</v>
      </c>
      <c r="S66" s="170" t="str">
        <f t="shared" ca="1" si="15"/>
        <v>2 - 2</v>
      </c>
      <c r="T66" s="170" t="str">
        <f t="shared" ref="T66:X73" ca="1" si="16">VLOOKUP($A66,INDIRECT(T$1&amp;"!$B$14:$N$89"),7,0)&amp;" - "&amp;VLOOKUP($A66,INDIRECT(T$1&amp;"!$B$14:$N$89"),9,0)</f>
        <v>1 - 1</v>
      </c>
      <c r="U66" s="170" t="str">
        <f t="shared" ca="1" si="16"/>
        <v>2 - 0</v>
      </c>
      <c r="V66" s="170" t="str">
        <f t="shared" ca="1" si="16"/>
        <v>1 - 1</v>
      </c>
      <c r="W66" s="170" t="str">
        <f t="shared" ca="1" si="16"/>
        <v>1 - 2</v>
      </c>
      <c r="X66" s="170" t="str">
        <f t="shared" ca="1" si="16"/>
        <v>1 - 0</v>
      </c>
    </row>
    <row r="67" spans="1:25" s="169" customFormat="1">
      <c r="A67" s="167">
        <v>50</v>
      </c>
      <c r="B67" s="184" t="str">
        <f>VLOOKUP($A67,Invulblad!A$76:J$103,6,0)&amp;"-"&amp;VLOOKUP($A67,Invulblad!A$76:J$103,10,0)</f>
        <v>USA-Ghana</v>
      </c>
      <c r="C67" s="170" t="str">
        <f ca="1">VLOOKUP($A67,INDIRECT(C$1&amp;"!$B$14:$N$89"),7,0)&amp;" - "&amp;VLOOKUP($A67,INDIRECT(C$1&amp;"!$B$14:$N$89"),9,0)</f>
        <v>2 - 1</v>
      </c>
      <c r="D67" s="170" t="str">
        <f t="shared" ca="1" si="15"/>
        <v>0 - 2</v>
      </c>
      <c r="E67" s="170" t="str">
        <f ca="1">VLOOKUP($A67,INDIRECT(E$1&amp;"!$B$14:$N$89"),7,0)&amp;" - "&amp;VLOOKUP($A67,INDIRECT(E$1&amp;"!$B$14:$N$89"),9,0)</f>
        <v>0 - 0</v>
      </c>
      <c r="F67" s="170" t="str">
        <f ca="1">VLOOKUP($A67,INDIRECT(F$1&amp;"!$B$14:$N$89"),7,0)&amp;" - "&amp;VLOOKUP($A67,INDIRECT(F$1&amp;"!$B$14:$N$89"),9,0)</f>
        <v>2 - 0</v>
      </c>
      <c r="G67" s="170" t="str">
        <f t="shared" ca="1" si="15"/>
        <v>3 - 1</v>
      </c>
      <c r="H67" s="170" t="str">
        <f ca="1">VLOOKUP($A67,INDIRECT(H$1&amp;"!$B$14:$N$89"),7,0)&amp;" - "&amp;VLOOKUP($A67,INDIRECT(H$1&amp;"!$B$14:$N$89"),9,0)</f>
        <v>3 - 1</v>
      </c>
      <c r="I67" s="170" t="str">
        <f ca="1">VLOOKUP($A67,INDIRECT(I$1&amp;"!$B$14:$N$89"),7,0)&amp;" - "&amp;VLOOKUP($A67,INDIRECT(I$1&amp;"!$B$14:$N$89"),9,0)</f>
        <v>1 - 2</v>
      </c>
      <c r="J67" s="170" t="str">
        <f ca="1">VLOOKUP($A67,INDIRECT(J$1&amp;"!$B$14:$N$89"),7,0)&amp;" - "&amp;VLOOKUP($A67,INDIRECT(J$1&amp;"!$B$14:$N$89"),9,0)</f>
        <v>2 - 1</v>
      </c>
      <c r="K67" s="170" t="str">
        <f ca="1">VLOOKUP($A67,INDIRECT(K$1&amp;"!$B$14:$N$89"),7,0)&amp;" - "&amp;VLOOKUP($A67,INDIRECT(K$1&amp;"!$B$14:$N$89"),9,0)</f>
        <v>0 - 0</v>
      </c>
      <c r="L67" s="170" t="str">
        <f ca="1">VLOOKUP($A67,INDIRECT(L$1&amp;"!$B$14:$N$89"),7,0)&amp;" - "&amp;VLOOKUP($A67,INDIRECT(L$1&amp;"!$B$14:$N$89"),9,0)</f>
        <v>0 - 1</v>
      </c>
      <c r="M67" s="170" t="str">
        <f ca="1">VLOOKUP($A67,INDIRECT(M$1&amp;"!$B$14:$N$89"),7,0)&amp;" - "&amp;VLOOKUP($A67,INDIRECT(M$1&amp;"!$B$14:$N$89"),9,0)</f>
        <v>2 - 1</v>
      </c>
      <c r="N67" s="170" t="str">
        <f ca="1">VLOOKUP($A67,INDIRECT(N$1&amp;"!$B$14:$N$89"),7,0)&amp;" - "&amp;VLOOKUP($A67,INDIRECT(N$1&amp;"!$B$14:$N$89"),9,0)</f>
        <v>2 - 0</v>
      </c>
      <c r="O67" s="170" t="str">
        <f t="shared" ca="1" si="15"/>
        <v>1 - 2</v>
      </c>
      <c r="P67" s="170" t="str">
        <f t="shared" ca="1" si="15"/>
        <v>0 - 1</v>
      </c>
      <c r="Q67" s="170" t="str">
        <f t="shared" ca="1" si="15"/>
        <v>2 - 0</v>
      </c>
      <c r="R67" s="170" t="str">
        <f t="shared" ca="1" si="15"/>
        <v>1 - 0</v>
      </c>
      <c r="S67" s="170" t="str">
        <f t="shared" ca="1" si="15"/>
        <v>0 - 2</v>
      </c>
      <c r="T67" s="170" t="str">
        <f t="shared" ca="1" si="16"/>
        <v>1 - 0</v>
      </c>
      <c r="U67" s="170" t="str">
        <f t="shared" ca="1" si="16"/>
        <v>2 - 1</v>
      </c>
      <c r="V67" s="170" t="str">
        <f t="shared" ca="1" si="16"/>
        <v>2 - 1</v>
      </c>
      <c r="W67" s="170" t="str">
        <f t="shared" ca="1" si="16"/>
        <v>2 - 0</v>
      </c>
      <c r="X67" s="170" t="str">
        <f t="shared" ca="1" si="16"/>
        <v>2 - 0</v>
      </c>
    </row>
    <row r="68" spans="1:25" s="169" customFormat="1">
      <c r="A68" s="167">
        <v>51</v>
      </c>
      <c r="B68" s="184" t="str">
        <f>VLOOKUP($A68,Invulblad!A$76:J$103,6,0)&amp;"-"&amp;VLOOKUP($A68,Invulblad!A$76:J$103,10,0)</f>
        <v>Duitsland-Engeland</v>
      </c>
      <c r="C68" s="170" t="str">
        <f ca="1">VLOOKUP($A68,INDIRECT(C$1&amp;"!$B$14:$N$89"),7,0)&amp;" - "&amp;VLOOKUP($A68,INDIRECT(C$1&amp;"!$B$14:$N$89"),9,0)</f>
        <v>2 - 0</v>
      </c>
      <c r="D68" s="170" t="str">
        <f t="shared" ca="1" si="15"/>
        <v>0 - 0</v>
      </c>
      <c r="E68" s="170" t="str">
        <f ca="1">VLOOKUP($A68,INDIRECT(E$1&amp;"!$B$14:$N$89"),7,0)&amp;" - "&amp;VLOOKUP($A68,INDIRECT(E$1&amp;"!$B$14:$N$89"),9,0)</f>
        <v>3 - 1</v>
      </c>
      <c r="F68" s="170" t="str">
        <f ca="1">VLOOKUP($A68,INDIRECT(F$1&amp;"!$B$14:$N$89"),7,0)&amp;" - "&amp;VLOOKUP($A68,INDIRECT(F$1&amp;"!$B$14:$N$89"),9,0)</f>
        <v>2 - 1</v>
      </c>
      <c r="G68" s="170" t="str">
        <f t="shared" ca="1" si="15"/>
        <v>2 - 1</v>
      </c>
      <c r="H68" s="170" t="str">
        <f ca="1">VLOOKUP($A68,INDIRECT(H$1&amp;"!$B$14:$N$89"),7,0)&amp;" - "&amp;VLOOKUP($A68,INDIRECT(H$1&amp;"!$B$14:$N$89"),9,0)</f>
        <v>2 - 1</v>
      </c>
      <c r="I68" s="170" t="str">
        <f ca="1">VLOOKUP($A68,INDIRECT(I$1&amp;"!$B$14:$N$89"),7,0)&amp;" - "&amp;VLOOKUP($A68,INDIRECT(I$1&amp;"!$B$14:$N$89"),9,0)</f>
        <v>1 - 0</v>
      </c>
      <c r="J68" s="170" t="str">
        <f ca="1">VLOOKUP($A68,INDIRECT(J$1&amp;"!$B$14:$N$89"),7,0)&amp;" - "&amp;VLOOKUP($A68,INDIRECT(J$1&amp;"!$B$14:$N$89"),9,0)</f>
        <v>2 - 0</v>
      </c>
      <c r="K68" s="170" t="str">
        <f ca="1">VLOOKUP($A68,INDIRECT(K$1&amp;"!$B$14:$N$89"),7,0)&amp;" - "&amp;VLOOKUP($A68,INDIRECT(K$1&amp;"!$B$14:$N$89"),9,0)</f>
        <v>1 - 1</v>
      </c>
      <c r="L68" s="170" t="str">
        <f ca="1">VLOOKUP($A68,INDIRECT(L$1&amp;"!$B$14:$N$89"),7,0)&amp;" - "&amp;VLOOKUP($A68,INDIRECT(L$1&amp;"!$B$14:$N$89"),9,0)</f>
        <v>2 - 1</v>
      </c>
      <c r="M68" s="170" t="str">
        <f ca="1">VLOOKUP($A68,INDIRECT(M$1&amp;"!$B$14:$N$89"),7,0)&amp;" - "&amp;VLOOKUP($A68,INDIRECT(M$1&amp;"!$B$14:$N$89"),9,0)</f>
        <v>2 - 0</v>
      </c>
      <c r="N68" s="170" t="str">
        <f ca="1">VLOOKUP($A68,INDIRECT(N$1&amp;"!$B$14:$N$89"),7,0)&amp;" - "&amp;VLOOKUP($A68,INDIRECT(N$1&amp;"!$B$14:$N$89"),9,0)</f>
        <v>2 - 0</v>
      </c>
      <c r="O68" s="170" t="str">
        <f t="shared" ca="1" si="15"/>
        <v>0 - 1</v>
      </c>
      <c r="P68" s="170" t="str">
        <f t="shared" ca="1" si="15"/>
        <v>1 - 1</v>
      </c>
      <c r="Q68" s="170" t="str">
        <f t="shared" ca="1" si="15"/>
        <v>2 - 0</v>
      </c>
      <c r="R68" s="170" t="str">
        <f t="shared" ca="1" si="15"/>
        <v>2 - 0</v>
      </c>
      <c r="S68" s="170" t="str">
        <f t="shared" ca="1" si="15"/>
        <v>1 - 0</v>
      </c>
      <c r="T68" s="170" t="str">
        <f t="shared" ca="1" si="16"/>
        <v>2 - 1</v>
      </c>
      <c r="U68" s="170" t="str">
        <f t="shared" ca="1" si="16"/>
        <v>3 - 0</v>
      </c>
      <c r="V68" s="170" t="str">
        <f t="shared" ca="1" si="16"/>
        <v>1 - 0</v>
      </c>
      <c r="W68" s="170" t="str">
        <f t="shared" ca="1" si="16"/>
        <v>1 - 0</v>
      </c>
      <c r="X68" s="170" t="str">
        <f t="shared" ca="1" si="16"/>
        <v>3 - 1</v>
      </c>
    </row>
    <row r="69" spans="1:25" s="169" customFormat="1">
      <c r="A69" s="167">
        <v>52</v>
      </c>
      <c r="B69" s="184" t="str">
        <f>VLOOKUP($A69,Invulblad!A$76:J$103,6,0)&amp;"-"&amp;VLOOKUP($A69,Invulblad!A$76:J$103,10,0)</f>
        <v>Argentinië-Mexico</v>
      </c>
      <c r="C69" s="170" t="str">
        <f ca="1">VLOOKUP($A69,INDIRECT(C$1&amp;"!$B$14:$N$89"),7,0)&amp;" - "&amp;VLOOKUP($A69,INDIRECT(C$1&amp;"!$B$14:$N$89"),9,0)</f>
        <v>1 - 1</v>
      </c>
      <c r="D69" s="170" t="str">
        <f t="shared" ca="1" si="15"/>
        <v>1 - 0</v>
      </c>
      <c r="E69" s="170" t="str">
        <f ca="1">VLOOKUP($A69,INDIRECT(E$1&amp;"!$B$14:$N$89"),7,0)&amp;" - "&amp;VLOOKUP($A69,INDIRECT(E$1&amp;"!$B$14:$N$89"),9,0)</f>
        <v>1 - 1</v>
      </c>
      <c r="F69" s="170" t="str">
        <f ca="1">VLOOKUP($A69,INDIRECT(F$1&amp;"!$B$14:$N$89"),7,0)&amp;" - "&amp;VLOOKUP($A69,INDIRECT(F$1&amp;"!$B$14:$N$89"),9,0)</f>
        <v>3 - 1</v>
      </c>
      <c r="G69" s="170" t="str">
        <f t="shared" ca="1" si="15"/>
        <v>2 - 2</v>
      </c>
      <c r="H69" s="170" t="str">
        <f ca="1">VLOOKUP($A69,INDIRECT(H$1&amp;"!$B$14:$N$89"),7,0)&amp;" - "&amp;VLOOKUP($A69,INDIRECT(H$1&amp;"!$B$14:$N$89"),9,0)</f>
        <v>2 - 0</v>
      </c>
      <c r="I69" s="170" t="str">
        <f ca="1">VLOOKUP($A69,INDIRECT(I$1&amp;"!$B$14:$N$89"),7,0)&amp;" - "&amp;VLOOKUP($A69,INDIRECT(I$1&amp;"!$B$14:$N$89"),9,0)</f>
        <v>3 - 2</v>
      </c>
      <c r="J69" s="170" t="str">
        <f ca="1">VLOOKUP($A69,INDIRECT(J$1&amp;"!$B$14:$N$89"),7,0)&amp;" - "&amp;VLOOKUP($A69,INDIRECT(J$1&amp;"!$B$14:$N$89"),9,0)</f>
        <v>2 - 1</v>
      </c>
      <c r="K69" s="170" t="str">
        <f ca="1">VLOOKUP($A69,INDIRECT(K$1&amp;"!$B$14:$N$89"),7,0)&amp;" - "&amp;VLOOKUP($A69,INDIRECT(K$1&amp;"!$B$14:$N$89"),9,0)</f>
        <v>2 - 1</v>
      </c>
      <c r="L69" s="170" t="str">
        <f ca="1">VLOOKUP($A69,INDIRECT(L$1&amp;"!$B$14:$N$89"),7,0)&amp;" - "&amp;VLOOKUP($A69,INDIRECT(L$1&amp;"!$B$14:$N$89"),9,0)</f>
        <v>1 - 0</v>
      </c>
      <c r="M69" s="170" t="str">
        <f ca="1">VLOOKUP($A69,INDIRECT(M$1&amp;"!$B$14:$N$89"),7,0)&amp;" - "&amp;VLOOKUP($A69,INDIRECT(M$1&amp;"!$B$14:$N$89"),9,0)</f>
        <v>3 - 1</v>
      </c>
      <c r="N69" s="170" t="str">
        <f ca="1">VLOOKUP($A69,INDIRECT(N$1&amp;"!$B$14:$N$89"),7,0)&amp;" - "&amp;VLOOKUP($A69,INDIRECT(N$1&amp;"!$B$14:$N$89"),9,0)</f>
        <v>1 - 0</v>
      </c>
      <c r="O69" s="170" t="str">
        <f t="shared" ca="1" si="15"/>
        <v>2 - 1</v>
      </c>
      <c r="P69" s="170" t="str">
        <f t="shared" ca="1" si="15"/>
        <v>1 - 1</v>
      </c>
      <c r="Q69" s="170" t="str">
        <f t="shared" ca="1" si="15"/>
        <v>1 - 0</v>
      </c>
      <c r="R69" s="170" t="str">
        <f t="shared" ca="1" si="15"/>
        <v>2 - 1</v>
      </c>
      <c r="S69" s="170" t="str">
        <f t="shared" ca="1" si="15"/>
        <v>1 - 0</v>
      </c>
      <c r="T69" s="170" t="str">
        <f t="shared" ca="1" si="16"/>
        <v>2 - 1</v>
      </c>
      <c r="U69" s="170" t="str">
        <f t="shared" ca="1" si="16"/>
        <v>3 - 1</v>
      </c>
      <c r="V69" s="170" t="str">
        <f t="shared" ca="1" si="16"/>
        <v>2 - 1</v>
      </c>
      <c r="W69" s="170" t="str">
        <f t="shared" ca="1" si="16"/>
        <v>1 - 1</v>
      </c>
      <c r="X69" s="170" t="str">
        <f t="shared" ca="1" si="16"/>
        <v>2 - 1</v>
      </c>
    </row>
    <row r="70" spans="1:25" s="169" customFormat="1">
      <c r="A70" s="167">
        <v>53</v>
      </c>
      <c r="B70" s="184" t="str">
        <f>VLOOKUP($A70,Invulblad!A$76:J$103,6,0)&amp;"-"&amp;VLOOKUP($A70,Invulblad!A$76:J$103,10,0)</f>
        <v>Nederland-Slowakije</v>
      </c>
      <c r="C70" s="170" t="str">
        <f ca="1">VLOOKUP($A70,INDIRECT(C$1&amp;"!$B$14:$N$89"),7,0)&amp;" - "&amp;VLOOKUP($A70,INDIRECT(C$1&amp;"!$B$14:$N$89"),9,0)</f>
        <v>3 - 1</v>
      </c>
      <c r="D70" s="170" t="str">
        <f t="shared" ca="1" si="15"/>
        <v>2 - 0</v>
      </c>
      <c r="E70" s="170" t="str">
        <f ca="1">VLOOKUP($A70,INDIRECT(E$1&amp;"!$B$14:$N$89"),7,0)&amp;" - "&amp;VLOOKUP($A70,INDIRECT(E$1&amp;"!$B$14:$N$89"),9,0)</f>
        <v>1 - 0</v>
      </c>
      <c r="F70" s="170" t="str">
        <f ca="1">VLOOKUP($A70,INDIRECT(F$1&amp;"!$B$14:$N$89"),7,0)&amp;" - "&amp;VLOOKUP($A70,INDIRECT(F$1&amp;"!$B$14:$N$89"),9,0)</f>
        <v>4 - 0</v>
      </c>
      <c r="G70" s="170" t="str">
        <f t="shared" ca="1" si="15"/>
        <v>2 - 1</v>
      </c>
      <c r="H70" s="170" t="str">
        <f ca="1">VLOOKUP($A70,INDIRECT(H$1&amp;"!$B$14:$N$89"),7,0)&amp;" - "&amp;VLOOKUP($A70,INDIRECT(H$1&amp;"!$B$14:$N$89"),9,0)</f>
        <v>3 - 1</v>
      </c>
      <c r="I70" s="170" t="str">
        <f ca="1">VLOOKUP($A70,INDIRECT(I$1&amp;"!$B$14:$N$89"),7,0)&amp;" - "&amp;VLOOKUP($A70,INDIRECT(I$1&amp;"!$B$14:$N$89"),9,0)</f>
        <v>2 - 1</v>
      </c>
      <c r="J70" s="170" t="str">
        <f ca="1">VLOOKUP($A70,INDIRECT(J$1&amp;"!$B$14:$N$89"),7,0)&amp;" - "&amp;VLOOKUP($A70,INDIRECT(J$1&amp;"!$B$14:$N$89"),9,0)</f>
        <v>0 - 0</v>
      </c>
      <c r="K70" s="170" t="str">
        <f ca="1">VLOOKUP($A70,INDIRECT(K$1&amp;"!$B$14:$N$89"),7,0)&amp;" - "&amp;VLOOKUP($A70,INDIRECT(K$1&amp;"!$B$14:$N$89"),9,0)</f>
        <v>3 - 1</v>
      </c>
      <c r="L70" s="170" t="str">
        <f ca="1">VLOOKUP($A70,INDIRECT(L$1&amp;"!$B$14:$N$89"),7,0)&amp;" - "&amp;VLOOKUP($A70,INDIRECT(L$1&amp;"!$B$14:$N$89"),9,0)</f>
        <v>2 - 0</v>
      </c>
      <c r="M70" s="170" t="str">
        <f ca="1">VLOOKUP($A70,INDIRECT(M$1&amp;"!$B$14:$N$89"),7,0)&amp;" - "&amp;VLOOKUP($A70,INDIRECT(M$1&amp;"!$B$14:$N$89"),9,0)</f>
        <v>3 - 0</v>
      </c>
      <c r="N70" s="170" t="str">
        <f ca="1">VLOOKUP($A70,INDIRECT(N$1&amp;"!$B$14:$N$89"),7,0)&amp;" - "&amp;VLOOKUP($A70,INDIRECT(N$1&amp;"!$B$14:$N$89"),9,0)</f>
        <v>1 - 1</v>
      </c>
      <c r="O70" s="170" t="str">
        <f t="shared" ca="1" si="15"/>
        <v>2 - 1</v>
      </c>
      <c r="P70" s="170" t="str">
        <f t="shared" ca="1" si="15"/>
        <v>3 - 1</v>
      </c>
      <c r="Q70" s="170" t="str">
        <f t="shared" ca="1" si="15"/>
        <v>2 - 1</v>
      </c>
      <c r="R70" s="170" t="str">
        <f t="shared" ca="1" si="15"/>
        <v>2 - 1</v>
      </c>
      <c r="S70" s="170" t="str">
        <f t="shared" ca="1" si="15"/>
        <v>2 - 0</v>
      </c>
      <c r="T70" s="170" t="str">
        <f t="shared" ca="1" si="16"/>
        <v>2 - 1</v>
      </c>
      <c r="U70" s="170" t="str">
        <f t="shared" ca="1" si="16"/>
        <v>2 - 0</v>
      </c>
      <c r="V70" s="170" t="str">
        <f t="shared" ca="1" si="16"/>
        <v>1 - 0</v>
      </c>
      <c r="W70" s="170" t="str">
        <f t="shared" ca="1" si="16"/>
        <v>2 - 1</v>
      </c>
      <c r="X70" s="170" t="str">
        <f t="shared" ca="1" si="16"/>
        <v>1 - 1</v>
      </c>
    </row>
    <row r="71" spans="1:25" s="169" customFormat="1">
      <c r="A71" s="167">
        <v>54</v>
      </c>
      <c r="B71" s="184" t="str">
        <f>VLOOKUP($A71,Invulblad!A$76:J$103,6,0)&amp;"-"&amp;VLOOKUP($A71,Invulblad!A$76:J$103,10,0)</f>
        <v>Brazilië-Chili</v>
      </c>
      <c r="C71" s="170" t="str">
        <f ca="1">VLOOKUP($A71,INDIRECT(C$1&amp;"!$B$14:$N$89"),7,0)&amp;" - "&amp;VLOOKUP($A71,INDIRECT(C$1&amp;"!$B$14:$N$89"),9,0)</f>
        <v>2 - 1</v>
      </c>
      <c r="D71" s="170" t="str">
        <f t="shared" ca="1" si="15"/>
        <v>2 - 0</v>
      </c>
      <c r="E71" s="170" t="str">
        <f ca="1">VLOOKUP($A71,INDIRECT(E$1&amp;"!$B$14:$N$89"),7,0)&amp;" - "&amp;VLOOKUP($A71,INDIRECT(E$1&amp;"!$B$14:$N$89"),9,0)</f>
        <v>2 - 0</v>
      </c>
      <c r="F71" s="170" t="str">
        <f ca="1">VLOOKUP($A71,INDIRECT(F$1&amp;"!$B$14:$N$89"),7,0)&amp;" - "&amp;VLOOKUP($A71,INDIRECT(F$1&amp;"!$B$14:$N$89"),9,0)</f>
        <v>1 - 1</v>
      </c>
      <c r="G71" s="170" t="str">
        <f t="shared" ca="1" si="15"/>
        <v>3 - 0</v>
      </c>
      <c r="H71" s="170" t="str">
        <f ca="1">VLOOKUP($A71,INDIRECT(H$1&amp;"!$B$14:$N$89"),7,0)&amp;" - "&amp;VLOOKUP($A71,INDIRECT(H$1&amp;"!$B$14:$N$89"),9,0)</f>
        <v>4 - 0</v>
      </c>
      <c r="I71" s="170" t="str">
        <f ca="1">VLOOKUP($A71,INDIRECT(I$1&amp;"!$B$14:$N$89"),7,0)&amp;" - "&amp;VLOOKUP($A71,INDIRECT(I$1&amp;"!$B$14:$N$89"),9,0)</f>
        <v>3 - 0</v>
      </c>
      <c r="J71" s="170" t="str">
        <f ca="1">VLOOKUP($A71,INDIRECT(J$1&amp;"!$B$14:$N$89"),7,0)&amp;" - "&amp;VLOOKUP($A71,INDIRECT(J$1&amp;"!$B$14:$N$89"),9,0)</f>
        <v>1 - 0</v>
      </c>
      <c r="K71" s="170" t="str">
        <f ca="1">VLOOKUP($A71,INDIRECT(K$1&amp;"!$B$14:$N$89"),7,0)&amp;" - "&amp;VLOOKUP($A71,INDIRECT(K$1&amp;"!$B$14:$N$89"),9,0)</f>
        <v>3 - 0</v>
      </c>
      <c r="L71" s="170" t="str">
        <f ca="1">VLOOKUP($A71,INDIRECT(L$1&amp;"!$B$14:$N$89"),7,0)&amp;" - "&amp;VLOOKUP($A71,INDIRECT(L$1&amp;"!$B$14:$N$89"),9,0)</f>
        <v>2 - 0</v>
      </c>
      <c r="M71" s="170" t="str">
        <f ca="1">VLOOKUP($A71,INDIRECT(M$1&amp;"!$B$14:$N$89"),7,0)&amp;" - "&amp;VLOOKUP($A71,INDIRECT(M$1&amp;"!$B$14:$N$89"),9,0)</f>
        <v>2 - 1</v>
      </c>
      <c r="N71" s="170" t="str">
        <f ca="1">VLOOKUP($A71,INDIRECT(N$1&amp;"!$B$14:$N$89"),7,0)&amp;" - "&amp;VLOOKUP($A71,INDIRECT(N$1&amp;"!$B$14:$N$89"),9,0)</f>
        <v>1 - 0</v>
      </c>
      <c r="O71" s="170" t="str">
        <f t="shared" ca="1" si="15"/>
        <v>2 - 1</v>
      </c>
      <c r="P71" s="170" t="str">
        <f t="shared" ca="1" si="15"/>
        <v>2 - 0</v>
      </c>
      <c r="Q71" s="170" t="str">
        <f t="shared" ca="1" si="15"/>
        <v>2 - 0</v>
      </c>
      <c r="R71" s="170" t="str">
        <f t="shared" ca="1" si="15"/>
        <v>3 - 0</v>
      </c>
      <c r="S71" s="170" t="str">
        <f t="shared" ca="1" si="15"/>
        <v>3 - 0</v>
      </c>
      <c r="T71" s="170" t="str">
        <f t="shared" ca="1" si="16"/>
        <v>0 - 0</v>
      </c>
      <c r="U71" s="170" t="str">
        <f t="shared" ca="1" si="16"/>
        <v>2 - 0</v>
      </c>
      <c r="V71" s="170" t="str">
        <f t="shared" ca="1" si="16"/>
        <v>2 - 0</v>
      </c>
      <c r="W71" s="170" t="str">
        <f t="shared" ca="1" si="16"/>
        <v>2 - 0</v>
      </c>
      <c r="X71" s="170" t="str">
        <f t="shared" ca="1" si="16"/>
        <v>2 - 0</v>
      </c>
    </row>
    <row r="72" spans="1:25" s="169" customFormat="1">
      <c r="A72" s="167">
        <v>55</v>
      </c>
      <c r="B72" s="184" t="str">
        <f>VLOOKUP($A72,Invulblad!A$76:J$103,6,0)&amp;"-"&amp;VLOOKUP($A72,Invulblad!A$76:J$103,10,0)</f>
        <v>Paraguay-Japan</v>
      </c>
      <c r="C72" s="170" t="str">
        <f ca="1">VLOOKUP($A72,INDIRECT(C$1&amp;"!$B$14:$N$89"),7,0)&amp;" - "&amp;VLOOKUP($A72,INDIRECT(C$1&amp;"!$B$14:$N$89"),9,0)</f>
        <v>1 - 0</v>
      </c>
      <c r="D72" s="170" t="str">
        <f t="shared" ca="1" si="15"/>
        <v>1 - 1</v>
      </c>
      <c r="E72" s="170" t="str">
        <f ca="1">VLOOKUP($A72,INDIRECT(E$1&amp;"!$B$14:$N$89"),7,0)&amp;" - "&amp;VLOOKUP($A72,INDIRECT(E$1&amp;"!$B$14:$N$89"),9,0)</f>
        <v>0 - 1</v>
      </c>
      <c r="F72" s="170" t="str">
        <f ca="1">VLOOKUP($A72,INDIRECT(F$1&amp;"!$B$14:$N$89"),7,0)&amp;" - "&amp;VLOOKUP($A72,INDIRECT(F$1&amp;"!$B$14:$N$89"),9,0)</f>
        <v>2 - 1</v>
      </c>
      <c r="G72" s="170" t="str">
        <f t="shared" ca="1" si="15"/>
        <v>0 - 0</v>
      </c>
      <c r="H72" s="170" t="str">
        <f ca="1">VLOOKUP($A72,INDIRECT(H$1&amp;"!$B$14:$N$89"),7,0)&amp;" - "&amp;VLOOKUP($A72,INDIRECT(H$1&amp;"!$B$14:$N$89"),9,0)</f>
        <v>0 - 1</v>
      </c>
      <c r="I72" s="170" t="str">
        <f ca="1">VLOOKUP($A72,INDIRECT(I$1&amp;"!$B$14:$N$89"),7,0)&amp;" - "&amp;VLOOKUP($A72,INDIRECT(I$1&amp;"!$B$14:$N$89"),9,0)</f>
        <v>1 - 0</v>
      </c>
      <c r="J72" s="170" t="str">
        <f ca="1">VLOOKUP($A72,INDIRECT(J$1&amp;"!$B$14:$N$89"),7,0)&amp;" - "&amp;VLOOKUP($A72,INDIRECT(J$1&amp;"!$B$14:$N$89"),9,0)</f>
        <v>1 - 0</v>
      </c>
      <c r="K72" s="170" t="str">
        <f ca="1">VLOOKUP($A72,INDIRECT(K$1&amp;"!$B$14:$N$89"),7,0)&amp;" - "&amp;VLOOKUP($A72,INDIRECT(K$1&amp;"!$B$14:$N$89"),9,0)</f>
        <v>1 - 0</v>
      </c>
      <c r="L72" s="170" t="str">
        <f ca="1">VLOOKUP($A72,INDIRECT(L$1&amp;"!$B$14:$N$89"),7,0)&amp;" - "&amp;VLOOKUP($A72,INDIRECT(L$1&amp;"!$B$14:$N$89"),9,0)</f>
        <v>1 - 2</v>
      </c>
      <c r="M72" s="170" t="str">
        <f ca="1">VLOOKUP($A72,INDIRECT(M$1&amp;"!$B$14:$N$89"),7,0)&amp;" - "&amp;VLOOKUP($A72,INDIRECT(M$1&amp;"!$B$14:$N$89"),9,0)</f>
        <v>1 - 1</v>
      </c>
      <c r="N72" s="170" t="str">
        <f ca="1">VLOOKUP($A72,INDIRECT(N$1&amp;"!$B$14:$N$89"),7,0)&amp;" - "&amp;VLOOKUP($A72,INDIRECT(N$1&amp;"!$B$14:$N$89"),9,0)</f>
        <v>2 - 1</v>
      </c>
      <c r="O72" s="170" t="str">
        <f t="shared" ca="1" si="15"/>
        <v>1 - 0</v>
      </c>
      <c r="P72" s="170" t="str">
        <f t="shared" ca="1" si="15"/>
        <v>1 - 0</v>
      </c>
      <c r="Q72" s="170" t="str">
        <f t="shared" ca="1" si="15"/>
        <v>0 - 0</v>
      </c>
      <c r="R72" s="170" t="str">
        <f t="shared" ca="1" si="15"/>
        <v>1 - 0</v>
      </c>
      <c r="S72" s="170" t="str">
        <f t="shared" ca="1" si="15"/>
        <v>1 - 1</v>
      </c>
      <c r="T72" s="170" t="str">
        <f t="shared" ca="1" si="16"/>
        <v>2 - 1</v>
      </c>
      <c r="U72" s="170" t="str">
        <f t="shared" ca="1" si="16"/>
        <v>2 - 1</v>
      </c>
      <c r="V72" s="170" t="str">
        <f t="shared" ca="1" si="16"/>
        <v>1 - 0</v>
      </c>
      <c r="W72" s="170" t="str">
        <f t="shared" ca="1" si="16"/>
        <v>1 - 1</v>
      </c>
      <c r="X72" s="170" t="str">
        <f t="shared" ca="1" si="16"/>
        <v>3 - 2</v>
      </c>
    </row>
    <row r="73" spans="1:25" s="169" customFormat="1">
      <c r="A73" s="167">
        <v>56</v>
      </c>
      <c r="B73" s="184" t="str">
        <f>VLOOKUP($A73,Invulblad!A$76:J$103,6,0)&amp;"-"&amp;VLOOKUP($A73,Invulblad!A$76:J$103,10,0)</f>
        <v>Spanje-Portugal</v>
      </c>
      <c r="C73" s="170" t="str">
        <f ca="1">VLOOKUP($A73,INDIRECT(C$1&amp;"!$B$14:$N$89"),7,0)&amp;" - "&amp;VLOOKUP($A73,INDIRECT(C$1&amp;"!$B$14:$N$89"),9,0)</f>
        <v>2 - 0</v>
      </c>
      <c r="D73" s="170" t="str">
        <f t="shared" ca="1" si="15"/>
        <v>3 - 0</v>
      </c>
      <c r="E73" s="170" t="str">
        <f ca="1">VLOOKUP($A73,INDIRECT(E$1&amp;"!$B$14:$N$89"),7,0)&amp;" - "&amp;VLOOKUP($A73,INDIRECT(E$1&amp;"!$B$14:$N$89"),9,0)</f>
        <v>2 - 2</v>
      </c>
      <c r="F73" s="170" t="str">
        <f ca="1">VLOOKUP($A73,INDIRECT(F$1&amp;"!$B$14:$N$89"),7,0)&amp;" - "&amp;VLOOKUP($A73,INDIRECT(F$1&amp;"!$B$14:$N$89"),9,0)</f>
        <v>3 - 0</v>
      </c>
      <c r="G73" s="170" t="str">
        <f t="shared" ca="1" si="15"/>
        <v>3 - 1</v>
      </c>
      <c r="H73" s="170" t="str">
        <f ca="1">VLOOKUP($A73,INDIRECT(H$1&amp;"!$B$14:$N$89"),7,0)&amp;" - "&amp;VLOOKUP($A73,INDIRECT(H$1&amp;"!$B$14:$N$89"),9,0)</f>
        <v>2 - 1</v>
      </c>
      <c r="I73" s="170" t="str">
        <f ca="1">VLOOKUP($A73,INDIRECT(I$1&amp;"!$B$14:$N$89"),7,0)&amp;" - "&amp;VLOOKUP($A73,INDIRECT(I$1&amp;"!$B$14:$N$89"),9,0)</f>
        <v>3 - 2</v>
      </c>
      <c r="J73" s="170" t="str">
        <f ca="1">VLOOKUP($A73,INDIRECT(J$1&amp;"!$B$14:$N$89"),7,0)&amp;" - "&amp;VLOOKUP($A73,INDIRECT(J$1&amp;"!$B$14:$N$89"),9,0)</f>
        <v>1 - 0</v>
      </c>
      <c r="K73" s="170" t="str">
        <f ca="1">VLOOKUP($A73,INDIRECT(K$1&amp;"!$B$14:$N$89"),7,0)&amp;" - "&amp;VLOOKUP($A73,INDIRECT(K$1&amp;"!$B$14:$N$89"),9,0)</f>
        <v>3 - 1</v>
      </c>
      <c r="L73" s="170" t="str">
        <f ca="1">VLOOKUP($A73,INDIRECT(L$1&amp;"!$B$14:$N$89"),7,0)&amp;" - "&amp;VLOOKUP($A73,INDIRECT(L$1&amp;"!$B$14:$N$89"),9,0)</f>
        <v>1 - 2</v>
      </c>
      <c r="M73" s="170" t="str">
        <f ca="1">VLOOKUP($A73,INDIRECT(M$1&amp;"!$B$14:$N$89"),7,0)&amp;" - "&amp;VLOOKUP($A73,INDIRECT(M$1&amp;"!$B$14:$N$89"),9,0)</f>
        <v>3 - 1</v>
      </c>
      <c r="N73" s="170" t="str">
        <f ca="1">VLOOKUP($A73,INDIRECT(N$1&amp;"!$B$14:$N$89"),7,0)&amp;" - "&amp;VLOOKUP($A73,INDIRECT(N$1&amp;"!$B$14:$N$89"),9,0)</f>
        <v>1 - 2</v>
      </c>
      <c r="O73" s="170" t="str">
        <f t="shared" ca="1" si="15"/>
        <v>1 - 0</v>
      </c>
      <c r="P73" s="170" t="str">
        <f t="shared" ca="1" si="15"/>
        <v>2 - 2</v>
      </c>
      <c r="Q73" s="170" t="str">
        <f t="shared" ca="1" si="15"/>
        <v>2 - 1</v>
      </c>
      <c r="R73" s="170" t="str">
        <f t="shared" ca="1" si="15"/>
        <v>1 - 1</v>
      </c>
      <c r="S73" s="170" t="str">
        <f t="shared" ca="1" si="15"/>
        <v>2 - 1</v>
      </c>
      <c r="T73" s="170" t="str">
        <f t="shared" ca="1" si="16"/>
        <v>1 - 1</v>
      </c>
      <c r="U73" s="170" t="str">
        <f t="shared" ca="1" si="16"/>
        <v>2 - 1</v>
      </c>
      <c r="V73" s="170" t="str">
        <f t="shared" ca="1" si="16"/>
        <v>0 - 0</v>
      </c>
      <c r="W73" s="170" t="str">
        <f t="shared" ca="1" si="16"/>
        <v>2 - 1</v>
      </c>
      <c r="X73" s="170" t="str">
        <f t="shared" ca="1" si="16"/>
        <v>3 - 1</v>
      </c>
    </row>
    <row r="74" spans="1:25">
      <c r="A74" s="162">
        <v>57</v>
      </c>
      <c r="B74" s="163" t="s">
        <v>89</v>
      </c>
      <c r="C74" s="179" t="str">
        <f ca="1">VLOOKUP($A74,INDIRECT(C$1&amp;"!$B$14:$N$89"),4,0)</f>
        <v>Nederland</v>
      </c>
      <c r="D74" s="179" t="str">
        <f t="shared" ref="D74:X74" ca="1" si="17">VLOOKUP($A74,INDIRECT(D$1&amp;"!$B$14:$N$89"),4,0)</f>
        <v>Nederland</v>
      </c>
      <c r="E74" s="179" t="str">
        <f ca="1">VLOOKUP($A74,INDIRECT(E$1&amp;"!$B$14:$N$89"),4,0)</f>
        <v>Nederland</v>
      </c>
      <c r="F74" s="179" t="str">
        <f ca="1">VLOOKUP($A74,INDIRECT(F$1&amp;"!$B$14:$N$89"),4,0)</f>
        <v>Nederland</v>
      </c>
      <c r="G74" s="179" t="str">
        <f t="shared" ca="1" si="17"/>
        <v>Nederland</v>
      </c>
      <c r="H74" s="179" t="str">
        <f ca="1">VLOOKUP($A74,INDIRECT(H$1&amp;"!$B$14:$N$89"),4,0)</f>
        <v>Nederland</v>
      </c>
      <c r="I74" s="179" t="str">
        <f ca="1">VLOOKUP($A74,INDIRECT(I$1&amp;"!$B$14:$N$89"),4,0)</f>
        <v>Nederland</v>
      </c>
      <c r="J74" s="350" t="str">
        <f ca="1">VLOOKUP($A74,INDIRECT(J$1&amp;"!$B$14:$N$89"),4,0)</f>
        <v>Italië</v>
      </c>
      <c r="K74" s="179" t="str">
        <f ca="1">VLOOKUP($A74,INDIRECT(K$1&amp;"!$B$14:$N$89"),4,0)</f>
        <v>Nederland</v>
      </c>
      <c r="L74" s="179" t="str">
        <f ca="1">VLOOKUP($A74,INDIRECT(L$1&amp;"!$B$14:$N$89"),4,0)</f>
        <v>Nederland</v>
      </c>
      <c r="M74" s="179" t="str">
        <f ca="1">VLOOKUP($A74,INDIRECT(M$1&amp;"!$B$14:$N$89"),4,0)</f>
        <v>Nederland</v>
      </c>
      <c r="N74" s="179" t="str">
        <f ca="1">VLOOKUP($A74,INDIRECT(N$1&amp;"!$B$14:$N$89"),4,0)</f>
        <v>Paraguay</v>
      </c>
      <c r="O74" s="179" t="str">
        <f t="shared" ca="1" si="17"/>
        <v>Nederland</v>
      </c>
      <c r="P74" s="179" t="str">
        <f t="shared" ca="1" si="17"/>
        <v>Nederland</v>
      </c>
      <c r="Q74" s="179" t="str">
        <f t="shared" ca="1" si="17"/>
        <v>Nederland</v>
      </c>
      <c r="R74" s="179" t="str">
        <f t="shared" ca="1" si="17"/>
        <v>Nederland</v>
      </c>
      <c r="S74" s="179" t="str">
        <f t="shared" ca="1" si="17"/>
        <v>Nederland</v>
      </c>
      <c r="T74" s="179" t="str">
        <f t="shared" ca="1" si="17"/>
        <v>Nederland</v>
      </c>
      <c r="U74" s="179" t="str">
        <f t="shared" ca="1" si="17"/>
        <v>Nederland</v>
      </c>
      <c r="V74" s="179" t="str">
        <f t="shared" ca="1" si="17"/>
        <v>Nederland</v>
      </c>
      <c r="W74" s="350" t="str">
        <f t="shared" ca="1" si="17"/>
        <v>Kameroen</v>
      </c>
      <c r="X74" s="179" t="str">
        <f t="shared" ca="1" si="17"/>
        <v>Nederland</v>
      </c>
    </row>
    <row r="75" spans="1:25">
      <c r="A75" s="162">
        <v>57</v>
      </c>
      <c r="C75" s="179" t="str">
        <f ca="1">VLOOKUP($A75,INDIRECT(C$1&amp;"!$B$14:$N$89"),6,0)</f>
        <v>Brazilië</v>
      </c>
      <c r="D75" s="179" t="str">
        <f t="shared" ref="D75:X75" ca="1" si="18">VLOOKUP($A75,INDIRECT(D$1&amp;"!$B$14:$N$89"),6,0)</f>
        <v>Brazilië</v>
      </c>
      <c r="E75" s="179" t="str">
        <f ca="1">VLOOKUP($A75,INDIRECT(E$1&amp;"!$B$14:$N$89"),6,0)</f>
        <v>Brazilië</v>
      </c>
      <c r="F75" s="179" t="str">
        <f ca="1">VLOOKUP($A75,INDIRECT(F$1&amp;"!$B$14:$N$89"),6,0)</f>
        <v>Brazilië</v>
      </c>
      <c r="G75" s="179" t="str">
        <f t="shared" ca="1" si="18"/>
        <v>Brazilië</v>
      </c>
      <c r="H75" s="179" t="str">
        <f ca="1">VLOOKUP($A75,INDIRECT(H$1&amp;"!$B$14:$N$89"),6,0)</f>
        <v>Brazilië</v>
      </c>
      <c r="I75" s="179" t="str">
        <f ca="1">VLOOKUP($A75,INDIRECT(I$1&amp;"!$B$14:$N$89"),6,0)</f>
        <v>Brazilië</v>
      </c>
      <c r="J75" s="179" t="str">
        <f ca="1">VLOOKUP($A75,INDIRECT(J$1&amp;"!$B$14:$N$89"),6,0)</f>
        <v>Brazilië</v>
      </c>
      <c r="K75" s="179" t="str">
        <f ca="1">VLOOKUP($A75,INDIRECT(K$1&amp;"!$B$14:$N$89"),6,0)</f>
        <v>Brazilië</v>
      </c>
      <c r="L75" s="179" t="str">
        <f ca="1">VLOOKUP($A75,INDIRECT(L$1&amp;"!$B$14:$N$89"),6,0)</f>
        <v>Brazilië</v>
      </c>
      <c r="M75" s="179" t="str">
        <f ca="1">VLOOKUP($A75,INDIRECT(M$1&amp;"!$B$14:$N$89"),6,0)</f>
        <v>Brazilië</v>
      </c>
      <c r="N75" s="179" t="str">
        <f ca="1">VLOOKUP($A75,INDIRECT(N$1&amp;"!$B$14:$N$89"),6,0)</f>
        <v>Brazilië</v>
      </c>
      <c r="O75" s="179" t="str">
        <f t="shared" ca="1" si="18"/>
        <v>Brazilië</v>
      </c>
      <c r="P75" s="179" t="str">
        <f t="shared" ca="1" si="18"/>
        <v>Brazilië</v>
      </c>
      <c r="Q75" s="179" t="str">
        <f t="shared" ca="1" si="18"/>
        <v>Brazilië</v>
      </c>
      <c r="R75" s="179" t="str">
        <f t="shared" ca="1" si="18"/>
        <v>Brazilië</v>
      </c>
      <c r="S75" s="179" t="str">
        <f t="shared" ca="1" si="18"/>
        <v>Brazilië</v>
      </c>
      <c r="T75" s="179" t="str">
        <f t="shared" ca="1" si="18"/>
        <v>Brazilië</v>
      </c>
      <c r="U75" s="179" t="str">
        <f t="shared" ca="1" si="18"/>
        <v>Brazilië</v>
      </c>
      <c r="V75" s="179" t="str">
        <f t="shared" ca="1" si="18"/>
        <v>Brazilië</v>
      </c>
      <c r="W75" s="179" t="str">
        <f t="shared" ca="1" si="18"/>
        <v>Brazilië</v>
      </c>
      <c r="X75" s="179" t="str">
        <f t="shared" ca="1" si="18"/>
        <v>Brazilië</v>
      </c>
    </row>
    <row r="76" spans="1:25">
      <c r="A76" s="162">
        <v>58</v>
      </c>
      <c r="C76" s="350" t="str">
        <f ca="1">VLOOKUP($A76,INDIRECT(C$1&amp;"!$B$14:$N$89"),4,0)</f>
        <v>Frankrijk</v>
      </c>
      <c r="D76" s="350" t="str">
        <f t="shared" ref="D76:X76" ca="1" si="19">VLOOKUP($A76,INDIRECT(D$1&amp;"!$B$14:$N$89"),4,0)</f>
        <v>Zuid-Afrika</v>
      </c>
      <c r="E76" s="350" t="str">
        <f ca="1">VLOOKUP($A76,INDIRECT(E$1&amp;"!$B$14:$N$89"),4,0)</f>
        <v>Zuid-Korea</v>
      </c>
      <c r="F76" s="350" t="str">
        <f ca="1">VLOOKUP($A76,INDIRECT(F$1&amp;"!$B$14:$N$89"),4,0)</f>
        <v>Zuid-Afrika</v>
      </c>
      <c r="G76" s="350" t="str">
        <f t="shared" ca="1" si="19"/>
        <v>Mexico</v>
      </c>
      <c r="H76" s="350" t="str">
        <f ca="1">VLOOKUP($A76,INDIRECT(H$1&amp;"!$B$14:$N$89"),4,0)</f>
        <v>Frankrijk</v>
      </c>
      <c r="I76" s="350" t="str">
        <f ca="1">VLOOKUP($A76,INDIRECT(I$1&amp;"!$B$14:$N$89"),4,0)</f>
        <v>Frankrijk</v>
      </c>
      <c r="J76" s="179" t="str">
        <f ca="1">VLOOKUP($A76,INDIRECT(J$1&amp;"!$B$14:$N$89"),4,0)</f>
        <v>Uruguay</v>
      </c>
      <c r="K76" s="350" t="str">
        <f ca="1">VLOOKUP($A76,INDIRECT(K$1&amp;"!$B$14:$N$89"),4,0)</f>
        <v>Frankrijk</v>
      </c>
      <c r="L76" s="350" t="str">
        <f ca="1">VLOOKUP($A76,INDIRECT(L$1&amp;"!$B$14:$N$89"),4,0)</f>
        <v>Mexico</v>
      </c>
      <c r="M76" s="350" t="str">
        <f ca="1">VLOOKUP($A76,INDIRECT(M$1&amp;"!$B$14:$N$89"),4,0)</f>
        <v>Frankrijk</v>
      </c>
      <c r="N76" s="350" t="str">
        <f ca="1">VLOOKUP($A76,INDIRECT(N$1&amp;"!$B$14:$N$89"),4,0)</f>
        <v>Frankrijk</v>
      </c>
      <c r="O76" s="350" t="str">
        <f t="shared" ca="1" si="19"/>
        <v>Mexico</v>
      </c>
      <c r="P76" s="350" t="str">
        <f t="shared" ca="1" si="19"/>
        <v>Frankrijk</v>
      </c>
      <c r="Q76" s="179" t="str">
        <f t="shared" ca="1" si="19"/>
        <v>Uruguay</v>
      </c>
      <c r="R76" s="179" t="str">
        <f t="shared" ca="1" si="19"/>
        <v>Uruguay</v>
      </c>
      <c r="S76" s="350" t="str">
        <f t="shared" ca="1" si="19"/>
        <v>Frankrijk</v>
      </c>
      <c r="T76" s="350" t="str">
        <f t="shared" ca="1" si="19"/>
        <v>Frankrijk</v>
      </c>
      <c r="U76" s="350" t="str">
        <f t="shared" ca="1" si="19"/>
        <v>Frankrijk</v>
      </c>
      <c r="V76" s="350" t="str">
        <f t="shared" ca="1" si="19"/>
        <v>Nigeria</v>
      </c>
      <c r="W76" s="179" t="str">
        <f t="shared" ca="1" si="19"/>
        <v>Argentinië</v>
      </c>
      <c r="X76" s="350" t="str">
        <f t="shared" ca="1" si="19"/>
        <v>Frankrijk</v>
      </c>
    </row>
    <row r="77" spans="1:25">
      <c r="A77" s="162">
        <v>58</v>
      </c>
      <c r="C77" s="350" t="str">
        <f ca="1">VLOOKUP($A77,INDIRECT(C$1&amp;"!$B$14:$N$89"),6,0)</f>
        <v>Engeland</v>
      </c>
      <c r="D77" s="350" t="str">
        <f t="shared" ref="D77:X77" ca="1" si="20">VLOOKUP($A77,INDIRECT(D$1&amp;"!$B$14:$N$89"),6,0)</f>
        <v>Servië</v>
      </c>
      <c r="E77" s="350" t="str">
        <f ca="1">VLOOKUP($A77,INDIRECT(E$1&amp;"!$B$14:$N$89"),6,0)</f>
        <v>Servië</v>
      </c>
      <c r="F77" s="350" t="str">
        <f ca="1">VLOOKUP($A77,INDIRECT(F$1&amp;"!$B$14:$N$89"),6,0)</f>
        <v>Engeland</v>
      </c>
      <c r="G77" s="350" t="str">
        <f t="shared" ca="1" si="20"/>
        <v>USA</v>
      </c>
      <c r="H77" s="350" t="str">
        <f ca="1">VLOOKUP($A77,INDIRECT(H$1&amp;"!$B$14:$N$89"),6,0)</f>
        <v>USA</v>
      </c>
      <c r="I77" s="350" t="str">
        <f ca="1">VLOOKUP($A77,INDIRECT(I$1&amp;"!$B$14:$N$89"),6,0)</f>
        <v>Servië</v>
      </c>
      <c r="J77" s="350" t="str">
        <f ca="1">VLOOKUP($A77,INDIRECT(J$1&amp;"!$B$14:$N$89"),6,0)</f>
        <v>Engeland</v>
      </c>
      <c r="K77" s="350" t="str">
        <f ca="1">VLOOKUP($A77,INDIRECT(K$1&amp;"!$B$14:$N$89"),6,0)</f>
        <v>Engeland</v>
      </c>
      <c r="L77" s="179" t="str">
        <f ca="1">VLOOKUP($A77,INDIRECT(L$1&amp;"!$B$14:$N$89"),6,0)</f>
        <v>Duitsland</v>
      </c>
      <c r="M77" s="350" t="str">
        <f ca="1">VLOOKUP($A77,INDIRECT(M$1&amp;"!$B$14:$N$89"),6,0)</f>
        <v>Engeland</v>
      </c>
      <c r="N77" s="350" t="str">
        <f ca="1">VLOOKUP($A77,INDIRECT(N$1&amp;"!$B$14:$N$89"),6,0)</f>
        <v>Engeland</v>
      </c>
      <c r="O77" s="179" t="str">
        <f t="shared" ca="1" si="20"/>
        <v>Duitsland</v>
      </c>
      <c r="P77" s="350" t="str">
        <f t="shared" ca="1" si="20"/>
        <v>Australië</v>
      </c>
      <c r="Q77" s="350" t="str">
        <f t="shared" ca="1" si="20"/>
        <v>Engeland</v>
      </c>
      <c r="R77" s="350" t="str">
        <f t="shared" ca="1" si="20"/>
        <v>Engeland</v>
      </c>
      <c r="S77" s="179" t="str">
        <f t="shared" ca="1" si="20"/>
        <v>Duitsland</v>
      </c>
      <c r="T77" s="350" t="str">
        <f t="shared" ca="1" si="20"/>
        <v>Engeland</v>
      </c>
      <c r="U77" s="350" t="str">
        <f t="shared" ca="1" si="20"/>
        <v>Engeland</v>
      </c>
      <c r="V77" s="350" t="str">
        <f t="shared" ca="1" si="20"/>
        <v>Engeland</v>
      </c>
      <c r="W77" s="350" t="str">
        <f t="shared" ca="1" si="20"/>
        <v>Engeland</v>
      </c>
      <c r="X77" s="350" t="str">
        <f t="shared" ca="1" si="20"/>
        <v>Engeland</v>
      </c>
    </row>
    <row r="78" spans="1:25">
      <c r="A78" s="162">
        <v>59</v>
      </c>
      <c r="C78" s="179" t="str">
        <f ca="1">VLOOKUP($A78,INDIRECT(C$1&amp;"!$B$14:$N$89"),4,0)</f>
        <v>Uruguay</v>
      </c>
      <c r="D78" s="179" t="str">
        <f t="shared" ref="D78:X78" ca="1" si="21">VLOOKUP($A78,INDIRECT(D$1&amp;"!$B$14:$N$89"),4,0)</f>
        <v>Argentinië</v>
      </c>
      <c r="E78" s="179" t="str">
        <f ca="1">VLOOKUP($A78,INDIRECT(E$1&amp;"!$B$14:$N$89"),4,0)</f>
        <v>Argentinië</v>
      </c>
      <c r="F78" s="179" t="str">
        <f ca="1">VLOOKUP($A78,INDIRECT(F$1&amp;"!$B$14:$N$89"),4,0)</f>
        <v>Argentinië</v>
      </c>
      <c r="G78" s="179" t="str">
        <f t="shared" ca="1" si="21"/>
        <v>Argentinië</v>
      </c>
      <c r="H78" s="179" t="str">
        <f ca="1">VLOOKUP($A78,INDIRECT(H$1&amp;"!$B$14:$N$89"),4,0)</f>
        <v>Argentinië</v>
      </c>
      <c r="I78" s="350" t="str">
        <f ca="1">VLOOKUP($A78,INDIRECT(I$1&amp;"!$B$14:$N$89"),4,0)</f>
        <v>Griekenland</v>
      </c>
      <c r="J78" s="350" t="str">
        <f ca="1">VLOOKUP($A78,INDIRECT(J$1&amp;"!$B$14:$N$89"),4,0)</f>
        <v>Nigeria</v>
      </c>
      <c r="K78" s="179" t="str">
        <f ca="1">VLOOKUP($A78,INDIRECT(K$1&amp;"!$B$14:$N$89"),4,0)</f>
        <v>Argentinië</v>
      </c>
      <c r="L78" s="179" t="str">
        <f ca="1">VLOOKUP($A78,INDIRECT(L$1&amp;"!$B$14:$N$89"),4,0)</f>
        <v>Argentinië</v>
      </c>
      <c r="M78" s="179" t="str">
        <f ca="1">VLOOKUP($A78,INDIRECT(M$1&amp;"!$B$14:$N$89"),4,0)</f>
        <v>Argentinië</v>
      </c>
      <c r="N78" s="179" t="str">
        <f ca="1">VLOOKUP($A78,INDIRECT(N$1&amp;"!$B$14:$N$89"),4,0)</f>
        <v>Argentinië</v>
      </c>
      <c r="O78" s="179" t="str">
        <f t="shared" ca="1" si="21"/>
        <v>Argentinië</v>
      </c>
      <c r="P78" s="179" t="str">
        <f t="shared" ca="1" si="21"/>
        <v>Uruguay</v>
      </c>
      <c r="Q78" s="179" t="str">
        <f t="shared" ca="1" si="21"/>
        <v>Argentinië</v>
      </c>
      <c r="R78" s="179" t="str">
        <f t="shared" ca="1" si="21"/>
        <v>Argentinië</v>
      </c>
      <c r="S78" s="350" t="str">
        <f t="shared" ca="1" si="21"/>
        <v>Zuid-Korea</v>
      </c>
      <c r="T78" s="179" t="str">
        <f t="shared" ca="1" si="21"/>
        <v>Argentinië</v>
      </c>
      <c r="U78" s="179" t="str">
        <f t="shared" ca="1" si="21"/>
        <v>Argentinië</v>
      </c>
      <c r="V78" s="179" t="str">
        <f t="shared" ca="1" si="21"/>
        <v>Argentinië</v>
      </c>
      <c r="W78" s="350" t="str">
        <f t="shared" ca="1" si="21"/>
        <v>Nigeria</v>
      </c>
      <c r="X78" s="179" t="str">
        <f t="shared" ca="1" si="21"/>
        <v>Argentinië</v>
      </c>
    </row>
    <row r="79" spans="1:25">
      <c r="A79" s="162">
        <v>59</v>
      </c>
      <c r="C79" s="179" t="str">
        <f ca="1">VLOOKUP($A79,INDIRECT(C$1&amp;"!$B$14:$N$89"),6,0)</f>
        <v>Duitsland</v>
      </c>
      <c r="D79" s="179" t="str">
        <f t="shared" ref="D79:X79" ca="1" si="22">VLOOKUP($A79,INDIRECT(D$1&amp;"!$B$14:$N$89"),6,0)</f>
        <v>Duitsland</v>
      </c>
      <c r="E79" s="179" t="str">
        <f ca="1">VLOOKUP($A79,INDIRECT(E$1&amp;"!$B$14:$N$89"),6,0)</f>
        <v>Duitsland</v>
      </c>
      <c r="F79" s="179" t="str">
        <f ca="1">VLOOKUP($A79,INDIRECT(F$1&amp;"!$B$14:$N$89"),6,0)</f>
        <v>Duitsland</v>
      </c>
      <c r="G79" s="179" t="str">
        <f t="shared" ca="1" si="22"/>
        <v>Duitsland</v>
      </c>
      <c r="H79" s="179" t="str">
        <f ca="1">VLOOKUP($A79,INDIRECT(H$1&amp;"!$B$14:$N$89"),6,0)</f>
        <v>Duitsland</v>
      </c>
      <c r="I79" s="179" t="str">
        <f ca="1">VLOOKUP($A79,INDIRECT(I$1&amp;"!$B$14:$N$89"),6,0)</f>
        <v>Duitsland</v>
      </c>
      <c r="J79" s="179" t="str">
        <f ca="1">VLOOKUP($A79,INDIRECT(J$1&amp;"!$B$14:$N$89"),6,0)</f>
        <v>Duitsland</v>
      </c>
      <c r="K79" s="179" t="str">
        <f ca="1">VLOOKUP($A79,INDIRECT(K$1&amp;"!$B$14:$N$89"),6,0)</f>
        <v>Duitsland</v>
      </c>
      <c r="L79" s="350" t="str">
        <f ca="1">VLOOKUP($A79,INDIRECT(L$1&amp;"!$B$14:$N$89"),6,0)</f>
        <v>Servië</v>
      </c>
      <c r="M79" s="179" t="str">
        <f ca="1">VLOOKUP($A79,INDIRECT(M$1&amp;"!$B$14:$N$89"),6,0)</f>
        <v>Duitsland</v>
      </c>
      <c r="N79" s="179" t="str">
        <f ca="1">VLOOKUP($A79,INDIRECT(N$1&amp;"!$B$14:$N$89"),6,0)</f>
        <v>Duitsland</v>
      </c>
      <c r="O79" s="350" t="str">
        <f t="shared" ca="1" si="22"/>
        <v>USA</v>
      </c>
      <c r="P79" s="179" t="str">
        <f t="shared" ca="1" si="22"/>
        <v>Duitsland</v>
      </c>
      <c r="Q79" s="179" t="str">
        <f t="shared" ca="1" si="22"/>
        <v>Duitsland</v>
      </c>
      <c r="R79" s="179" t="str">
        <f t="shared" ca="1" si="22"/>
        <v>Duitsland</v>
      </c>
      <c r="S79" s="350" t="str">
        <f t="shared" ca="1" si="22"/>
        <v>Servië</v>
      </c>
      <c r="T79" s="179" t="str">
        <f t="shared" ca="1" si="22"/>
        <v>Duitsland</v>
      </c>
      <c r="U79" s="179" t="str">
        <f t="shared" ca="1" si="22"/>
        <v>Duitsland</v>
      </c>
      <c r="V79" s="179" t="str">
        <f t="shared" ca="1" si="22"/>
        <v>Duitsland</v>
      </c>
      <c r="W79" s="179" t="str">
        <f t="shared" ca="1" si="22"/>
        <v>Duitsland</v>
      </c>
      <c r="X79" s="179" t="str">
        <f t="shared" ca="1" si="22"/>
        <v>Duitsland</v>
      </c>
    </row>
    <row r="80" spans="1:25">
      <c r="A80" s="162">
        <v>60</v>
      </c>
      <c r="C80" s="350" t="str">
        <f ca="1">VLOOKUP($A80,INDIRECT(C$1&amp;"!$B$14:$N$89"),4,0)</f>
        <v>Italië</v>
      </c>
      <c r="D80" s="350" t="str">
        <f t="shared" ref="D80:X80" ca="1" si="23">VLOOKUP($A80,INDIRECT(D$1&amp;"!$B$14:$N$89"),4,0)</f>
        <v>Italië</v>
      </c>
      <c r="E80" s="350" t="str">
        <f ca="1">VLOOKUP($A80,INDIRECT(E$1&amp;"!$B$14:$N$89"),4,0)</f>
        <v>Kameroen</v>
      </c>
      <c r="F80" s="350" t="str">
        <f ca="1">VLOOKUP($A80,INDIRECT(F$1&amp;"!$B$14:$N$89"),4,0)</f>
        <v>Italië</v>
      </c>
      <c r="G80" s="350" t="str">
        <f t="shared" ca="1" si="23"/>
        <v>Denemarken</v>
      </c>
      <c r="H80" s="350" t="str">
        <f ca="1">VLOOKUP($A80,INDIRECT(H$1&amp;"!$B$14:$N$89"),4,0)</f>
        <v>Kameroen</v>
      </c>
      <c r="I80" s="350" t="str">
        <f ca="1">VLOOKUP($A80,INDIRECT(I$1&amp;"!$B$14:$N$89"),4,0)</f>
        <v>Italië</v>
      </c>
      <c r="J80" s="350" t="str">
        <f ca="1">VLOOKUP($A80,INDIRECT(J$1&amp;"!$B$14:$N$89"),4,0)</f>
        <v>Slowakije</v>
      </c>
      <c r="K80" s="350" t="str">
        <f ca="1">VLOOKUP($A80,INDIRECT(K$1&amp;"!$B$14:$N$89"),4,0)</f>
        <v>Italië</v>
      </c>
      <c r="L80" s="350" t="str">
        <f ca="1">VLOOKUP($A80,INDIRECT(L$1&amp;"!$B$14:$N$89"),4,0)</f>
        <v>Kameroen</v>
      </c>
      <c r="M80" s="350" t="str">
        <f ca="1">VLOOKUP($A80,INDIRECT(M$1&amp;"!$B$14:$N$89"),4,0)</f>
        <v>Italië</v>
      </c>
      <c r="N80" s="350" t="str">
        <f ca="1">VLOOKUP($A80,INDIRECT(N$1&amp;"!$B$14:$N$89"),4,0)</f>
        <v>Italië</v>
      </c>
      <c r="O80" s="350" t="str">
        <f t="shared" ca="1" si="23"/>
        <v>Italië</v>
      </c>
      <c r="P80" s="350" t="str">
        <f t="shared" ca="1" si="23"/>
        <v>Italië</v>
      </c>
      <c r="Q80" s="350" t="str">
        <f t="shared" ca="1" si="23"/>
        <v>Italië</v>
      </c>
      <c r="R80" s="350" t="str">
        <f t="shared" ca="1" si="23"/>
        <v>Italië</v>
      </c>
      <c r="S80" s="350" t="str">
        <f t="shared" ca="1" si="23"/>
        <v>Italië</v>
      </c>
      <c r="T80" s="179" t="str">
        <f t="shared" ca="1" si="23"/>
        <v>Paraguay</v>
      </c>
      <c r="U80" s="350" t="str">
        <f t="shared" ca="1" si="23"/>
        <v>Italië</v>
      </c>
      <c r="V80" s="350" t="str">
        <f t="shared" ca="1" si="23"/>
        <v>Italië</v>
      </c>
      <c r="W80" s="350" t="str">
        <f t="shared" ca="1" si="23"/>
        <v>Italië</v>
      </c>
      <c r="X80" s="179" t="str">
        <f t="shared" ca="1" si="23"/>
        <v>Paraguay</v>
      </c>
    </row>
    <row r="81" spans="1:24">
      <c r="A81" s="162">
        <v>60</v>
      </c>
      <c r="C81" s="177" t="str">
        <f ca="1">VLOOKUP($A81,INDIRECT(C$1&amp;"!$B$14:$N$89"),6,0)</f>
        <v>Spanje</v>
      </c>
      <c r="D81" s="177" t="str">
        <f t="shared" ref="D81:X81" ca="1" si="24">VLOOKUP($A81,INDIRECT(D$1&amp;"!$B$14:$N$89"),6,0)</f>
        <v>Spanje</v>
      </c>
      <c r="E81" s="177" t="str">
        <f ca="1">VLOOKUP($A81,INDIRECT(E$1&amp;"!$B$14:$N$89"),6,0)</f>
        <v>Spanje</v>
      </c>
      <c r="F81" s="177" t="str">
        <f ca="1">VLOOKUP($A81,INDIRECT(F$1&amp;"!$B$14:$N$89"),6,0)</f>
        <v>Spanje</v>
      </c>
      <c r="G81" s="177" t="str">
        <f t="shared" ca="1" si="24"/>
        <v>Spanje</v>
      </c>
      <c r="H81" s="177" t="str">
        <f ca="1">VLOOKUP($A81,INDIRECT(H$1&amp;"!$B$14:$N$89"),6,0)</f>
        <v>Spanje</v>
      </c>
      <c r="I81" s="177" t="str">
        <f ca="1">VLOOKUP($A81,INDIRECT(I$1&amp;"!$B$14:$N$89"),6,0)</f>
        <v>Spanje</v>
      </c>
      <c r="J81" s="177" t="str">
        <f ca="1">VLOOKUP($A81,INDIRECT(J$1&amp;"!$B$14:$N$89"),6,0)</f>
        <v>Spanje</v>
      </c>
      <c r="K81" s="177" t="str">
        <f ca="1">VLOOKUP($A81,INDIRECT(K$1&amp;"!$B$14:$N$89"),6,0)</f>
        <v>Spanje</v>
      </c>
      <c r="L81" s="351" t="str">
        <f ca="1">VLOOKUP($A81,INDIRECT(L$1&amp;"!$B$14:$N$89"),6,0)</f>
        <v>Portugal</v>
      </c>
      <c r="M81" s="177" t="str">
        <f ca="1">VLOOKUP($A81,INDIRECT(M$1&amp;"!$B$14:$N$89"),6,0)</f>
        <v>Spanje</v>
      </c>
      <c r="N81" s="351" t="str">
        <f ca="1">VLOOKUP($A81,INDIRECT(N$1&amp;"!$B$14:$N$89"),6,0)</f>
        <v>Portugal</v>
      </c>
      <c r="O81" s="177" t="str">
        <f t="shared" ca="1" si="24"/>
        <v>Spanje</v>
      </c>
      <c r="P81" s="177" t="str">
        <f t="shared" ca="1" si="24"/>
        <v>Spanje</v>
      </c>
      <c r="Q81" s="177" t="str">
        <f t="shared" ca="1" si="24"/>
        <v>Spanje</v>
      </c>
      <c r="R81" s="177" t="str">
        <f t="shared" ca="1" si="24"/>
        <v>Portugal</v>
      </c>
      <c r="S81" s="177" t="str">
        <f t="shared" ca="1" si="24"/>
        <v>Spanje</v>
      </c>
      <c r="T81" s="177" t="str">
        <f t="shared" ca="1" si="24"/>
        <v>Spanje</v>
      </c>
      <c r="U81" s="177" t="str">
        <f t="shared" ca="1" si="24"/>
        <v>Spanje</v>
      </c>
      <c r="V81" s="177" t="str">
        <f t="shared" ca="1" si="24"/>
        <v>Spanje</v>
      </c>
      <c r="W81" s="177" t="str">
        <f t="shared" ca="1" si="24"/>
        <v>Spanje</v>
      </c>
      <c r="X81" s="177" t="str">
        <f t="shared" ca="1" si="24"/>
        <v>Spanje</v>
      </c>
    </row>
    <row r="82" spans="1:24" s="186" customFormat="1">
      <c r="A82" s="185">
        <v>61</v>
      </c>
      <c r="B82" s="186" t="s">
        <v>90</v>
      </c>
      <c r="C82" s="350" t="str">
        <f ca="1">VLOOKUP($A82,INDIRECT(C$1&amp;"!$B$14:$N$89"),4,0)</f>
        <v>Engeland</v>
      </c>
      <c r="D82" s="350" t="str">
        <f t="shared" ref="D82:X82" ca="1" si="25">VLOOKUP($A82,INDIRECT(D$1&amp;"!$B$14:$N$89"),4,0)</f>
        <v>Servië</v>
      </c>
      <c r="E82" s="350" t="str">
        <f ca="1">VLOOKUP($A82,INDIRECT(E$1&amp;"!$B$14:$N$89"),4,0)</f>
        <v>Servië</v>
      </c>
      <c r="F82" s="350" t="str">
        <f ca="1">VLOOKUP($A82,INDIRECT(F$1&amp;"!$B$14:$N$89"),4,0)</f>
        <v>Zuid-Afrika</v>
      </c>
      <c r="G82" s="350" t="str">
        <f t="shared" ca="1" si="25"/>
        <v>Mexico</v>
      </c>
      <c r="H82" s="350" t="str">
        <f ca="1">VLOOKUP($A82,INDIRECT(H$1&amp;"!$B$14:$N$89"),4,0)</f>
        <v>USA</v>
      </c>
      <c r="I82" s="350" t="str">
        <f ca="1">VLOOKUP($A82,INDIRECT(I$1&amp;"!$B$14:$N$89"),4,0)</f>
        <v>Frankrijk</v>
      </c>
      <c r="J82" s="350" t="str">
        <f ca="1">VLOOKUP($A82,INDIRECT(J$1&amp;"!$B$14:$N$89"),4,0)</f>
        <v>Engeland</v>
      </c>
      <c r="K82" s="350" t="str">
        <f ca="1">VLOOKUP($A82,INDIRECT(K$1&amp;"!$B$14:$N$89"),4,0)</f>
        <v>Engeland</v>
      </c>
      <c r="L82" s="350" t="str">
        <f ca="1">VLOOKUP($A82,INDIRECT(L$1&amp;"!$B$14:$N$89"),4,0)</f>
        <v>Mexico</v>
      </c>
      <c r="M82" s="350" t="str">
        <f ca="1">VLOOKUP($A82,INDIRECT(M$1&amp;"!$B$14:$N$89"),4,0)</f>
        <v>Engeland</v>
      </c>
      <c r="N82" s="350" t="str">
        <f ca="1">VLOOKUP($A82,INDIRECT(N$1&amp;"!$B$14:$N$89"),4,0)</f>
        <v>Engeland</v>
      </c>
      <c r="O82" s="179" t="str">
        <f t="shared" ca="1" si="25"/>
        <v>Duitsland</v>
      </c>
      <c r="P82" s="350" t="str">
        <f t="shared" ca="1" si="25"/>
        <v>Frankrijk</v>
      </c>
      <c r="Q82" s="350" t="str">
        <f t="shared" ca="1" si="25"/>
        <v>Engeland</v>
      </c>
      <c r="R82" s="350" t="str">
        <f t="shared" ca="1" si="25"/>
        <v>Engeland</v>
      </c>
      <c r="S82" s="179" t="str">
        <f t="shared" ca="1" si="25"/>
        <v>Duitsland</v>
      </c>
      <c r="T82" s="350" t="str">
        <f t="shared" ca="1" si="25"/>
        <v>Engeland</v>
      </c>
      <c r="U82" s="350" t="str">
        <f t="shared" ca="1" si="25"/>
        <v>Frankrijk</v>
      </c>
      <c r="V82" s="350" t="str">
        <f t="shared" ca="1" si="25"/>
        <v>Engeland</v>
      </c>
      <c r="W82" s="350" t="str">
        <f t="shared" ca="1" si="25"/>
        <v>Engeland</v>
      </c>
      <c r="X82" s="350" t="str">
        <f t="shared" ca="1" si="25"/>
        <v>Engeland</v>
      </c>
    </row>
    <row r="83" spans="1:24" s="186" customFormat="1">
      <c r="A83" s="185">
        <v>61</v>
      </c>
      <c r="C83" s="177" t="str">
        <f ca="1">VLOOKUP($A83,INDIRECT(C$1&amp;"!$B$14:$N$89"),6,0)</f>
        <v>Nederland</v>
      </c>
      <c r="D83" s="177" t="str">
        <f t="shared" ref="D83:X83" ca="1" si="26">VLOOKUP($A83,INDIRECT(D$1&amp;"!$B$14:$N$89"),6,0)</f>
        <v>Nederland</v>
      </c>
      <c r="E83" s="177" t="str">
        <f ca="1">VLOOKUP($A83,INDIRECT(E$1&amp;"!$B$14:$N$89"),6,0)</f>
        <v>Nederland</v>
      </c>
      <c r="F83" s="177" t="str">
        <f ca="1">VLOOKUP($A83,INDIRECT(F$1&amp;"!$B$14:$N$89"),6,0)</f>
        <v>Nederland</v>
      </c>
      <c r="G83" s="351" t="str">
        <f t="shared" ca="1" si="26"/>
        <v>Brazilië</v>
      </c>
      <c r="H83" s="351" t="str">
        <f ca="1">VLOOKUP($A83,INDIRECT(H$1&amp;"!$B$14:$N$89"),6,0)</f>
        <v>Brazilië</v>
      </c>
      <c r="I83" s="351" t="str">
        <f ca="1">VLOOKUP($A83,INDIRECT(I$1&amp;"!$B$14:$N$89"),6,0)</f>
        <v>Brazilië</v>
      </c>
      <c r="J83" s="351" t="str">
        <f ca="1">VLOOKUP($A83,INDIRECT(J$1&amp;"!$B$14:$N$89"),6,0)</f>
        <v>Brazilië</v>
      </c>
      <c r="K83" s="177" t="str">
        <f ca="1">VLOOKUP($A83,INDIRECT(K$1&amp;"!$B$14:$N$89"),6,0)</f>
        <v>Nederland</v>
      </c>
      <c r="L83" s="177" t="str">
        <f ca="1">VLOOKUP($A83,INDIRECT(L$1&amp;"!$B$14:$N$89"),6,0)</f>
        <v>Nederland</v>
      </c>
      <c r="M83" s="351" t="str">
        <f ca="1">VLOOKUP($A83,INDIRECT(M$1&amp;"!$B$14:$N$89"),6,0)</f>
        <v>Brazilië</v>
      </c>
      <c r="N83" s="351" t="str">
        <f ca="1">VLOOKUP($A83,INDIRECT(N$1&amp;"!$B$14:$N$89"),6,0)</f>
        <v>Brazilië</v>
      </c>
      <c r="O83" s="351" t="str">
        <f t="shared" ca="1" si="26"/>
        <v>Brazilië</v>
      </c>
      <c r="P83" s="351" t="str">
        <f t="shared" ca="1" si="26"/>
        <v>Brazilië</v>
      </c>
      <c r="Q83" s="351" t="str">
        <f t="shared" ca="1" si="26"/>
        <v>Brazilië</v>
      </c>
      <c r="R83" s="351" t="str">
        <f t="shared" ca="1" si="26"/>
        <v>Brazilië</v>
      </c>
      <c r="S83" s="351" t="str">
        <f t="shared" ca="1" si="26"/>
        <v>Brazilië</v>
      </c>
      <c r="T83" s="351" t="str">
        <f t="shared" ca="1" si="26"/>
        <v>Brazilië</v>
      </c>
      <c r="U83" s="351" t="str">
        <f t="shared" ca="1" si="26"/>
        <v>Brazilië</v>
      </c>
      <c r="V83" s="351" t="str">
        <f t="shared" ca="1" si="26"/>
        <v>Brazilië</v>
      </c>
      <c r="W83" s="351" t="str">
        <f t="shared" ca="1" si="26"/>
        <v>Brazilië</v>
      </c>
      <c r="X83" s="351" t="str">
        <f t="shared" ca="1" si="26"/>
        <v>Brazilië</v>
      </c>
    </row>
    <row r="84" spans="1:24" s="186" customFormat="1">
      <c r="A84" s="185">
        <v>62</v>
      </c>
      <c r="C84" s="179" t="str">
        <f ca="1">VLOOKUP($A84,INDIRECT(C$1&amp;"!$B$14:$N$89"),4,0)</f>
        <v>Duitsland</v>
      </c>
      <c r="D84" s="179" t="str">
        <f t="shared" ref="D84:X84" ca="1" si="27">VLOOKUP($A84,INDIRECT(D$1&amp;"!$B$14:$N$89"),4,0)</f>
        <v>Duitsland</v>
      </c>
      <c r="E84" s="179" t="str">
        <f ca="1">VLOOKUP($A84,INDIRECT(E$1&amp;"!$B$14:$N$89"),4,0)</f>
        <v>Duitsland</v>
      </c>
      <c r="F84" s="350" t="str">
        <f ca="1">VLOOKUP($A84,INDIRECT(F$1&amp;"!$B$14:$N$89"),4,0)</f>
        <v>Argentinië</v>
      </c>
      <c r="G84" s="179" t="str">
        <f t="shared" ca="1" si="27"/>
        <v>Duitsland</v>
      </c>
      <c r="H84" s="350" t="str">
        <f ca="1">VLOOKUP($A84,INDIRECT(H$1&amp;"!$B$14:$N$89"),4,0)</f>
        <v>Argentinië</v>
      </c>
      <c r="I84" s="179" t="str">
        <f ca="1">VLOOKUP($A84,INDIRECT(I$1&amp;"!$B$14:$N$89"),4,0)</f>
        <v>Duitsland</v>
      </c>
      <c r="J84" s="179" t="str">
        <f ca="1">VLOOKUP($A84,INDIRECT(J$1&amp;"!$B$14:$N$89"),4,0)</f>
        <v>Duitsland</v>
      </c>
      <c r="K84" s="350" t="str">
        <f ca="1">VLOOKUP($A84,INDIRECT(K$1&amp;"!$B$14:$N$89"),4,0)</f>
        <v>Argentinië</v>
      </c>
      <c r="L84" s="350" t="str">
        <f ca="1">VLOOKUP($A84,INDIRECT(L$1&amp;"!$B$14:$N$89"),4,0)</f>
        <v>Argentinië</v>
      </c>
      <c r="M84" s="350" t="str">
        <f ca="1">VLOOKUP($A84,INDIRECT(M$1&amp;"!$B$14:$N$89"),4,0)</f>
        <v>Argentinië</v>
      </c>
      <c r="N84" s="179" t="str">
        <f ca="1">VLOOKUP($A84,INDIRECT(N$1&amp;"!$B$14:$N$89"),4,0)</f>
        <v>Duitsland</v>
      </c>
      <c r="O84" s="350" t="str">
        <f t="shared" ca="1" si="27"/>
        <v>Argentinië</v>
      </c>
      <c r="P84" s="179" t="str">
        <f t="shared" ca="1" si="27"/>
        <v>Duitsland</v>
      </c>
      <c r="Q84" s="350" t="str">
        <f t="shared" ca="1" si="27"/>
        <v>Argentinië</v>
      </c>
      <c r="R84" s="350" t="str">
        <f t="shared" ca="1" si="27"/>
        <v>Argentinië</v>
      </c>
      <c r="S84" s="350" t="str">
        <f t="shared" ca="1" si="27"/>
        <v>Servië</v>
      </c>
      <c r="T84" s="350" t="str">
        <f t="shared" ca="1" si="27"/>
        <v>Argentinië</v>
      </c>
      <c r="U84" s="179" t="str">
        <f t="shared" ca="1" si="27"/>
        <v>Duitsland</v>
      </c>
      <c r="V84" s="179" t="str">
        <f t="shared" ca="1" si="27"/>
        <v>Duitsland</v>
      </c>
      <c r="W84" s="179" t="str">
        <f t="shared" ca="1" si="27"/>
        <v>Duitsland</v>
      </c>
      <c r="X84" s="179" t="str">
        <f t="shared" ca="1" si="27"/>
        <v>Duitsland</v>
      </c>
    </row>
    <row r="85" spans="1:24" s="186" customFormat="1">
      <c r="A85" s="185">
        <v>62</v>
      </c>
      <c r="C85" s="177" t="str">
        <f ca="1">VLOOKUP($A85,INDIRECT(C$1&amp;"!$B$14:$N$89"),6,0)</f>
        <v>Spanje</v>
      </c>
      <c r="D85" s="177" t="str">
        <f t="shared" ref="D85:X85" ca="1" si="28">VLOOKUP($A85,INDIRECT(D$1&amp;"!$B$14:$N$89"),6,0)</f>
        <v>Spanje</v>
      </c>
      <c r="E85" s="177" t="str">
        <f ca="1">VLOOKUP($A85,INDIRECT(E$1&amp;"!$B$14:$N$89"),6,0)</f>
        <v>Spanje</v>
      </c>
      <c r="F85" s="177" t="str">
        <f ca="1">VLOOKUP($A85,INDIRECT(F$1&amp;"!$B$14:$N$89"),6,0)</f>
        <v>Spanje</v>
      </c>
      <c r="G85" s="177" t="str">
        <f t="shared" ca="1" si="28"/>
        <v>Spanje</v>
      </c>
      <c r="H85" s="177" t="str">
        <f ca="1">VLOOKUP($A85,INDIRECT(H$1&amp;"!$B$14:$N$89"),6,0)</f>
        <v>Spanje</v>
      </c>
      <c r="I85" s="177" t="str">
        <f ca="1">VLOOKUP($A85,INDIRECT(I$1&amp;"!$B$14:$N$89"),6,0)</f>
        <v>Spanje</v>
      </c>
      <c r="J85" s="177" t="str">
        <f ca="1">VLOOKUP($A85,INDIRECT(J$1&amp;"!$B$14:$N$89"),6,0)</f>
        <v>Spanje</v>
      </c>
      <c r="K85" s="177" t="str">
        <f ca="1">VLOOKUP($A85,INDIRECT(K$1&amp;"!$B$14:$N$89"),6,0)</f>
        <v>Spanje</v>
      </c>
      <c r="L85" s="351" t="str">
        <f ca="1">VLOOKUP($A85,INDIRECT(L$1&amp;"!$B$14:$N$89"),6,0)</f>
        <v>Portugal</v>
      </c>
      <c r="M85" s="177" t="str">
        <f ca="1">VLOOKUP($A85,INDIRECT(M$1&amp;"!$B$14:$N$89"),6,0)</f>
        <v>Spanje</v>
      </c>
      <c r="N85" s="351" t="str">
        <f ca="1">VLOOKUP($A85,INDIRECT(N$1&amp;"!$B$14:$N$89"),6,0)</f>
        <v>Italië</v>
      </c>
      <c r="O85" s="351" t="str">
        <f t="shared" ca="1" si="28"/>
        <v>Italië</v>
      </c>
      <c r="P85" s="177" t="str">
        <f t="shared" ca="1" si="28"/>
        <v>Spanje</v>
      </c>
      <c r="Q85" s="177" t="str">
        <f t="shared" ca="1" si="28"/>
        <v>Spanje</v>
      </c>
      <c r="R85" s="351" t="str">
        <f t="shared" ca="1" si="28"/>
        <v>Italië</v>
      </c>
      <c r="S85" s="177" t="str">
        <f t="shared" ca="1" si="28"/>
        <v>Spanje</v>
      </c>
      <c r="T85" s="177" t="str">
        <f t="shared" ca="1" si="28"/>
        <v>Spanje</v>
      </c>
      <c r="U85" s="177" t="str">
        <f t="shared" ca="1" si="28"/>
        <v>Spanje</v>
      </c>
      <c r="V85" s="351" t="str">
        <f t="shared" ca="1" si="28"/>
        <v>Italië</v>
      </c>
      <c r="W85" s="351" t="str">
        <f t="shared" ca="1" si="28"/>
        <v>Italië</v>
      </c>
      <c r="X85" s="177" t="str">
        <f t="shared" ca="1" si="28"/>
        <v>Spanje</v>
      </c>
    </row>
    <row r="86" spans="1:24">
      <c r="A86" s="162">
        <v>63</v>
      </c>
      <c r="B86" s="163" t="s">
        <v>48</v>
      </c>
      <c r="C86" s="350" t="str">
        <f ca="1">VLOOKUP($A86,INDIRECT(C$1&amp;"!$B$14:$N$89"),4,0)</f>
        <v>Engeland</v>
      </c>
      <c r="D86" s="350" t="str">
        <f t="shared" ref="D86:X86" ca="1" si="29">VLOOKUP($A86,INDIRECT(D$1&amp;"!$B$14:$N$89"),4,0)</f>
        <v>Servië</v>
      </c>
      <c r="E86" s="350" t="str">
        <f ca="1">VLOOKUP($A86,INDIRECT(E$1&amp;"!$B$14:$N$89"),4,0)</f>
        <v>Servië</v>
      </c>
      <c r="F86" s="350" t="str">
        <f ca="1">VLOOKUP($A86,INDIRECT(F$1&amp;"!$B$14:$N$89"),4,0)</f>
        <v>Zuid-Afrika</v>
      </c>
      <c r="G86" s="350" t="str">
        <f t="shared" ca="1" si="29"/>
        <v>Mexico</v>
      </c>
      <c r="H86" s="350" t="str">
        <f ca="1">VLOOKUP($A86,INDIRECT(H$1&amp;"!$B$14:$N$89"),4,0)</f>
        <v>USA</v>
      </c>
      <c r="I86" s="350" t="str">
        <f ca="1">VLOOKUP($A86,INDIRECT(I$1&amp;"!$B$14:$N$89"),4,0)</f>
        <v>Brazilië</v>
      </c>
      <c r="J86" s="350" t="str">
        <f ca="1">VLOOKUP($A86,INDIRECT(J$1&amp;"!$B$14:$N$89"),4,0)</f>
        <v>Brazilië</v>
      </c>
      <c r="K86" s="350" t="str">
        <f ca="1">VLOOKUP($A86,INDIRECT(K$1&amp;"!$B$14:$N$89"),4,0)</f>
        <v>Engeland</v>
      </c>
      <c r="L86" s="350" t="str">
        <f ca="1">VLOOKUP($A86,INDIRECT(L$1&amp;"!$B$14:$N$89"),4,0)</f>
        <v>Mexico</v>
      </c>
      <c r="M86" s="350" t="str">
        <f ca="1">VLOOKUP($A86,INDIRECT(M$1&amp;"!$B$14:$N$89"),4,0)</f>
        <v>Engeland</v>
      </c>
      <c r="N86" s="350" t="str">
        <f ca="1">VLOOKUP($A86,INDIRECT(N$1&amp;"!$B$14:$N$89"),4,0)</f>
        <v>Brazilië</v>
      </c>
      <c r="O86" s="179" t="str">
        <f t="shared" ca="1" si="29"/>
        <v>Duitsland</v>
      </c>
      <c r="P86" s="350" t="str">
        <f t="shared" ca="1" si="29"/>
        <v>Frankrijk</v>
      </c>
      <c r="Q86" s="350" t="str">
        <f t="shared" ca="1" si="29"/>
        <v>Engeland</v>
      </c>
      <c r="R86" s="350" t="str">
        <f t="shared" ca="1" si="29"/>
        <v>Engeland</v>
      </c>
      <c r="S86" s="179" t="str">
        <f t="shared" ca="1" si="29"/>
        <v>Duitsland</v>
      </c>
      <c r="T86" s="350" t="str">
        <f t="shared" ca="1" si="29"/>
        <v>Engeland</v>
      </c>
      <c r="U86" s="350" t="str">
        <f t="shared" ca="1" si="29"/>
        <v>Frankrijk</v>
      </c>
      <c r="V86" s="350" t="str">
        <f t="shared" ca="1" si="29"/>
        <v>Engeland</v>
      </c>
      <c r="W86" s="350" t="str">
        <f t="shared" ca="1" si="29"/>
        <v>Engeland</v>
      </c>
      <c r="X86" s="350" t="str">
        <f t="shared" ca="1" si="29"/>
        <v>Engeland</v>
      </c>
    </row>
    <row r="87" spans="1:24">
      <c r="A87" s="162">
        <v>63</v>
      </c>
      <c r="C87" s="177" t="str">
        <f ca="1">VLOOKUP($A87,INDIRECT(C$1&amp;"!$B$14:$N$89"),6,0)</f>
        <v>Duitsland</v>
      </c>
      <c r="D87" s="177" t="str">
        <f t="shared" ref="D87:X87" ca="1" si="30">VLOOKUP($A87,INDIRECT(D$1&amp;"!$B$14:$N$89"),6,0)</f>
        <v>Duitsland</v>
      </c>
      <c r="E87" s="177" t="str">
        <f ca="1">VLOOKUP($A87,INDIRECT(E$1&amp;"!$B$14:$N$89"),6,0)</f>
        <v>Spanje</v>
      </c>
      <c r="F87" s="177" t="str">
        <f ca="1">VLOOKUP($A87,INDIRECT(F$1&amp;"!$B$14:$N$89"),6,0)</f>
        <v>Spanje</v>
      </c>
      <c r="G87" s="177" t="str">
        <f t="shared" ca="1" si="30"/>
        <v>Spanje</v>
      </c>
      <c r="H87" s="351" t="str">
        <f ca="1">VLOOKUP($A87,INDIRECT(H$1&amp;"!$B$14:$N$89"),6,0)</f>
        <v>Argentinië</v>
      </c>
      <c r="I87" s="177" t="str">
        <f ca="1">VLOOKUP($A87,INDIRECT(I$1&amp;"!$B$14:$N$89"),6,0)</f>
        <v>Duitsland</v>
      </c>
      <c r="J87" s="177" t="str">
        <f ca="1">VLOOKUP($A87,INDIRECT(J$1&amp;"!$B$14:$N$89"),6,0)</f>
        <v>Spanje</v>
      </c>
      <c r="K87" s="177" t="str">
        <f ca="1">VLOOKUP($A87,INDIRECT(K$1&amp;"!$B$14:$N$89"),6,0)</f>
        <v>Spanje</v>
      </c>
      <c r="L87" s="351" t="str">
        <f ca="1">VLOOKUP($A87,INDIRECT(L$1&amp;"!$B$14:$N$89"),6,0)</f>
        <v>Argentinië</v>
      </c>
      <c r="M87" s="351" t="str">
        <f ca="1">VLOOKUP($A87,INDIRECT(M$1&amp;"!$B$14:$N$89"),6,0)</f>
        <v>Argentinië</v>
      </c>
      <c r="N87" s="351" t="str">
        <f ca="1">VLOOKUP($A87,INDIRECT(N$1&amp;"!$B$14:$N$89"),6,0)</f>
        <v>Italië</v>
      </c>
      <c r="O87" s="351" t="str">
        <f t="shared" ca="1" si="30"/>
        <v>Argentinië</v>
      </c>
      <c r="P87" s="177" t="str">
        <f t="shared" ca="1" si="30"/>
        <v>Duitsland</v>
      </c>
      <c r="Q87" s="177" t="str">
        <f t="shared" ca="1" si="30"/>
        <v>Spanje</v>
      </c>
      <c r="R87" s="351" t="str">
        <f t="shared" ca="1" si="30"/>
        <v>Argentinië</v>
      </c>
      <c r="S87" s="177" t="str">
        <f t="shared" ca="1" si="30"/>
        <v>Spanje</v>
      </c>
      <c r="T87" s="351" t="str">
        <f t="shared" ca="1" si="30"/>
        <v>Argentinië</v>
      </c>
      <c r="U87" s="177" t="str">
        <f t="shared" ca="1" si="30"/>
        <v>Duitsland</v>
      </c>
      <c r="V87" s="351" t="str">
        <f t="shared" ca="1" si="30"/>
        <v>Italië</v>
      </c>
      <c r="W87" s="351" t="str">
        <f t="shared" ca="1" si="30"/>
        <v>Italië</v>
      </c>
      <c r="X87" s="177" t="str">
        <f t="shared" ca="1" si="30"/>
        <v>Duitsland</v>
      </c>
    </row>
    <row r="88" spans="1:24" s="188" customFormat="1">
      <c r="A88" s="187">
        <v>64</v>
      </c>
      <c r="B88" s="188" t="s">
        <v>49</v>
      </c>
      <c r="C88" s="349" t="str">
        <f ca="1">VLOOKUP($A88,INDIRECT(C$1&amp;"!$B$14:$N$89"),4,0)</f>
        <v>Nederland</v>
      </c>
      <c r="D88" s="349" t="str">
        <f t="shared" ref="D88:X88" ca="1" si="31">VLOOKUP($A88,INDIRECT(D$1&amp;"!$B$14:$N$89"),4,0)</f>
        <v>Nederland</v>
      </c>
      <c r="E88" s="349" t="str">
        <f ca="1">VLOOKUP($A88,INDIRECT(E$1&amp;"!$B$14:$N$89"),4,0)</f>
        <v>Nederland</v>
      </c>
      <c r="F88" s="349" t="str">
        <f ca="1">VLOOKUP($A88,INDIRECT(F$1&amp;"!$B$14:$N$89"),4,0)</f>
        <v>Nederland</v>
      </c>
      <c r="G88" s="350" t="str">
        <f t="shared" ca="1" si="31"/>
        <v>Brazilië</v>
      </c>
      <c r="H88" s="350" t="str">
        <f ca="1">VLOOKUP($A88,INDIRECT(H$1&amp;"!$B$14:$N$89"),4,0)</f>
        <v>Brazilië</v>
      </c>
      <c r="I88" s="350" t="str">
        <f ca="1">VLOOKUP($A88,INDIRECT(I$1&amp;"!$B$14:$N$89"),4,0)</f>
        <v>Frankrijk</v>
      </c>
      <c r="J88" s="350" t="str">
        <f ca="1">VLOOKUP($A88,INDIRECT(J$1&amp;"!$B$14:$N$89"),4,0)</f>
        <v>Engeland</v>
      </c>
      <c r="K88" s="349" t="str">
        <f ca="1">VLOOKUP($A88,INDIRECT(K$1&amp;"!$B$14:$N$89"),4,0)</f>
        <v>Nederland</v>
      </c>
      <c r="L88" s="349" t="str">
        <f ca="1">VLOOKUP($A88,INDIRECT(L$1&amp;"!$B$14:$N$89"),4,0)</f>
        <v>Nederland</v>
      </c>
      <c r="M88" s="350" t="str">
        <f ca="1">VLOOKUP($A88,INDIRECT(M$1&amp;"!$B$14:$N$89"),4,0)</f>
        <v>Brazilië</v>
      </c>
      <c r="N88" s="350" t="str">
        <f ca="1">VLOOKUP($A88,INDIRECT(N$1&amp;"!$B$14:$N$89"),4,0)</f>
        <v>Engeland</v>
      </c>
      <c r="O88" s="350" t="str">
        <f t="shared" ca="1" si="31"/>
        <v>Brazilië</v>
      </c>
      <c r="P88" s="350" t="str">
        <f t="shared" ca="1" si="31"/>
        <v>Brazilië</v>
      </c>
      <c r="Q88" s="350" t="str">
        <f t="shared" ca="1" si="31"/>
        <v>Brazilië</v>
      </c>
      <c r="R88" s="350" t="str">
        <f t="shared" ca="1" si="31"/>
        <v>Brazilië</v>
      </c>
      <c r="S88" s="350" t="str">
        <f t="shared" ca="1" si="31"/>
        <v>Brazilië</v>
      </c>
      <c r="T88" s="350" t="str">
        <f t="shared" ca="1" si="31"/>
        <v>Brazilië</v>
      </c>
      <c r="U88" s="350" t="str">
        <f t="shared" ca="1" si="31"/>
        <v>Brazilië</v>
      </c>
      <c r="V88" s="350" t="str">
        <f t="shared" ca="1" si="31"/>
        <v>Brazilië</v>
      </c>
      <c r="W88" s="350" t="str">
        <f t="shared" ca="1" si="31"/>
        <v>Brazilië</v>
      </c>
      <c r="X88" s="350" t="str">
        <f t="shared" ca="1" si="31"/>
        <v>Brazilië</v>
      </c>
    </row>
    <row r="89" spans="1:24" s="188" customFormat="1">
      <c r="A89" s="187">
        <v>64</v>
      </c>
      <c r="C89" s="177" t="str">
        <f ca="1">VLOOKUP($A89,INDIRECT(C$1&amp;"!$B$14:$N$89"),6,0)</f>
        <v>Spanje</v>
      </c>
      <c r="D89" s="177" t="str">
        <f t="shared" ref="D89:X89" ca="1" si="32">VLOOKUP($A89,INDIRECT(D$1&amp;"!$B$14:$N$89"),6,0)</f>
        <v>Spanje</v>
      </c>
      <c r="E89" s="177" t="str">
        <f ca="1">VLOOKUP($A89,INDIRECT(E$1&amp;"!$B$14:$N$89"),6,0)</f>
        <v>Duitsland</v>
      </c>
      <c r="F89" s="351" t="str">
        <f ca="1">VLOOKUP($A89,INDIRECT(F$1&amp;"!$B$14:$N$89"),6,0)</f>
        <v>Argentinië</v>
      </c>
      <c r="G89" s="177" t="str">
        <f t="shared" ca="1" si="32"/>
        <v>Duitsland</v>
      </c>
      <c r="H89" s="177" t="str">
        <f ca="1">VLOOKUP($A89,INDIRECT(H$1&amp;"!$B$14:$N$89"),6,0)</f>
        <v>Spanje</v>
      </c>
      <c r="I89" s="177" t="str">
        <f ca="1">VLOOKUP($A89,INDIRECT(I$1&amp;"!$B$14:$N$89"),6,0)</f>
        <v>Spanje</v>
      </c>
      <c r="J89" s="177" t="str">
        <f ca="1">VLOOKUP($A89,INDIRECT(J$1&amp;"!$B$14:$N$89"),6,0)</f>
        <v>Duitsland</v>
      </c>
      <c r="K89" s="351" t="str">
        <f ca="1">VLOOKUP($A89,INDIRECT(K$1&amp;"!$B$14:$N$89"),6,0)</f>
        <v>Argentinië</v>
      </c>
      <c r="L89" s="351" t="str">
        <f ca="1">VLOOKUP($A89,INDIRECT(L$1&amp;"!$B$14:$N$89"),6,0)</f>
        <v>Portugal</v>
      </c>
      <c r="M89" s="177" t="str">
        <f ca="1">VLOOKUP($A89,INDIRECT(M$1&amp;"!$B$14:$N$89"),6,0)</f>
        <v>Spanje</v>
      </c>
      <c r="N89" s="177" t="str">
        <f ca="1">VLOOKUP($A89,INDIRECT(N$1&amp;"!$B$14:$N$89"),6,0)</f>
        <v>Duitsland</v>
      </c>
      <c r="O89" s="351" t="str">
        <f t="shared" ca="1" si="32"/>
        <v>Italië</v>
      </c>
      <c r="P89" s="177" t="str">
        <f t="shared" ca="1" si="32"/>
        <v>Spanje</v>
      </c>
      <c r="Q89" s="351" t="str">
        <f t="shared" ca="1" si="32"/>
        <v>Argentinië</v>
      </c>
      <c r="R89" s="351" t="str">
        <f t="shared" ca="1" si="32"/>
        <v>Italië</v>
      </c>
      <c r="S89" s="351" t="str">
        <f t="shared" ca="1" si="32"/>
        <v>Servië</v>
      </c>
      <c r="T89" s="177" t="str">
        <f t="shared" ca="1" si="32"/>
        <v>Spanje</v>
      </c>
      <c r="U89" s="177" t="str">
        <f t="shared" ca="1" si="32"/>
        <v>Spanje</v>
      </c>
      <c r="V89" s="177" t="str">
        <f t="shared" ca="1" si="32"/>
        <v>Duitsland</v>
      </c>
      <c r="W89" s="177" t="str">
        <f t="shared" ca="1" si="32"/>
        <v>Duitsland</v>
      </c>
      <c r="X89" s="177" t="str">
        <f t="shared" ca="1" si="32"/>
        <v>Spanje</v>
      </c>
    </row>
    <row r="91" spans="1:24" s="367" customFormat="1">
      <c r="A91" s="367">
        <v>61</v>
      </c>
      <c r="B91" s="368" t="str">
        <f>VLOOKUP($A91,Invulblad!A$76:J$103,6,0)&amp;"-"&amp;VLOOKUP($A91,Invulblad!A$76:J$103,10,0)</f>
        <v>Uruguay-Nederland</v>
      </c>
      <c r="C91" s="369" t="str">
        <f ca="1">VLOOKUP($A91,INDIRECT(C$1&amp;"!$B$14:$N$89"),7,0)&amp;" - "&amp;VLOOKUP($A91,INDIRECT(C$1&amp;"!$B$14:$N$89"),9,0)</f>
        <v>1 - 3</v>
      </c>
      <c r="D91" s="369" t="str">
        <f t="shared" ref="D91:V95" ca="1" si="33">VLOOKUP($A91,INDIRECT(D$1&amp;"!$B$14:$N$89"),7,0)&amp;" - "&amp;VLOOKUP($A91,INDIRECT(D$1&amp;"!$B$14:$N$89"),9,0)</f>
        <v>1 - 1</v>
      </c>
      <c r="E91" s="369" t="str">
        <f ca="1">VLOOKUP($A91,INDIRECT(E$1&amp;"!$B$14:$N$89"),7,0)&amp;" - "&amp;VLOOKUP($A91,INDIRECT(E$1&amp;"!$B$14:$N$89"),9,0)</f>
        <v>0 - 2</v>
      </c>
      <c r="F91" s="369" t="str">
        <f ca="1">VLOOKUP($A91,INDIRECT(F$1&amp;"!$B$14:$N$89"),7,0)&amp;" - "&amp;VLOOKUP($A91,INDIRECT(F$1&amp;"!$B$14:$N$89"),9,0)</f>
        <v>1 - 3</v>
      </c>
      <c r="G91" s="369" t="str">
        <f t="shared" ca="1" si="33"/>
        <v>0 - 2</v>
      </c>
      <c r="H91" s="369" t="str">
        <f ca="1">VLOOKUP($A91,INDIRECT(H$1&amp;"!$B$14:$N$89"),7,0)&amp;" - "&amp;VLOOKUP($A91,INDIRECT(H$1&amp;"!$B$14:$N$89"),9,0)</f>
        <v>2 - 3</v>
      </c>
      <c r="I91" s="369" t="str">
        <f ca="1">VLOOKUP($A91,INDIRECT(I$1&amp;"!$B$14:$N$89"),7,0)&amp;" - "&amp;VLOOKUP($A91,INDIRECT(I$1&amp;"!$B$14:$N$89"),9,0)</f>
        <v>2 - 1</v>
      </c>
      <c r="J91" s="369" t="str">
        <f ca="1">VLOOKUP($A91,INDIRECT(J$1&amp;"!$B$14:$N$89"),7,0)&amp;" - "&amp;VLOOKUP($A91,INDIRECT(J$1&amp;"!$B$14:$N$89"),9,0)</f>
        <v>1 - 0</v>
      </c>
      <c r="K91" s="369" t="str">
        <f ca="1">VLOOKUP($A91,INDIRECT(K$1&amp;"!$B$14:$N$89"),7,0)&amp;" - "&amp;VLOOKUP($A91,INDIRECT(K$1&amp;"!$B$14:$N$89"),9,0)</f>
        <v>2 - 3</v>
      </c>
      <c r="L91" s="369" t="str">
        <f ca="1">VLOOKUP($A91,INDIRECT(L$1&amp;"!$B$14:$N$89"),7,0)&amp;" - "&amp;VLOOKUP($A91,INDIRECT(L$1&amp;"!$B$14:$N$89"),9,0)</f>
        <v>1 - 2</v>
      </c>
      <c r="M91" s="369" t="str">
        <f ca="1">VLOOKUP($A91,INDIRECT(M$1&amp;"!$B$14:$N$89"),7,0)&amp;" - "&amp;VLOOKUP($A91,INDIRECT(M$1&amp;"!$B$14:$N$89"),9,0)</f>
        <v>1 - 2</v>
      </c>
      <c r="N91" s="369" t="str">
        <f ca="1">VLOOKUP($A91,INDIRECT(N$1&amp;"!$B$14:$N$89"),7,0)&amp;" - "&amp;VLOOKUP($A91,INDIRECT(N$1&amp;"!$B$14:$N$89"),9,0)</f>
        <v>2 - 1</v>
      </c>
      <c r="O91" s="369" t="str">
        <f t="shared" ca="1" si="33"/>
        <v>1 - 2</v>
      </c>
      <c r="P91" s="369" t="str">
        <f t="shared" ca="1" si="33"/>
        <v>1 - 1</v>
      </c>
      <c r="Q91" s="369" t="str">
        <f t="shared" ca="1" si="33"/>
        <v>1 - 2</v>
      </c>
      <c r="R91" s="369" t="str">
        <f t="shared" ca="1" si="33"/>
        <v>0 - 3</v>
      </c>
      <c r="S91" s="369" t="str">
        <f t="shared" ca="1" si="33"/>
        <v>0 - 1</v>
      </c>
      <c r="T91" s="369" t="str">
        <f t="shared" ca="1" si="33"/>
        <v>2 - 2</v>
      </c>
      <c r="U91" s="369" t="str">
        <f t="shared" ca="1" si="33"/>
        <v>0 - 1</v>
      </c>
      <c r="V91" s="369" t="str">
        <f t="shared" ca="1" si="33"/>
        <v>0 - 2</v>
      </c>
      <c r="W91" s="369" t="str">
        <f t="shared" ref="W91:X95" ca="1" si="34">VLOOKUP($A91,INDIRECT(W$1&amp;"!$B$14:$N$89"),7,0)&amp;" - "&amp;VLOOKUP($A91,INDIRECT(W$1&amp;"!$B$14:$N$89"),9,0)</f>
        <v>1 - 1</v>
      </c>
      <c r="X91" s="369" t="str">
        <f t="shared" ca="1" si="34"/>
        <v>2 - 2</v>
      </c>
    </row>
    <row r="92" spans="1:24" s="169" customFormat="1">
      <c r="A92" s="167">
        <v>62</v>
      </c>
      <c r="B92" s="184" t="str">
        <f>VLOOKUP($A92,Invulblad!A$76:J$103,6,0)&amp;"-"&amp;VLOOKUP($A92,Invulblad!A$76:J$103,10,0)</f>
        <v>Duitsland-Spanje</v>
      </c>
      <c r="C92" s="170" t="str">
        <f ca="1">VLOOKUP($A92,INDIRECT(C$1&amp;"!$B$14:$N$89"),7,0)&amp;" - "&amp;VLOOKUP($A92,INDIRECT(C$1&amp;"!$B$14:$N$89"),9,0)</f>
        <v>1 - 3</v>
      </c>
      <c r="D92" s="170" t="str">
        <f t="shared" ca="1" si="33"/>
        <v>1 - 3</v>
      </c>
      <c r="E92" s="170" t="str">
        <f ca="1">VLOOKUP($A92,INDIRECT(E$1&amp;"!$B$14:$N$89"),7,0)&amp;" - "&amp;VLOOKUP($A92,INDIRECT(E$1&amp;"!$B$14:$N$89"),9,0)</f>
        <v>2 - 2</v>
      </c>
      <c r="F92" s="170" t="str">
        <f ca="1">VLOOKUP($A92,INDIRECT(F$1&amp;"!$B$14:$N$89"),7,0)&amp;" - "&amp;VLOOKUP($A92,INDIRECT(F$1&amp;"!$B$14:$N$89"),9,0)</f>
        <v>2 - 1</v>
      </c>
      <c r="G92" s="170" t="str">
        <f t="shared" ca="1" si="33"/>
        <v>2 - 1</v>
      </c>
      <c r="H92" s="170" t="str">
        <f ca="1">VLOOKUP($A92,INDIRECT(H$1&amp;"!$B$14:$N$89"),7,0)&amp;" - "&amp;VLOOKUP($A92,INDIRECT(H$1&amp;"!$B$14:$N$89"),9,0)</f>
        <v>1 - 2</v>
      </c>
      <c r="I92" s="170" t="str">
        <f ca="1">VLOOKUP($A92,INDIRECT(I$1&amp;"!$B$14:$N$89"),7,0)&amp;" - "&amp;VLOOKUP($A92,INDIRECT(I$1&amp;"!$B$14:$N$89"),9,0)</f>
        <v>1 - 2</v>
      </c>
      <c r="J92" s="170" t="str">
        <f ca="1">VLOOKUP($A92,INDIRECT(J$1&amp;"!$B$14:$N$89"),7,0)&amp;" - "&amp;VLOOKUP($A92,INDIRECT(J$1&amp;"!$B$14:$N$89"),9,0)</f>
        <v>2 - 1</v>
      </c>
      <c r="K92" s="170" t="str">
        <f ca="1">VLOOKUP($A92,INDIRECT(K$1&amp;"!$B$14:$N$89"),7,0)&amp;" - "&amp;VLOOKUP($A92,INDIRECT(K$1&amp;"!$B$14:$N$89"),9,0)</f>
        <v>2 - 1</v>
      </c>
      <c r="L92" s="170" t="str">
        <f ca="1">VLOOKUP($A92,INDIRECT(L$1&amp;"!$B$14:$N$89"),7,0)&amp;" - "&amp;VLOOKUP($A92,INDIRECT(L$1&amp;"!$B$14:$N$89"),9,0)</f>
        <v>0 - 1</v>
      </c>
      <c r="M92" s="170" t="str">
        <f ca="1">VLOOKUP($A92,INDIRECT(M$1&amp;"!$B$14:$N$89"),7,0)&amp;" - "&amp;VLOOKUP($A92,INDIRECT(M$1&amp;"!$B$14:$N$89"),9,0)</f>
        <v>1 - 1</v>
      </c>
      <c r="N92" s="170" t="str">
        <f ca="1">VLOOKUP($A92,INDIRECT(N$1&amp;"!$B$14:$N$89"),7,0)&amp;" - "&amp;VLOOKUP($A92,INDIRECT(N$1&amp;"!$B$14:$N$89"),9,0)</f>
        <v>2 - 1</v>
      </c>
      <c r="O92" s="170" t="str">
        <f t="shared" ca="1" si="33"/>
        <v>1 - 2</v>
      </c>
      <c r="P92" s="170" t="str">
        <f t="shared" ca="1" si="33"/>
        <v>1 - 2</v>
      </c>
      <c r="Q92" s="170" t="str">
        <f t="shared" ca="1" si="33"/>
        <v>2 - 1</v>
      </c>
      <c r="R92" s="170" t="str">
        <f t="shared" ca="1" si="33"/>
        <v>0 - 1</v>
      </c>
      <c r="S92" s="170" t="str">
        <f t="shared" ca="1" si="33"/>
        <v>1 - 0</v>
      </c>
      <c r="T92" s="170" t="str">
        <f t="shared" ca="1" si="33"/>
        <v>0 - 0</v>
      </c>
      <c r="U92" s="170" t="str">
        <f t="shared" ca="1" si="33"/>
        <v>1 - 2</v>
      </c>
      <c r="V92" s="170" t="str">
        <f t="shared" ca="1" si="33"/>
        <v>1 - 0</v>
      </c>
      <c r="W92" s="170" t="str">
        <f t="shared" ca="1" si="34"/>
        <v>1 - 0</v>
      </c>
      <c r="X92" s="170" t="str">
        <f t="shared" ca="1" si="34"/>
        <v>1 - 2</v>
      </c>
    </row>
    <row r="93" spans="1:24" s="169" customFormat="1">
      <c r="A93" s="167"/>
      <c r="B93" s="184"/>
      <c r="C93" s="170"/>
      <c r="D93" s="170"/>
      <c r="E93" s="170"/>
      <c r="F93" s="170"/>
      <c r="G93" s="170"/>
      <c r="H93" s="170"/>
      <c r="I93" s="170"/>
      <c r="J93" s="170"/>
      <c r="K93" s="170"/>
      <c r="L93" s="170"/>
      <c r="M93" s="170"/>
      <c r="N93" s="170"/>
      <c r="O93" s="170"/>
      <c r="P93" s="170"/>
      <c r="Q93" s="170"/>
      <c r="R93" s="170"/>
      <c r="S93" s="170"/>
      <c r="T93" s="170"/>
      <c r="U93" s="170"/>
      <c r="V93" s="170"/>
      <c r="W93" s="170"/>
      <c r="X93" s="170"/>
    </row>
    <row r="94" spans="1:24" s="169" customFormat="1">
      <c r="A94" s="167">
        <v>63</v>
      </c>
      <c r="B94" s="184" t="str">
        <f>VLOOKUP($A94,Invulblad!A$76:J$103,6,0)&amp;"-"&amp;VLOOKUP($A94,Invulblad!A$76:J$103,10,0)</f>
        <v>Uruguay-Verliezer 62</v>
      </c>
      <c r="C94" s="170" t="str">
        <f ca="1">VLOOKUP($A94,INDIRECT(C$1&amp;"!$B$14:$N$89"),7,0)&amp;" - "&amp;VLOOKUP($A94,INDIRECT(C$1&amp;"!$B$14:$N$89"),9,0)</f>
        <v>0 - 1</v>
      </c>
      <c r="D94" s="170" t="str">
        <f t="shared" ca="1" si="33"/>
        <v>0 - 2</v>
      </c>
      <c r="E94" s="170" t="str">
        <f ca="1">VLOOKUP($A94,INDIRECT(E$1&amp;"!$B$14:$N$89"),7,0)&amp;" - "&amp;VLOOKUP($A94,INDIRECT(E$1&amp;"!$B$14:$N$89"),9,0)</f>
        <v>0 - 2</v>
      </c>
      <c r="F94" s="170" t="str">
        <f ca="1">VLOOKUP($A94,INDIRECT(F$1&amp;"!$B$14:$N$89"),7,0)&amp;" - "&amp;VLOOKUP($A94,INDIRECT(F$1&amp;"!$B$14:$N$89"),9,0)</f>
        <v>1 - 3</v>
      </c>
      <c r="G94" s="170" t="str">
        <f t="shared" ca="1" si="33"/>
        <v>0 - 2</v>
      </c>
      <c r="H94" s="170" t="str">
        <f ca="1">VLOOKUP($A94,INDIRECT(H$1&amp;"!$B$14:$N$89"),7,0)&amp;" - "&amp;VLOOKUP($A94,INDIRECT(H$1&amp;"!$B$14:$N$89"),9,0)</f>
        <v>1 - 2</v>
      </c>
      <c r="I94" s="170" t="str">
        <f ca="1">VLOOKUP($A94,INDIRECT(I$1&amp;"!$B$14:$N$89"),7,0)&amp;" - "&amp;VLOOKUP($A94,INDIRECT(I$1&amp;"!$B$14:$N$89"),9,0)</f>
        <v>2 - 1</v>
      </c>
      <c r="J94" s="170" t="str">
        <f ca="1">VLOOKUP($A94,INDIRECT(J$1&amp;"!$B$14:$N$89"),7,0)&amp;" - "&amp;VLOOKUP($A94,INDIRECT(J$1&amp;"!$B$14:$N$89"),9,0)</f>
        <v>1 - 3</v>
      </c>
      <c r="K94" s="170" t="str">
        <f ca="1">VLOOKUP($A94,INDIRECT(K$1&amp;"!$B$14:$N$89"),7,0)&amp;" - "&amp;VLOOKUP($A94,INDIRECT(K$1&amp;"!$B$14:$N$89"),9,0)</f>
        <v>0 - 1</v>
      </c>
      <c r="L94" s="170" t="str">
        <f ca="1">VLOOKUP($A94,INDIRECT(L$1&amp;"!$B$14:$N$89"),7,0)&amp;" - "&amp;VLOOKUP($A94,INDIRECT(L$1&amp;"!$B$14:$N$89"),9,0)</f>
        <v>3 - 1</v>
      </c>
      <c r="M94" s="170" t="str">
        <f ca="1">VLOOKUP($A94,INDIRECT(M$1&amp;"!$B$14:$N$89"),7,0)&amp;" - "&amp;VLOOKUP($A94,INDIRECT(M$1&amp;"!$B$14:$N$89"),9,0)</f>
        <v>0 - 2</v>
      </c>
      <c r="N94" s="170" t="str">
        <f ca="1">VLOOKUP($A94,INDIRECT(N$1&amp;"!$B$14:$N$89"),7,0)&amp;" - "&amp;VLOOKUP($A94,INDIRECT(N$1&amp;"!$B$14:$N$89"),9,0)</f>
        <v>2 - 1</v>
      </c>
      <c r="O94" s="170" t="str">
        <f t="shared" ca="1" si="33"/>
        <v>0 - 1</v>
      </c>
      <c r="P94" s="170" t="str">
        <f t="shared" ca="1" si="33"/>
        <v>1 - 2</v>
      </c>
      <c r="Q94" s="170" t="str">
        <f t="shared" ca="1" si="33"/>
        <v>1 - 1</v>
      </c>
      <c r="R94" s="170" t="str">
        <f t="shared" ca="1" si="33"/>
        <v>0 - 1</v>
      </c>
      <c r="S94" s="170" t="str">
        <f t="shared" ca="1" si="33"/>
        <v>0 - 1</v>
      </c>
      <c r="T94" s="170" t="str">
        <f t="shared" ca="1" si="33"/>
        <v>1 - 1</v>
      </c>
      <c r="U94" s="170" t="str">
        <f t="shared" ca="1" si="33"/>
        <v>0 - 1</v>
      </c>
      <c r="V94" s="170" t="str">
        <f t="shared" ca="1" si="33"/>
        <v>0 - 1</v>
      </c>
      <c r="W94" s="170" t="str">
        <f t="shared" ca="1" si="34"/>
        <v>2 - 0</v>
      </c>
      <c r="X94" s="170" t="str">
        <f t="shared" ca="1" si="34"/>
        <v>0 - 0</v>
      </c>
    </row>
    <row r="95" spans="1:24" s="169" customFormat="1">
      <c r="A95" s="167">
        <v>64</v>
      </c>
      <c r="B95" s="184" t="str">
        <f>VLOOKUP($A95,Invulblad!A$76:J$103,6,0)&amp;"-"&amp;VLOOKUP($A95,Invulblad!A$76:J$103,10,0)</f>
        <v>Nederland-Winnaar 62</v>
      </c>
      <c r="C95" s="170" t="str">
        <f ca="1">VLOOKUP($A95,INDIRECT(C$1&amp;"!$B$14:$N$89"),7,0)&amp;" - "&amp;VLOOKUP($A95,INDIRECT(C$1&amp;"!$B$14:$N$89"),9,0)</f>
        <v>2 - 0</v>
      </c>
      <c r="D95" s="170" t="str">
        <f t="shared" ca="1" si="33"/>
        <v>1 - 3</v>
      </c>
      <c r="E95" s="170" t="str">
        <f ca="1">VLOOKUP($A95,INDIRECT(E$1&amp;"!$B$14:$N$89"),7,0)&amp;" - "&amp;VLOOKUP($A95,INDIRECT(E$1&amp;"!$B$14:$N$89"),9,0)</f>
        <v>3 - 0</v>
      </c>
      <c r="F95" s="170" t="str">
        <f ca="1">VLOOKUP($A95,INDIRECT(F$1&amp;"!$B$14:$N$89"),7,0)&amp;" - "&amp;VLOOKUP($A95,INDIRECT(F$1&amp;"!$B$14:$N$89"),9,0)</f>
        <v>4 - 3</v>
      </c>
      <c r="G95" s="170" t="str">
        <f t="shared" ca="1" si="33"/>
        <v>2 - 2</v>
      </c>
      <c r="H95" s="170" t="str">
        <f ca="1">VLOOKUP($A95,INDIRECT(H$1&amp;"!$B$14:$N$89"),7,0)&amp;" - "&amp;VLOOKUP($A95,INDIRECT(H$1&amp;"!$B$14:$N$89"),9,0)</f>
        <v>1 - 3</v>
      </c>
      <c r="I95" s="170" t="str">
        <f ca="1">VLOOKUP($A95,INDIRECT(I$1&amp;"!$B$14:$N$89"),7,0)&amp;" - "&amp;VLOOKUP($A95,INDIRECT(I$1&amp;"!$B$14:$N$89"),9,0)</f>
        <v>2 - 3</v>
      </c>
      <c r="J95" s="170" t="str">
        <f ca="1">VLOOKUP($A95,INDIRECT(J$1&amp;"!$B$14:$N$89"),7,0)&amp;" - "&amp;VLOOKUP($A95,INDIRECT(J$1&amp;"!$B$14:$N$89"),9,0)</f>
        <v>0 - 1</v>
      </c>
      <c r="K95" s="170" t="str">
        <f ca="1">VLOOKUP($A95,INDIRECT(K$1&amp;"!$B$14:$N$89"),7,0)&amp;" - "&amp;VLOOKUP($A95,INDIRECT(K$1&amp;"!$B$14:$N$89"),9,0)</f>
        <v>1 - 2</v>
      </c>
      <c r="L95" s="170" t="str">
        <f ca="1">VLOOKUP($A95,INDIRECT(L$1&amp;"!$B$14:$N$89"),7,0)&amp;" - "&amp;VLOOKUP($A95,INDIRECT(L$1&amp;"!$B$14:$N$89"),9,0)</f>
        <v>1 - 1</v>
      </c>
      <c r="M95" s="170" t="str">
        <f ca="1">VLOOKUP($A95,INDIRECT(M$1&amp;"!$B$14:$N$89"),7,0)&amp;" - "&amp;VLOOKUP($A95,INDIRECT(M$1&amp;"!$B$14:$N$89"),9,0)</f>
        <v>1 - 1</v>
      </c>
      <c r="N95" s="170" t="str">
        <f ca="1">VLOOKUP($A95,INDIRECT(N$1&amp;"!$B$14:$N$89"),7,0)&amp;" - "&amp;VLOOKUP($A95,INDIRECT(N$1&amp;"!$B$14:$N$89"),9,0)</f>
        <v>1 - 1</v>
      </c>
      <c r="O95" s="170" t="str">
        <f t="shared" ca="1" si="33"/>
        <v>2 - 3</v>
      </c>
      <c r="P95" s="170" t="str">
        <f t="shared" ca="1" si="33"/>
        <v>2 - 2</v>
      </c>
      <c r="Q95" s="170" t="str">
        <f t="shared" ca="1" si="33"/>
        <v>2 - 2</v>
      </c>
      <c r="R95" s="170" t="str">
        <f t="shared" ca="1" si="33"/>
        <v>0 - 1</v>
      </c>
      <c r="S95" s="170" t="str">
        <f t="shared" ca="1" si="33"/>
        <v>2 - 0</v>
      </c>
      <c r="T95" s="170" t="str">
        <f t="shared" ca="1" si="33"/>
        <v>3 - 2</v>
      </c>
      <c r="U95" s="170" t="str">
        <f t="shared" ca="1" si="33"/>
        <v>2 - 1</v>
      </c>
      <c r="V95" s="170" t="str">
        <f t="shared" ca="1" si="33"/>
        <v>2 - 1</v>
      </c>
      <c r="W95" s="170" t="str">
        <f t="shared" ca="1" si="34"/>
        <v>1 - 0</v>
      </c>
      <c r="X95" s="170" t="str">
        <f t="shared" ca="1" si="34"/>
        <v>1 - 1</v>
      </c>
    </row>
    <row r="96" spans="1:24" s="169" customFormat="1">
      <c r="A96" s="167"/>
      <c r="B96" s="169" t="s">
        <v>45</v>
      </c>
      <c r="C96" s="163" t="str">
        <f ca="1">INDIRECT(C$1&amp;"!$e$12")</f>
        <v>Nederland</v>
      </c>
      <c r="D96" s="163" t="str">
        <f t="shared" ref="D96:X96" ca="1" si="35">INDIRECT(D$1&amp;"!$e$12")</f>
        <v>Spanje</v>
      </c>
      <c r="E96" s="163" t="str">
        <f ca="1">INDIRECT(E$1&amp;"!$e$12")</f>
        <v>Nederland</v>
      </c>
      <c r="F96" s="163" t="str">
        <f ca="1">INDIRECT(F$1&amp;"!$e$12")</f>
        <v>Nederland</v>
      </c>
      <c r="G96" s="163" t="str">
        <f t="shared" ca="1" si="35"/>
        <v>Duitsland</v>
      </c>
      <c r="H96" s="163" t="str">
        <f ca="1">INDIRECT(H$1&amp;"!$e$12")</f>
        <v>Spanje</v>
      </c>
      <c r="I96" s="163" t="str">
        <f ca="1">INDIRECT(I$1&amp;"!$e$12")</f>
        <v>Spanje</v>
      </c>
      <c r="J96" s="163" t="str">
        <f ca="1">INDIRECT(J$1&amp;"!$e$12")</f>
        <v>Duitsland</v>
      </c>
      <c r="K96" s="370" t="str">
        <f ca="1">INDIRECT(K$1&amp;"!$e$12")</f>
        <v>Argentinië</v>
      </c>
      <c r="L96" s="163" t="str">
        <f ca="1">INDIRECT(L$1&amp;"!$e$12")</f>
        <v>Nederland</v>
      </c>
      <c r="M96" s="163" t="str">
        <f ca="1">INDIRECT(M$1&amp;"!$e$12")</f>
        <v>Spanje</v>
      </c>
      <c r="N96" s="163" t="str">
        <f ca="1">INDIRECT(N$1&amp;"!$e$12")</f>
        <v>Duitsland</v>
      </c>
      <c r="O96" s="371" t="str">
        <f t="shared" ca="1" si="35"/>
        <v>Italië</v>
      </c>
      <c r="P96" s="370" t="str">
        <f t="shared" ca="1" si="35"/>
        <v>Brazilië</v>
      </c>
      <c r="Q96" s="370" t="str">
        <f t="shared" ca="1" si="35"/>
        <v>Argentinië</v>
      </c>
      <c r="R96" s="371" t="str">
        <f t="shared" ca="1" si="35"/>
        <v>Italië</v>
      </c>
      <c r="S96" s="370" t="str">
        <f t="shared" ca="1" si="35"/>
        <v>Brazilië</v>
      </c>
      <c r="T96" s="370" t="str">
        <f t="shared" ca="1" si="35"/>
        <v>Brazilië</v>
      </c>
      <c r="U96" s="370" t="str">
        <f t="shared" ca="1" si="35"/>
        <v>Brazilië</v>
      </c>
      <c r="V96" s="370" t="str">
        <f t="shared" ca="1" si="35"/>
        <v>Brazilië</v>
      </c>
      <c r="W96" s="370" t="str">
        <f t="shared" ca="1" si="35"/>
        <v>Brazilië</v>
      </c>
      <c r="X96" s="370" t="str">
        <f t="shared" ca="1" si="35"/>
        <v>Brazilië</v>
      </c>
    </row>
  </sheetData>
  <sheetProtection selectLockedCells="1" selectUnlockedCells="1"/>
  <pageMargins left="0.7" right="0.7" top="0.75" bottom="0.75" header="0.51180555555555551" footer="0.51180555555555551"/>
  <pageSetup paperSize="9" firstPageNumber="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0:C15"/>
  <sheetViews>
    <sheetView workbookViewId="0">
      <selection activeCell="C12" sqref="C12"/>
    </sheetView>
  </sheetViews>
  <sheetFormatPr defaultRowHeight="12.75"/>
  <cols>
    <col min="1" max="1" width="83.28515625" style="271" customWidth="1"/>
    <col min="2" max="2" width="1.7109375" style="271" customWidth="1"/>
    <col min="3" max="3" width="47.5703125" style="271" customWidth="1"/>
    <col min="4" max="16384" width="9.140625" style="271"/>
  </cols>
  <sheetData>
    <row r="10" spans="1:3">
      <c r="A10" s="272" t="s">
        <v>405</v>
      </c>
      <c r="C10" s="273" t="e">
        <f>#N/A</f>
        <v>#N/A</v>
      </c>
    </row>
    <row r="11" spans="1:3">
      <c r="A11" s="75" t="s">
        <v>406</v>
      </c>
      <c r="C11" s="274"/>
    </row>
    <row r="12" spans="1:3">
      <c r="A12" s="65" t="s">
        <v>407</v>
      </c>
      <c r="C12" s="275"/>
    </row>
    <row r="13" spans="1:3">
      <c r="A13" s="75" t="s">
        <v>408</v>
      </c>
      <c r="C13" s="274"/>
    </row>
    <row r="14" spans="1:3">
      <c r="A14" s="65" t="s">
        <v>409</v>
      </c>
      <c r="C14" s="275"/>
    </row>
    <row r="15" spans="1:3">
      <c r="A15" s="75" t="s">
        <v>410</v>
      </c>
      <c r="C15" s="274"/>
    </row>
  </sheetData>
  <sheetProtection selectLockedCells="1" selectUnlockedCells="1"/>
  <pageMargins left="0.7" right="0.7" top="0.75" bottom="0.75" header="0.51180555555555551" footer="0.51180555555555551"/>
  <pageSetup firstPageNumber="0" orientation="portrait" horizontalDpi="300" verticalDpi="300"/>
  <headerFooter alignWithMargins="0"/>
  <drawing r:id="rId1"/>
</worksheet>
</file>

<file path=xl/worksheets/sheet31.xml><?xml version="1.0" encoding="utf-8"?>
<worksheet xmlns="http://schemas.openxmlformats.org/spreadsheetml/2006/main" xmlns:r="http://schemas.openxmlformats.org/officeDocument/2006/relationships">
  <dimension ref="B1:BI132"/>
  <sheetViews>
    <sheetView workbookViewId="0">
      <selection activeCell="A20" sqref="A20"/>
    </sheetView>
  </sheetViews>
  <sheetFormatPr defaultRowHeight="11.25" zeroHeight="1"/>
  <cols>
    <col min="1" max="1" width="2.28515625" style="60" customWidth="1"/>
    <col min="2" max="2" width="3" style="60" customWidth="1"/>
    <col min="3" max="3" width="15.42578125" style="60" customWidth="1"/>
    <col min="4" max="4" width="2.7109375" style="60" customWidth="1"/>
    <col min="5" max="5" width="2.42578125" style="60" customWidth="1"/>
    <col min="6" max="7" width="2.140625" style="60" customWidth="1"/>
    <col min="8" max="8" width="4.140625" style="60" customWidth="1"/>
    <col min="9" max="10" width="4" style="60" customWidth="1"/>
    <col min="11" max="11" width="2.5703125" style="60" customWidth="1"/>
    <col min="12" max="12" width="2.5703125" style="276" customWidth="1"/>
    <col min="13" max="13" width="9.140625" style="60"/>
    <col min="14" max="14" width="9.28515625" style="60" customWidth="1"/>
    <col min="15" max="15" width="2.5703125" style="60" customWidth="1"/>
    <col min="16" max="16" width="2.5703125" style="276" customWidth="1"/>
    <col min="17" max="17" width="2" style="60" customWidth="1"/>
    <col min="18" max="18" width="6.5703125" style="60" customWidth="1"/>
    <col min="19" max="20" width="2.42578125" style="60" customWidth="1"/>
    <col min="21" max="21" width="3.7109375" style="60" customWidth="1"/>
    <col min="22" max="22" width="6.140625" style="60" customWidth="1"/>
    <col min="23" max="23" width="6.85546875" style="60" customWidth="1"/>
    <col min="24" max="24" width="7" style="60" customWidth="1"/>
    <col min="25" max="25" width="9.140625" style="60"/>
    <col min="26" max="26" width="4.85546875" style="60" customWidth="1"/>
    <col min="27" max="27" width="8.28515625" style="60" customWidth="1"/>
    <col min="28" max="28" width="3.85546875" style="60" customWidth="1"/>
    <col min="29" max="29" width="2.5703125" style="276" customWidth="1"/>
    <col min="30" max="34" width="0" style="60" hidden="1" customWidth="1"/>
    <col min="35" max="35" width="3.28515625" style="60" customWidth="1"/>
    <col min="36" max="36" width="1.28515625" style="60" customWidth="1"/>
    <col min="37" max="37" width="3.28515625" style="60" customWidth="1"/>
    <col min="38" max="38" width="2.5703125" style="60" customWidth="1"/>
    <col min="39" max="39" width="2.7109375" style="60" customWidth="1"/>
    <col min="40" max="40" width="1.5703125" style="60" customWidth="1"/>
    <col min="41" max="41" width="2.7109375" style="60" customWidth="1"/>
    <col min="42" max="42" width="3" style="60" customWidth="1"/>
    <col min="43" max="54" width="8.7109375" style="60" customWidth="1"/>
    <col min="55" max="55" width="24.7109375" style="60" customWidth="1"/>
    <col min="56" max="57" width="4" style="60" customWidth="1"/>
    <col min="58" max="58" width="11.140625" style="60" customWidth="1"/>
    <col min="59" max="59" width="0" style="60" hidden="1" customWidth="1"/>
    <col min="60" max="16384" width="9.140625" style="60"/>
  </cols>
  <sheetData>
    <row r="1" spans="2:60" s="277" customFormat="1">
      <c r="L1" s="278"/>
      <c r="P1" s="278"/>
      <c r="AC1" s="278"/>
      <c r="AH1" s="279"/>
    </row>
    <row r="2" spans="2:60" s="277" customFormat="1">
      <c r="L2" s="278"/>
      <c r="P2" s="278"/>
      <c r="Z2" s="365" t="s">
        <v>411</v>
      </c>
      <c r="AA2" s="365"/>
      <c r="AC2" s="278"/>
    </row>
    <row r="3" spans="2:60" s="277" customFormat="1">
      <c r="L3" s="278"/>
      <c r="P3" s="278"/>
      <c r="Z3" s="280" t="s">
        <v>22</v>
      </c>
      <c r="AA3" s="74">
        <v>100000</v>
      </c>
      <c r="AC3" s="278"/>
    </row>
    <row r="4" spans="2:60" s="277" customFormat="1">
      <c r="L4" s="278"/>
      <c r="P4" s="278"/>
      <c r="Z4" s="281" t="s">
        <v>28</v>
      </c>
      <c r="AA4" s="84">
        <v>1000</v>
      </c>
      <c r="AC4" s="278"/>
    </row>
    <row r="5" spans="2:60" s="277" customFormat="1">
      <c r="L5" s="278"/>
      <c r="P5" s="278"/>
      <c r="Z5" s="280" t="s">
        <v>26</v>
      </c>
      <c r="AA5" s="74">
        <v>10</v>
      </c>
      <c r="AC5" s="278"/>
    </row>
    <row r="6" spans="2:60" s="277" customFormat="1">
      <c r="L6" s="278"/>
      <c r="P6" s="278"/>
      <c r="AC6" s="278"/>
    </row>
    <row r="7" spans="2:60" s="277" customFormat="1">
      <c r="L7" s="278"/>
      <c r="P7" s="278"/>
      <c r="AC7" s="278"/>
    </row>
    <row r="8" spans="2:60" s="277" customFormat="1">
      <c r="L8" s="278"/>
      <c r="P8" s="278"/>
      <c r="AC8" s="278"/>
    </row>
    <row r="9" spans="2:60" s="277" customFormat="1">
      <c r="L9" s="278"/>
      <c r="P9" s="278"/>
      <c r="AC9" s="278"/>
    </row>
    <row r="10" spans="2:60" s="277" customFormat="1">
      <c r="L10" s="278"/>
      <c r="P10" s="278"/>
      <c r="AC10" s="278"/>
    </row>
    <row r="11" spans="2:60" s="277" customFormat="1">
      <c r="L11" s="278"/>
      <c r="P11" s="278"/>
      <c r="AC11" s="278"/>
    </row>
    <row r="12" spans="2:60" s="277" customFormat="1">
      <c r="L12" s="278"/>
      <c r="P12" s="278"/>
      <c r="AC12" s="278"/>
    </row>
    <row r="13" spans="2:60">
      <c r="M13" s="282" t="s">
        <v>412</v>
      </c>
      <c r="N13" s="282" t="s">
        <v>412</v>
      </c>
      <c r="Q13" s="283" t="s">
        <v>413</v>
      </c>
      <c r="R13" s="283"/>
      <c r="AD13" s="283"/>
      <c r="AH13" s="283"/>
      <c r="AI13" s="283" t="s">
        <v>414</v>
      </c>
    </row>
    <row r="14" spans="2:60">
      <c r="N14" s="60" t="s">
        <v>415</v>
      </c>
    </row>
    <row r="15" spans="2:60">
      <c r="Q15" s="284" t="s">
        <v>416</v>
      </c>
      <c r="R15" s="91"/>
      <c r="S15" s="91"/>
      <c r="V15" s="60" t="s">
        <v>417</v>
      </c>
      <c r="W15" s="60" t="s">
        <v>418</v>
      </c>
      <c r="X15" s="60" t="s">
        <v>419</v>
      </c>
      <c r="AI15" s="283" t="s">
        <v>420</v>
      </c>
    </row>
    <row r="16" spans="2:60">
      <c r="B16" s="285"/>
      <c r="C16" s="285" t="s">
        <v>19</v>
      </c>
      <c r="D16" s="285" t="s">
        <v>421</v>
      </c>
      <c r="E16" s="285" t="s">
        <v>23</v>
      </c>
      <c r="F16" s="285" t="s">
        <v>24</v>
      </c>
      <c r="G16" s="285" t="s">
        <v>25</v>
      </c>
      <c r="H16" s="285" t="s">
        <v>26</v>
      </c>
      <c r="I16" s="285" t="s">
        <v>27</v>
      </c>
      <c r="J16" s="285" t="s">
        <v>28</v>
      </c>
      <c r="M16" s="285" t="s">
        <v>422</v>
      </c>
      <c r="N16" s="285" t="s">
        <v>423</v>
      </c>
      <c r="Q16" s="285" t="str">
        <f>C16</f>
        <v>Groep A</v>
      </c>
      <c r="R16" s="286"/>
      <c r="S16" s="286"/>
      <c r="T16" s="286"/>
      <c r="U16" s="286"/>
      <c r="V16" s="285" t="s">
        <v>424</v>
      </c>
      <c r="W16" s="285" t="s">
        <v>28</v>
      </c>
      <c r="X16" s="285" t="s">
        <v>26</v>
      </c>
      <c r="Y16" s="285" t="s">
        <v>425</v>
      </c>
      <c r="AA16" s="285" t="s">
        <v>422</v>
      </c>
      <c r="AD16" s="287">
        <f>Invulblad!A11</f>
        <v>1</v>
      </c>
      <c r="AE16" s="288">
        <f>Invulblad!C11</f>
        <v>40340.666666666664</v>
      </c>
      <c r="AF16" s="289">
        <f>Invulblad!D11</f>
        <v>40340.666666666664</v>
      </c>
      <c r="AG16" s="290" t="s">
        <v>29</v>
      </c>
      <c r="AH16" s="290" t="str">
        <f>RIGHT($Q$16,1)</f>
        <v>A</v>
      </c>
      <c r="AI16" s="291" t="str">
        <f>Toernooigegevens!F4</f>
        <v>A1</v>
      </c>
      <c r="AJ16" s="290" t="s">
        <v>29</v>
      </c>
      <c r="AK16" s="291" t="str">
        <f>Toernooigegevens!J4</f>
        <v>A2</v>
      </c>
      <c r="AL16" s="290" t="s">
        <v>426</v>
      </c>
      <c r="AM16" s="292">
        <f>Invulblad!G11</f>
        <v>1</v>
      </c>
      <c r="AN16" s="290" t="s">
        <v>29</v>
      </c>
      <c r="AO16" s="292">
        <f>Invulblad!I11</f>
        <v>1</v>
      </c>
      <c r="AP16" s="290"/>
      <c r="AQ16" s="285" t="s">
        <v>427</v>
      </c>
      <c r="AR16" s="286" t="s">
        <v>428</v>
      </c>
      <c r="AS16" s="285" t="s">
        <v>21</v>
      </c>
      <c r="AT16" s="286" t="s">
        <v>23</v>
      </c>
      <c r="AU16" s="286" t="s">
        <v>24</v>
      </c>
      <c r="AV16" s="286" t="s">
        <v>25</v>
      </c>
      <c r="AW16" s="286" t="s">
        <v>429</v>
      </c>
      <c r="AX16" s="286" t="s">
        <v>430</v>
      </c>
      <c r="AY16" s="285" t="s">
        <v>431</v>
      </c>
      <c r="AZ16" s="285" t="s">
        <v>429</v>
      </c>
      <c r="BA16" s="285" t="s">
        <v>432</v>
      </c>
      <c r="BB16" s="285" t="s">
        <v>431</v>
      </c>
      <c r="BC16" s="285" t="s">
        <v>433</v>
      </c>
      <c r="BE16" s="285" t="s">
        <v>428</v>
      </c>
      <c r="BF16" s="285"/>
      <c r="BG16" s="285"/>
      <c r="BH16" s="285" t="s">
        <v>422</v>
      </c>
    </row>
    <row r="17" spans="2:61">
      <c r="B17" s="70" t="str">
        <f>Toernooigegevens!M4</f>
        <v>A1</v>
      </c>
      <c r="C17" s="70" t="str">
        <f>Toernooigegevens!N4</f>
        <v>Zuid-Afrika</v>
      </c>
      <c r="D17" s="70">
        <f>(E17*3)+(F17*1)</f>
        <v>4</v>
      </c>
      <c r="E17" s="70">
        <f>SUMPRODUCT((Invulblad!$F$11:$F$16=C17)*(Invulblad!$M$11:$M$16="1"))+SUMPRODUCT((Invulblad!$J$11:$J$16=C17)*(Invulblad!$M$11:$M$16=2))</f>
        <v>1</v>
      </c>
      <c r="F17" s="70">
        <f>SUMPRODUCT((Invulblad!$F$11:$F$16=C17)*(Invulblad!$M$11:$M$16=3))+SUMPRODUCT((Invulblad!$J$11:$J$16=C17)*(Invulblad!$M$11:$M$16=3))</f>
        <v>1</v>
      </c>
      <c r="G17" s="70">
        <f>SUMPRODUCT((Invulblad!$F$11:$F$16=C17)*(Invulblad!$M$11:$M$16=2))+SUMPRODUCT((Invulblad!$J$11:$J$16=C17)*(Invulblad!$M$11:$M$16="1"))</f>
        <v>1</v>
      </c>
      <c r="H17" s="70">
        <f>SUMIF(Invulblad!$J$11:$J$16,C17,Invulblad!$I$11:$I$16)+SUMIF(Invulblad!$F$11:$F$16,C17,Invulblad!$G$11:$G$16)</f>
        <v>3</v>
      </c>
      <c r="I17" s="70">
        <f>SUMIF(Invulblad!$J$11:$J$16,C17,Invulblad!$G$11:$G$16)+SUMIF(Invulblad!$F$11:$F$16,C17,Invulblad!$I$11:$I$16)</f>
        <v>5</v>
      </c>
      <c r="J17" s="70">
        <f>H17-I17</f>
        <v>-2</v>
      </c>
      <c r="M17" s="72">
        <f>AA17</f>
        <v>3</v>
      </c>
      <c r="N17" s="129"/>
      <c r="O17" s="293"/>
      <c r="Q17" s="70">
        <v>4</v>
      </c>
      <c r="R17" s="70" t="str">
        <f>IF(SUM(E17:G17)&gt;0,"Ja","Nee")</f>
        <v>Ja</v>
      </c>
      <c r="S17" s="70">
        <f>IF(COUNTIF(R17:R20,"Ja")=4,-Q17,"")</f>
        <v>-4</v>
      </c>
      <c r="T17" s="70">
        <f>IF(S17&lt;&gt;"",(SUMPRODUCT(--(C17&lt;C17:C20))+1),"")</f>
        <v>1</v>
      </c>
      <c r="U17" s="70" t="str">
        <f>IF(SUM(E17:G17)=3,"Ja","Nee")</f>
        <v>Ja</v>
      </c>
      <c r="V17" s="70">
        <f>D17*$AA$3</f>
        <v>400000</v>
      </c>
      <c r="W17" s="70">
        <f>J17*$AA$4</f>
        <v>-2000</v>
      </c>
      <c r="X17" s="70">
        <f>H17*$AA$5</f>
        <v>30</v>
      </c>
      <c r="Y17" s="70">
        <f>SUM(Q17:X17)</f>
        <v>398031</v>
      </c>
      <c r="AA17" s="72">
        <f>RANK(Y17,Y17:Y20)</f>
        <v>3</v>
      </c>
      <c r="AD17" s="287">
        <f>Invulblad!A12</f>
        <v>2</v>
      </c>
      <c r="AE17" s="288">
        <f>Invulblad!C12</f>
        <v>40340.854166666664</v>
      </c>
      <c r="AF17" s="289">
        <f>Invulblad!D12</f>
        <v>40340.854166666664</v>
      </c>
      <c r="AG17" s="290" t="s">
        <v>29</v>
      </c>
      <c r="AH17" s="290" t="str">
        <f>AH16</f>
        <v>A</v>
      </c>
      <c r="AI17" s="291" t="str">
        <f>Toernooigegevens!F5</f>
        <v>A3</v>
      </c>
      <c r="AJ17" s="290" t="s">
        <v>29</v>
      </c>
      <c r="AK17" s="291" t="str">
        <f>Toernooigegevens!J5</f>
        <v>A4</v>
      </c>
      <c r="AL17" s="290"/>
      <c r="AM17" s="292">
        <f>Invulblad!G12</f>
        <v>0</v>
      </c>
      <c r="AN17" s="290" t="s">
        <v>29</v>
      </c>
      <c r="AO17" s="292">
        <f>Invulblad!I12</f>
        <v>0</v>
      </c>
      <c r="AP17" s="290"/>
      <c r="AQ17" s="70" t="e">
        <f t="array" ref="AQ17:BC20">#N/A</f>
        <v>#N/A</v>
      </c>
      <c r="AR17" s="70" t="e">
        <v>#N/A</v>
      </c>
      <c r="AS17" s="70" t="e">
        <v>#N/A</v>
      </c>
      <c r="AT17" s="70" t="e">
        <v>#N/A</v>
      </c>
      <c r="AU17" s="70" t="e">
        <v>#N/A</v>
      </c>
      <c r="AV17" s="70" t="e">
        <v>#N/A</v>
      </c>
      <c r="AW17" s="70" t="e">
        <v>#N/A</v>
      </c>
      <c r="AX17" s="70" t="e">
        <v>#N/A</v>
      </c>
      <c r="AY17" s="70" t="e">
        <v>#N/A</v>
      </c>
      <c r="AZ17" s="70" t="e">
        <v>#N/A</v>
      </c>
      <c r="BA17" s="70" t="e">
        <v>#N/A</v>
      </c>
      <c r="BB17" s="70" t="e">
        <v>#N/A</v>
      </c>
      <c r="BC17" s="70" t="e">
        <v>#N/A</v>
      </c>
      <c r="BE17" s="72" t="str">
        <f t="shared" ref="BE17:BF20" si="0">B17</f>
        <v>A1</v>
      </c>
      <c r="BF17" s="294" t="str">
        <f t="shared" si="0"/>
        <v>Zuid-Afrika</v>
      </c>
      <c r="BG17" s="65" t="e">
        <f>VALUE(RIGHT(INDEX(AQ17:AQ20,MATCH(BE17,AR17:AR20)),1))</f>
        <v>#N/A</v>
      </c>
      <c r="BH17" s="65" t="str">
        <f>IF(ISERROR(BG17),"L",BG17)</f>
        <v>L</v>
      </c>
    </row>
    <row r="18" spans="2:61">
      <c r="B18" s="80" t="str">
        <f>Toernooigegevens!M5</f>
        <v>A2</v>
      </c>
      <c r="C18" s="80" t="str">
        <f>Toernooigegevens!N5</f>
        <v>Mexico</v>
      </c>
      <c r="D18" s="80">
        <f>(E18*3)+(F18*1)</f>
        <v>4</v>
      </c>
      <c r="E18" s="80">
        <f>SUMPRODUCT((Invulblad!$F$11:$F$16=C18)*(Invulblad!$M$11:$M$16="1"))+SUMPRODUCT((Invulblad!$J$11:$J$16=C18)*(Invulblad!$M$11:$M$16=2))</f>
        <v>1</v>
      </c>
      <c r="F18" s="80">
        <f>SUMPRODUCT((Invulblad!$F$11:$F$16=C18)*(Invulblad!$M$11:$M$16=3))+SUMPRODUCT((Invulblad!$J$11:$J$16=C18)*(Invulblad!$M$11:$M$16=3))</f>
        <v>1</v>
      </c>
      <c r="G18" s="80">
        <f>SUMPRODUCT((Invulblad!$F$11:$F$16=C18)*(Invulblad!$M$11:$M$16=2))+SUMPRODUCT((Invulblad!$J$11:$J$16=C18)*(Invulblad!$M$11:$M$16="1"))</f>
        <v>1</v>
      </c>
      <c r="H18" s="80">
        <f>SUMIF(Invulblad!$J$11:$J$16,C18,Invulblad!$I$11:$I$16)+SUMIF(Invulblad!$F$11:$F$16,C18,Invulblad!$G$11:$G$16)</f>
        <v>3</v>
      </c>
      <c r="I18" s="80">
        <f>SUMIF(Invulblad!$J$11:$J$16,C18,Invulblad!$G$11:$G$16)+SUMIF(Invulblad!$F$11:$F$16,C18,Invulblad!$I$11:$I$16)</f>
        <v>2</v>
      </c>
      <c r="J18" s="80">
        <f>H18-I18</f>
        <v>1</v>
      </c>
      <c r="M18" s="72">
        <f>AA18</f>
        <v>2</v>
      </c>
      <c r="N18" s="136"/>
      <c r="O18" s="293"/>
      <c r="Q18" s="80">
        <v>3</v>
      </c>
      <c r="R18" s="80" t="str">
        <f>IF(SUM(E18:G18)&gt;0,"Ja","Nee")</f>
        <v>Ja</v>
      </c>
      <c r="S18" s="80">
        <f>IF(COUNTIF(R17:R20,"Ja")=4,-Q18,"")</f>
        <v>-3</v>
      </c>
      <c r="T18" s="80">
        <f>IF(S18&lt;&gt;"",(SUMPRODUCT(--(C18&lt;C17:C20))+1),"")</f>
        <v>3</v>
      </c>
      <c r="U18" s="80" t="str">
        <f>IF(SUM(E18:G18)=3,"Ja","Nee")</f>
        <v>Ja</v>
      </c>
      <c r="V18" s="80">
        <f>D18*$AA$3</f>
        <v>400000</v>
      </c>
      <c r="W18" s="80">
        <f>J18*$AA$4</f>
        <v>1000</v>
      </c>
      <c r="X18" s="80">
        <f>H18*$AA$5</f>
        <v>30</v>
      </c>
      <c r="Y18" s="80">
        <f>SUM(Q18:X18)</f>
        <v>401033</v>
      </c>
      <c r="AA18" s="82">
        <f>RANK(Y18,Y17:Y20)</f>
        <v>2</v>
      </c>
      <c r="AD18" s="287">
        <f>Invulblad!A13</f>
        <v>17</v>
      </c>
      <c r="AE18" s="288">
        <f>Invulblad!C13</f>
        <v>40345.854166666664</v>
      </c>
      <c r="AF18" s="289">
        <f>Invulblad!D13</f>
        <v>40345.854166666664</v>
      </c>
      <c r="AG18" s="290" t="s">
        <v>29</v>
      </c>
      <c r="AH18" s="290" t="str">
        <f>AH17</f>
        <v>A</v>
      </c>
      <c r="AI18" s="291" t="str">
        <f>Toernooigegevens!F6</f>
        <v>A1</v>
      </c>
      <c r="AJ18" s="290" t="s">
        <v>29</v>
      </c>
      <c r="AK18" s="291" t="str">
        <f>Toernooigegevens!J6</f>
        <v>A3</v>
      </c>
      <c r="AL18" s="290"/>
      <c r="AM18" s="292">
        <f>Invulblad!G13</f>
        <v>0</v>
      </c>
      <c r="AN18" s="290" t="s">
        <v>29</v>
      </c>
      <c r="AO18" s="292">
        <f>Invulblad!I13</f>
        <v>3</v>
      </c>
      <c r="AP18" s="290"/>
      <c r="AQ18" s="80" t="e">
        <v>#N/A</v>
      </c>
      <c r="AR18" s="80" t="e">
        <v>#N/A</v>
      </c>
      <c r="AS18" s="80" t="e">
        <v>#N/A</v>
      </c>
      <c r="AT18" s="80" t="e">
        <v>#N/A</v>
      </c>
      <c r="AU18" s="80" t="e">
        <v>#N/A</v>
      </c>
      <c r="AV18" s="80" t="e">
        <v>#N/A</v>
      </c>
      <c r="AW18" s="80" t="e">
        <v>#N/A</v>
      </c>
      <c r="AX18" s="80" t="e">
        <v>#N/A</v>
      </c>
      <c r="AY18" s="80" t="e">
        <v>#N/A</v>
      </c>
      <c r="AZ18" s="80" t="e">
        <v>#N/A</v>
      </c>
      <c r="BA18" s="80" t="e">
        <v>#N/A</v>
      </c>
      <c r="BB18" s="80" t="e">
        <v>#N/A</v>
      </c>
      <c r="BC18" s="80" t="e">
        <v>#N/A</v>
      </c>
      <c r="BE18" s="82" t="str">
        <f t="shared" si="0"/>
        <v>A2</v>
      </c>
      <c r="BF18" s="295" t="str">
        <f t="shared" si="0"/>
        <v>Mexico</v>
      </c>
      <c r="BG18" s="75" t="e">
        <f>VALUE(RIGHT(INDEX(AQ17:AQ20,MATCH(BE18,AR17:AR20,0)),1))</f>
        <v>#N/A</v>
      </c>
      <c r="BH18" s="75" t="str">
        <f>IF(ISERROR(BG18),"L",BG18)</f>
        <v>L</v>
      </c>
    </row>
    <row r="19" spans="2:61">
      <c r="B19" s="70" t="str">
        <f>Toernooigegevens!M6</f>
        <v>A3</v>
      </c>
      <c r="C19" s="70" t="str">
        <f>Toernooigegevens!N6</f>
        <v>Uruguay</v>
      </c>
      <c r="D19" s="70">
        <f>(E19*3)+(F19*1)</f>
        <v>7</v>
      </c>
      <c r="E19" s="70">
        <f>SUMPRODUCT((Invulblad!$F$11:$F$16=C19)*(Invulblad!$M$11:$M$16="1"))+SUMPRODUCT((Invulblad!$J$11:$J$16=C19)*(Invulblad!$M$11:$M$16=2))</f>
        <v>2</v>
      </c>
      <c r="F19" s="70">
        <f>SUMPRODUCT((Invulblad!$F$11:$F$16=C19)*(Invulblad!$M$11:$M$16=3))+SUMPRODUCT((Invulblad!$J$11:$J$16=C19)*(Invulblad!$M$11:$M$16=3))</f>
        <v>1</v>
      </c>
      <c r="G19" s="70">
        <f>SUMPRODUCT((Invulblad!$F$11:$F$16=C19)*(Invulblad!$M$11:$M$16=2))+SUMPRODUCT((Invulblad!$J$11:$J$16=C19)*(Invulblad!$M$11:$M$16="1"))</f>
        <v>0</v>
      </c>
      <c r="H19" s="70">
        <f>SUMIF(Invulblad!$J$11:$J$16,C19,Invulblad!$I$11:$I$16)+SUMIF(Invulblad!$F$11:$F$16,C19,Invulblad!$G$11:$G$16)</f>
        <v>4</v>
      </c>
      <c r="I19" s="70">
        <f>SUMIF(Invulblad!$J$11:$J$16,C19,Invulblad!$G$11:$G$16)+SUMIF(Invulblad!$F$11:$F$16,C19,Invulblad!$I$11:$I$16)</f>
        <v>0</v>
      </c>
      <c r="J19" s="70">
        <f>H19-I19</f>
        <v>4</v>
      </c>
      <c r="M19" s="72">
        <f>AA19</f>
        <v>1</v>
      </c>
      <c r="N19" s="129"/>
      <c r="O19" s="293"/>
      <c r="Q19" s="70">
        <v>2</v>
      </c>
      <c r="R19" s="70" t="str">
        <f>IF(SUM(E19:G19)&gt;0,"Ja","Nee")</f>
        <v>Ja</v>
      </c>
      <c r="S19" s="70">
        <f>IF(COUNTIF(R17:R20,"Ja")=4,-Q19,"")</f>
        <v>-2</v>
      </c>
      <c r="T19" s="70">
        <f>IF(S19&lt;&gt;"",(SUMPRODUCT(--(C19&lt;C17:C20))+1),"")</f>
        <v>2</v>
      </c>
      <c r="U19" s="70" t="str">
        <f>IF(SUM(E19:G19)=3,"Ja","Nee")</f>
        <v>Ja</v>
      </c>
      <c r="V19" s="70">
        <f>D19*$AA$3</f>
        <v>700000</v>
      </c>
      <c r="W19" s="70">
        <f>J19*$AA$4</f>
        <v>4000</v>
      </c>
      <c r="X19" s="70">
        <f>H19*$AA$5</f>
        <v>40</v>
      </c>
      <c r="Y19" s="70">
        <f>SUM(Q19:X19)</f>
        <v>704042</v>
      </c>
      <c r="AA19" s="72">
        <f>RANK(Y19,Y17:Y20)</f>
        <v>1</v>
      </c>
      <c r="AD19" s="287">
        <f>Invulblad!A14</f>
        <v>18</v>
      </c>
      <c r="AE19" s="288">
        <f>Invulblad!C14</f>
        <v>40346.854166666664</v>
      </c>
      <c r="AF19" s="289">
        <f>Invulblad!D14</f>
        <v>40346.854166666664</v>
      </c>
      <c r="AG19" s="290" t="s">
        <v>29</v>
      </c>
      <c r="AH19" s="290" t="str">
        <f>AH18</f>
        <v>A</v>
      </c>
      <c r="AI19" s="291" t="str">
        <f>Toernooigegevens!F7</f>
        <v>A4</v>
      </c>
      <c r="AJ19" s="290" t="s">
        <v>29</v>
      </c>
      <c r="AK19" s="291" t="str">
        <f>Toernooigegevens!J7</f>
        <v>A2</v>
      </c>
      <c r="AL19" s="290"/>
      <c r="AM19" s="292">
        <f>Invulblad!G14</f>
        <v>0</v>
      </c>
      <c r="AN19" s="290" t="s">
        <v>29</v>
      </c>
      <c r="AO19" s="292">
        <f>Invulblad!I14</f>
        <v>2</v>
      </c>
      <c r="AP19" s="290"/>
      <c r="AQ19" s="70" t="e">
        <v>#N/A</v>
      </c>
      <c r="AR19" s="70" t="e">
        <v>#N/A</v>
      </c>
      <c r="AS19" s="70" t="e">
        <v>#N/A</v>
      </c>
      <c r="AT19" s="70" t="e">
        <v>#N/A</v>
      </c>
      <c r="AU19" s="70" t="e">
        <v>#N/A</v>
      </c>
      <c r="AV19" s="70" t="e">
        <v>#N/A</v>
      </c>
      <c r="AW19" s="70" t="e">
        <v>#N/A</v>
      </c>
      <c r="AX19" s="70" t="e">
        <v>#N/A</v>
      </c>
      <c r="AY19" s="70" t="e">
        <v>#N/A</v>
      </c>
      <c r="AZ19" s="70" t="e">
        <v>#N/A</v>
      </c>
      <c r="BA19" s="70" t="e">
        <v>#N/A</v>
      </c>
      <c r="BB19" s="70" t="e">
        <v>#N/A</v>
      </c>
      <c r="BC19" s="70" t="e">
        <v>#N/A</v>
      </c>
      <c r="BE19" s="72" t="str">
        <f t="shared" si="0"/>
        <v>A3</v>
      </c>
      <c r="BF19" s="294" t="str">
        <f t="shared" si="0"/>
        <v>Uruguay</v>
      </c>
      <c r="BG19" s="65" t="e">
        <f>VALUE(RIGHT(INDEX(AQ17:AQ20,MATCH(BE19,AR17:AR20,0)),1))</f>
        <v>#N/A</v>
      </c>
      <c r="BH19" s="65" t="str">
        <f>IF(ISERROR(BG19),"L",BG19)</f>
        <v>L</v>
      </c>
    </row>
    <row r="20" spans="2:61">
      <c r="B20" s="80" t="str">
        <f>Toernooigegevens!M7</f>
        <v>A4</v>
      </c>
      <c r="C20" s="80" t="str">
        <f>Toernooigegevens!N7</f>
        <v>Frankrijk</v>
      </c>
      <c r="D20" s="80">
        <f>(E20*3)+(F20*1)</f>
        <v>1</v>
      </c>
      <c r="E20" s="80">
        <f>SUMPRODUCT((Invulblad!$F$11:$F$16=C20)*(Invulblad!$M$11:$M$16="1"))+SUMPRODUCT((Invulblad!$J$11:$J$16=C20)*(Invulblad!$M$11:$M$16=2))</f>
        <v>0</v>
      </c>
      <c r="F20" s="80">
        <f>SUMPRODUCT((Invulblad!$F$11:$F$16=C20)*(Invulblad!$M$11:$M$16=3))+SUMPRODUCT((Invulblad!$J$11:$J$16=C20)*(Invulblad!$M$11:$M$16=3))</f>
        <v>1</v>
      </c>
      <c r="G20" s="80">
        <f>SUMPRODUCT((Invulblad!$F$11:$F$16=C20)*(Invulblad!$M$11:$M$16=2))+SUMPRODUCT((Invulblad!$J$11:$J$16=C20)*(Invulblad!$M$11:$M$16="1"))</f>
        <v>2</v>
      </c>
      <c r="H20" s="80">
        <f>SUMIF(Invulblad!$J$11:$J$16,C20,Invulblad!$I$11:$I$16)+SUMIF(Invulblad!$F$11:$F$16,C20,Invulblad!$G$11:$G$16)</f>
        <v>1</v>
      </c>
      <c r="I20" s="80">
        <f>SUMIF(Invulblad!$J$11:$J$16,C20,Invulblad!$G$11:$G$16)+SUMIF(Invulblad!$F$11:$F$16,C20,Invulblad!$I$11:$I$16)</f>
        <v>4</v>
      </c>
      <c r="J20" s="80">
        <f>H20-I20</f>
        <v>-3</v>
      </c>
      <c r="M20" s="72">
        <f>AA20</f>
        <v>4</v>
      </c>
      <c r="N20" s="136"/>
      <c r="O20" s="293"/>
      <c r="Q20" s="80">
        <v>1</v>
      </c>
      <c r="R20" s="80" t="str">
        <f>IF(SUM(E20:G20)&gt;0,"Ja","Nee")</f>
        <v>Ja</v>
      </c>
      <c r="S20" s="80">
        <f>IF(COUNTIF(R17:R20,"Ja")=4,-Q20,"")</f>
        <v>-1</v>
      </c>
      <c r="T20" s="80">
        <f>IF(S20&lt;&gt;"",(SUMPRODUCT(--(C20&lt;C17:C20))+1),"")</f>
        <v>4</v>
      </c>
      <c r="U20" s="80" t="str">
        <f>IF(SUM(E20:G20)=3,"Ja","Nee")</f>
        <v>Ja</v>
      </c>
      <c r="V20" s="80">
        <f>D20*$AA$3</f>
        <v>100000</v>
      </c>
      <c r="W20" s="80">
        <f>J20*$AA$4</f>
        <v>-3000</v>
      </c>
      <c r="X20" s="80">
        <f>H20*$AA$5</f>
        <v>10</v>
      </c>
      <c r="Y20" s="80">
        <f>SUM(Q20:X20)</f>
        <v>97014</v>
      </c>
      <c r="AA20" s="82">
        <f>RANK(Y20,Y17:Y20)</f>
        <v>4</v>
      </c>
      <c r="AD20" s="287">
        <f>Invulblad!A15</f>
        <v>33</v>
      </c>
      <c r="AE20" s="288">
        <f>Invulblad!C15</f>
        <v>40351.666666666664</v>
      </c>
      <c r="AF20" s="289">
        <f>Invulblad!D15</f>
        <v>40351.666666666664</v>
      </c>
      <c r="AG20" s="290" t="s">
        <v>29</v>
      </c>
      <c r="AH20" s="290" t="str">
        <f>AH19</f>
        <v>A</v>
      </c>
      <c r="AI20" s="291" t="str">
        <f>Toernooigegevens!F8</f>
        <v>A2</v>
      </c>
      <c r="AJ20" s="290" t="s">
        <v>29</v>
      </c>
      <c r="AK20" s="291" t="str">
        <f>Toernooigegevens!J8</f>
        <v>A3</v>
      </c>
      <c r="AL20" s="290"/>
      <c r="AM20" s="292">
        <f>Invulblad!G15</f>
        <v>0</v>
      </c>
      <c r="AN20" s="290" t="s">
        <v>29</v>
      </c>
      <c r="AO20" s="292">
        <f>Invulblad!I15</f>
        <v>1</v>
      </c>
      <c r="AP20" s="290"/>
      <c r="AQ20" s="80" t="e">
        <v>#N/A</v>
      </c>
      <c r="AR20" s="80" t="e">
        <v>#N/A</v>
      </c>
      <c r="AS20" s="80" t="e">
        <v>#N/A</v>
      </c>
      <c r="AT20" s="80" t="e">
        <v>#N/A</v>
      </c>
      <c r="AU20" s="80" t="e">
        <v>#N/A</v>
      </c>
      <c r="AV20" s="80" t="e">
        <v>#N/A</v>
      </c>
      <c r="AW20" s="80" t="e">
        <v>#N/A</v>
      </c>
      <c r="AX20" s="80" t="e">
        <v>#N/A</v>
      </c>
      <c r="AY20" s="80" t="e">
        <v>#N/A</v>
      </c>
      <c r="AZ20" s="80" t="e">
        <v>#N/A</v>
      </c>
      <c r="BA20" s="80" t="e">
        <v>#N/A</v>
      </c>
      <c r="BB20" s="80" t="e">
        <v>#N/A</v>
      </c>
      <c r="BC20" s="80" t="e">
        <v>#N/A</v>
      </c>
      <c r="BE20" s="82" t="str">
        <f t="shared" si="0"/>
        <v>A4</v>
      </c>
      <c r="BF20" s="295" t="str">
        <f t="shared" si="0"/>
        <v>Frankrijk</v>
      </c>
      <c r="BG20" s="75" t="e">
        <f>VALUE(RIGHT(INDEX(AQ17:AQ20,MATCH(BE20,AR17:AR20,0)),1))</f>
        <v>#N/A</v>
      </c>
      <c r="BH20" s="75" t="str">
        <f>IF(ISERROR(BG20),"L",BG20)</f>
        <v>L</v>
      </c>
    </row>
    <row r="21" spans="2:61">
      <c r="AD21" s="287">
        <f>Invulblad!A16</f>
        <v>34</v>
      </c>
      <c r="AE21" s="288">
        <f>Invulblad!C16</f>
        <v>40351.666666666664</v>
      </c>
      <c r="AF21" s="289">
        <f>Invulblad!D16</f>
        <v>40351.666666666664</v>
      </c>
      <c r="AG21" s="290" t="s">
        <v>29</v>
      </c>
      <c r="AH21" s="290" t="str">
        <f>AH20</f>
        <v>A</v>
      </c>
      <c r="AI21" s="291" t="str">
        <f>Toernooigegevens!F9</f>
        <v>A4</v>
      </c>
      <c r="AJ21" s="290" t="s">
        <v>29</v>
      </c>
      <c r="AK21" s="291" t="str">
        <f>Toernooigegevens!J9</f>
        <v>A1</v>
      </c>
      <c r="AL21" s="290"/>
      <c r="AM21" s="292">
        <f>Invulblad!G16</f>
        <v>1</v>
      </c>
      <c r="AN21" s="290" t="s">
        <v>29</v>
      </c>
      <c r="AO21" s="292">
        <f>Invulblad!I16</f>
        <v>2</v>
      </c>
      <c r="AP21" s="290"/>
      <c r="AQ21" s="290"/>
      <c r="AR21" s="290"/>
      <c r="AS21" s="290"/>
      <c r="AT21" s="290"/>
      <c r="AU21" s="290"/>
      <c r="AV21" s="290"/>
      <c r="AW21" s="290"/>
      <c r="AX21" s="290"/>
      <c r="AY21" s="290"/>
      <c r="AZ21" s="290"/>
      <c r="BA21" s="290"/>
      <c r="BB21" s="290"/>
      <c r="BC21" s="290"/>
      <c r="BH21" s="88"/>
      <c r="BI21" s="88"/>
    </row>
    <row r="22" spans="2:61" hidden="1">
      <c r="BH22" s="88"/>
    </row>
    <row r="23" spans="2:61" ht="12.75" hidden="1">
      <c r="AD23" s="296"/>
      <c r="AE23" s="296"/>
      <c r="AH23" s="296"/>
      <c r="AI23" s="296" t="s">
        <v>434</v>
      </c>
      <c r="AJ23" s="297"/>
      <c r="AQ23" s="297"/>
      <c r="AR23" s="297"/>
      <c r="AS23" s="297"/>
      <c r="AT23" s="297"/>
      <c r="AU23" s="297"/>
      <c r="AV23" s="297"/>
      <c r="AW23" s="297"/>
      <c r="AX23" s="297"/>
      <c r="AY23" s="297"/>
      <c r="AZ23" s="297"/>
      <c r="BA23" s="297"/>
      <c r="BB23" s="297"/>
      <c r="BC23" s="297"/>
    </row>
    <row r="24" spans="2:61" ht="12.75" hidden="1">
      <c r="AD24" s="296"/>
      <c r="AE24" s="296"/>
      <c r="AH24" s="297" t="str">
        <f>AH16</f>
        <v>A</v>
      </c>
      <c r="AI24" s="296" t="str">
        <f>Toernooigegevens!M4</f>
        <v>A1</v>
      </c>
      <c r="AQ24" s="297"/>
      <c r="AR24" s="297"/>
      <c r="AS24" s="297"/>
      <c r="AT24" s="297"/>
      <c r="AU24" s="297"/>
      <c r="AV24" s="297"/>
      <c r="AW24" s="297"/>
      <c r="AX24" s="297"/>
      <c r="AY24" s="297"/>
      <c r="AZ24" s="297"/>
      <c r="BA24" s="297"/>
      <c r="BB24" s="297"/>
      <c r="BC24" s="297"/>
    </row>
    <row r="25" spans="2:61" ht="12.75" hidden="1">
      <c r="AD25" s="296"/>
      <c r="AE25" s="296"/>
      <c r="AH25" s="297" t="str">
        <f>AH17</f>
        <v>A</v>
      </c>
      <c r="AI25" s="296" t="str">
        <f>Toernooigegevens!M5</f>
        <v>A2</v>
      </c>
      <c r="AQ25" s="297"/>
      <c r="AR25" s="297"/>
      <c r="AS25" s="297"/>
      <c r="AT25" s="297"/>
      <c r="AU25" s="297"/>
      <c r="AV25" s="297"/>
      <c r="AW25" s="297"/>
      <c r="AX25" s="297"/>
      <c r="AY25" s="297"/>
      <c r="AZ25" s="297"/>
      <c r="BA25" s="297"/>
      <c r="BB25" s="297"/>
      <c r="BC25" s="297"/>
    </row>
    <row r="26" spans="2:61" ht="12.75" hidden="1">
      <c r="AD26" s="296"/>
      <c r="AE26" s="296"/>
      <c r="AH26" s="297" t="str">
        <f>AH18</f>
        <v>A</v>
      </c>
      <c r="AI26" s="296" t="str">
        <f>Toernooigegevens!M6</f>
        <v>A3</v>
      </c>
      <c r="AQ26" s="364"/>
      <c r="AR26" s="364"/>
      <c r="AS26" s="364"/>
      <c r="AT26" s="364"/>
      <c r="AU26" s="364"/>
      <c r="AV26" s="364"/>
      <c r="AW26" s="364"/>
      <c r="AX26" s="364"/>
      <c r="AY26" s="364"/>
      <c r="AZ26" s="364"/>
      <c r="BA26" s="364"/>
      <c r="BB26" s="364"/>
      <c r="BC26" s="364"/>
    </row>
    <row r="27" spans="2:61" ht="12.75" hidden="1">
      <c r="AD27" s="296"/>
      <c r="AE27" s="296"/>
      <c r="AH27" s="297" t="str">
        <f>AH19</f>
        <v>A</v>
      </c>
      <c r="AI27" s="296" t="str">
        <f>Toernooigegevens!M7</f>
        <v>A4</v>
      </c>
      <c r="AQ27" s="364"/>
      <c r="AR27" s="364"/>
      <c r="AS27" s="364"/>
      <c r="AT27" s="364"/>
      <c r="AU27" s="364"/>
      <c r="AV27" s="364"/>
      <c r="AW27" s="364"/>
      <c r="AX27" s="364"/>
      <c r="AY27" s="364"/>
      <c r="AZ27" s="364"/>
      <c r="BA27" s="364"/>
      <c r="BB27" s="364"/>
      <c r="BC27" s="364"/>
    </row>
    <row r="29" spans="2:61"/>
    <row r="30" spans="2:61">
      <c r="Q30" s="284" t="s">
        <v>435</v>
      </c>
      <c r="R30" s="91"/>
      <c r="S30" s="91"/>
      <c r="V30" s="60" t="s">
        <v>417</v>
      </c>
      <c r="W30" s="60" t="s">
        <v>418</v>
      </c>
      <c r="X30" s="60" t="s">
        <v>419</v>
      </c>
    </row>
    <row r="31" spans="2:61">
      <c r="B31" s="285"/>
      <c r="C31" s="285" t="s">
        <v>30</v>
      </c>
      <c r="D31" s="285" t="s">
        <v>421</v>
      </c>
      <c r="E31" s="285" t="s">
        <v>23</v>
      </c>
      <c r="F31" s="285" t="s">
        <v>24</v>
      </c>
      <c r="G31" s="285" t="s">
        <v>25</v>
      </c>
      <c r="H31" s="285" t="s">
        <v>26</v>
      </c>
      <c r="I31" s="285" t="s">
        <v>27</v>
      </c>
      <c r="J31" s="285" t="s">
        <v>28</v>
      </c>
      <c r="M31" s="285" t="s">
        <v>422</v>
      </c>
      <c r="N31" s="285" t="s">
        <v>423</v>
      </c>
      <c r="Q31" s="285" t="str">
        <f>C31</f>
        <v>Groep B</v>
      </c>
      <c r="R31" s="286"/>
      <c r="S31" s="286"/>
      <c r="T31" s="286"/>
      <c r="U31" s="286"/>
      <c r="V31" s="285" t="s">
        <v>424</v>
      </c>
      <c r="W31" s="285" t="s">
        <v>28</v>
      </c>
      <c r="X31" s="285" t="s">
        <v>26</v>
      </c>
      <c r="Y31" s="285" t="s">
        <v>425</v>
      </c>
      <c r="AA31" s="285" t="s">
        <v>422</v>
      </c>
      <c r="AD31" s="287">
        <f>Invulblad!A19</f>
        <v>3</v>
      </c>
      <c r="AE31" s="288">
        <f>Invulblad!C19</f>
        <v>40341.666666666664</v>
      </c>
      <c r="AF31" s="289">
        <f>Invulblad!D19</f>
        <v>40341.666666666664</v>
      </c>
      <c r="AG31" s="290" t="s">
        <v>29</v>
      </c>
      <c r="AH31" s="290" t="str">
        <f>RIGHT($Q$31,1)</f>
        <v>B</v>
      </c>
      <c r="AI31" s="291" t="str">
        <f>Toernooigegevens!F12</f>
        <v>B1</v>
      </c>
      <c r="AJ31" s="290" t="s">
        <v>29</v>
      </c>
      <c r="AK31" s="291" t="str">
        <f>Toernooigegevens!J12</f>
        <v>B2</v>
      </c>
      <c r="AL31" s="290" t="s">
        <v>426</v>
      </c>
      <c r="AM31" s="287">
        <f>Invulblad!G19</f>
        <v>1</v>
      </c>
      <c r="AN31" s="290" t="s">
        <v>29</v>
      </c>
      <c r="AO31" s="287">
        <f>Invulblad!I19</f>
        <v>0</v>
      </c>
      <c r="AQ31" s="285" t="s">
        <v>427</v>
      </c>
      <c r="AR31" s="286" t="s">
        <v>428</v>
      </c>
      <c r="AS31" s="285" t="s">
        <v>21</v>
      </c>
      <c r="AT31" s="286" t="s">
        <v>23</v>
      </c>
      <c r="AU31" s="286" t="s">
        <v>24</v>
      </c>
      <c r="AV31" s="286" t="s">
        <v>25</v>
      </c>
      <c r="AW31" s="286" t="s">
        <v>429</v>
      </c>
      <c r="AX31" s="286" t="s">
        <v>430</v>
      </c>
      <c r="AY31" s="285" t="s">
        <v>431</v>
      </c>
      <c r="AZ31" s="285" t="s">
        <v>429</v>
      </c>
      <c r="BA31" s="285" t="s">
        <v>432</v>
      </c>
      <c r="BB31" s="285" t="s">
        <v>431</v>
      </c>
      <c r="BC31" s="285" t="s">
        <v>433</v>
      </c>
      <c r="BE31" s="285" t="s">
        <v>428</v>
      </c>
      <c r="BF31" s="285"/>
      <c r="BG31" s="285"/>
      <c r="BH31" s="285" t="s">
        <v>422</v>
      </c>
    </row>
    <row r="32" spans="2:61">
      <c r="B32" s="70" t="str">
        <f>Toernooigegevens!M12</f>
        <v>B1</v>
      </c>
      <c r="C32" s="70" t="str">
        <f>Toernooigegevens!N12</f>
        <v>Argentinië</v>
      </c>
      <c r="D32" s="70">
        <f>(E32*3)+(F32*1)</f>
        <v>9</v>
      </c>
      <c r="E32" s="70">
        <f>SUMPRODUCT((Invulblad!$F$19:$F$24=C32)*(Invulblad!$M$19:$M$24="1"))+SUMPRODUCT((Invulblad!$J$19:$J$24=C32)*(Invulblad!$M$19:$M$24=2))</f>
        <v>3</v>
      </c>
      <c r="F32" s="70">
        <f>SUMPRODUCT((Invulblad!$F$19:$F$24=C32)*(Invulblad!$M$19:$M$24=3))+SUMPRODUCT((Invulblad!$J$19:$J$24=C32)*(Invulblad!$M$19:$M$24=3))</f>
        <v>0</v>
      </c>
      <c r="G32" s="70">
        <f>SUMPRODUCT((Invulblad!$F$19:$F$24=C32)*(Invulblad!$M$19:$M$24=2))+SUMPRODUCT((Invulblad!$J$19:$J$24=C32)*(Invulblad!$M$19:$M$24="1"))</f>
        <v>0</v>
      </c>
      <c r="H32" s="70">
        <f>SUMIF(Invulblad!$J$19:$J$24,C32,Invulblad!$I$19:$I$24)+SUMIF(Invulblad!$F$19:$F$24,C32,Invulblad!$G$19:$G$24)</f>
        <v>7</v>
      </c>
      <c r="I32" s="70">
        <f>SUMIF(Invulblad!$J$19:$J$24,C32,Invulblad!$G$19:$G$24)+SUMIF(Invulblad!$F$19:$F$24,C32,Invulblad!$I$19:$I$24)</f>
        <v>1</v>
      </c>
      <c r="J32" s="70">
        <f>H32-I32</f>
        <v>6</v>
      </c>
      <c r="M32" s="72">
        <f>AA32</f>
        <v>1</v>
      </c>
      <c r="N32" s="129"/>
      <c r="O32" s="293"/>
      <c r="Q32" s="70">
        <v>4</v>
      </c>
      <c r="R32" s="70" t="str">
        <f>IF(SUM(E32:G32)&gt;0,"Ja","Nee")</f>
        <v>Ja</v>
      </c>
      <c r="S32" s="70">
        <f>IF(COUNTIF(R32:R35,"Ja")=4,-Q32,"")</f>
        <v>-4</v>
      </c>
      <c r="T32" s="70">
        <f>IF(S32&lt;&gt;"",(SUMPRODUCT(--(C32&lt;C32:C35))+1),"")</f>
        <v>4</v>
      </c>
      <c r="U32" s="70" t="str">
        <f>IF(SUM(E32:G32)=3,"Ja","Nee")</f>
        <v>Ja</v>
      </c>
      <c r="V32" s="70">
        <f>D32*$AA$3</f>
        <v>900000</v>
      </c>
      <c r="W32" s="70">
        <f>J32*$AA$4</f>
        <v>6000</v>
      </c>
      <c r="X32" s="70">
        <f>H32*$AA$5</f>
        <v>70</v>
      </c>
      <c r="Y32" s="70">
        <f>SUM(Q32:X32)</f>
        <v>906074</v>
      </c>
      <c r="AA32" s="72">
        <f>RANK(Y32,Y32:Y35)</f>
        <v>1</v>
      </c>
      <c r="AD32" s="287">
        <f>Invulblad!A20</f>
        <v>4</v>
      </c>
      <c r="AE32" s="288">
        <f>Invulblad!C20</f>
        <v>40341.5625</v>
      </c>
      <c r="AF32" s="289">
        <f>Invulblad!D20</f>
        <v>40341.5625</v>
      </c>
      <c r="AG32" s="290" t="s">
        <v>29</v>
      </c>
      <c r="AH32" s="290" t="str">
        <f>AH31</f>
        <v>B</v>
      </c>
      <c r="AI32" s="291" t="str">
        <f>Toernooigegevens!F13</f>
        <v>B3</v>
      </c>
      <c r="AJ32" s="290" t="s">
        <v>29</v>
      </c>
      <c r="AK32" s="291" t="str">
        <f>Toernooigegevens!J13</f>
        <v>B4</v>
      </c>
      <c r="AL32" s="290"/>
      <c r="AM32" s="287">
        <f>Invulblad!G20</f>
        <v>2</v>
      </c>
      <c r="AN32" s="290" t="s">
        <v>29</v>
      </c>
      <c r="AO32" s="287">
        <f>Invulblad!I20</f>
        <v>0</v>
      </c>
      <c r="AQ32" s="70" t="e">
        <f t="array" ref="AQ32:BC35">#N/A</f>
        <v>#N/A</v>
      </c>
      <c r="AR32" s="70" t="e">
        <v>#N/A</v>
      </c>
      <c r="AS32" s="70" t="e">
        <v>#N/A</v>
      </c>
      <c r="AT32" s="70" t="e">
        <v>#N/A</v>
      </c>
      <c r="AU32" s="70" t="e">
        <v>#N/A</v>
      </c>
      <c r="AV32" s="70" t="e">
        <v>#N/A</v>
      </c>
      <c r="AW32" s="70" t="e">
        <v>#N/A</v>
      </c>
      <c r="AX32" s="70" t="e">
        <v>#N/A</v>
      </c>
      <c r="AY32" s="70" t="e">
        <v>#N/A</v>
      </c>
      <c r="AZ32" s="70" t="e">
        <v>#N/A</v>
      </c>
      <c r="BA32" s="70" t="e">
        <v>#N/A</v>
      </c>
      <c r="BB32" s="70" t="e">
        <v>#N/A</v>
      </c>
      <c r="BC32" s="70" t="e">
        <v>#N/A</v>
      </c>
      <c r="BE32" s="72" t="str">
        <f t="shared" ref="BE32:BF35" si="1">B32</f>
        <v>B1</v>
      </c>
      <c r="BF32" s="294" t="str">
        <f t="shared" si="1"/>
        <v>Argentinië</v>
      </c>
      <c r="BG32" s="65" t="e">
        <f>VALUE(RIGHT(INDEX(AQ32:AQ35,MATCH(BE32,AR32:AR35)),1))</f>
        <v>#N/A</v>
      </c>
      <c r="BH32" s="65" t="str">
        <f>IF(ISERROR(BG32),"L",BG32)</f>
        <v>L</v>
      </c>
    </row>
    <row r="33" spans="2:60">
      <c r="B33" s="80" t="str">
        <f>Toernooigegevens!M13</f>
        <v>B2</v>
      </c>
      <c r="C33" s="80" t="str">
        <f>Toernooigegevens!N13</f>
        <v>Nigeria</v>
      </c>
      <c r="D33" s="80">
        <f>(E33*3)+(F33*1)</f>
        <v>1</v>
      </c>
      <c r="E33" s="80">
        <f>SUMPRODUCT((Invulblad!$F$19:$F$24=C33)*(Invulblad!$M$19:$M$24="1"))+SUMPRODUCT((Invulblad!$J$19:$J$24=C33)*(Invulblad!$M$19:$M$24=2))</f>
        <v>0</v>
      </c>
      <c r="F33" s="80">
        <f>SUMPRODUCT((Invulblad!$F$19:$F$24=C33)*(Invulblad!$M$19:$M$24=3))+SUMPRODUCT((Invulblad!$J$19:$J$24=C33)*(Invulblad!$M$19:$M$24=3))</f>
        <v>1</v>
      </c>
      <c r="G33" s="80">
        <f>SUMPRODUCT((Invulblad!$F$19:$F$24=C33)*(Invulblad!$M$19:$M$24=2))+SUMPRODUCT((Invulblad!$J$19:$J$24=C33)*(Invulblad!$M$19:$M$24="1"))</f>
        <v>2</v>
      </c>
      <c r="H33" s="80">
        <f>SUMIF(Invulblad!$J$19:$J$24,C33,Invulblad!$I$19:$I$24)+SUMIF(Invulblad!$F$19:$F$24,C33,Invulblad!$G$19:$G$24)</f>
        <v>3</v>
      </c>
      <c r="I33" s="80">
        <f>SUMIF(Invulblad!$J$19:$J$24,C33,Invulblad!$G$19:$G$24)+SUMIF(Invulblad!$F$19:$F$24,C33,Invulblad!$I$19:$I$24)</f>
        <v>5</v>
      </c>
      <c r="J33" s="80">
        <f>H33-I33</f>
        <v>-2</v>
      </c>
      <c r="M33" s="72">
        <f>AA33</f>
        <v>4</v>
      </c>
      <c r="N33" s="136"/>
      <c r="O33" s="293"/>
      <c r="Q33" s="80">
        <v>3</v>
      </c>
      <c r="R33" s="80" t="str">
        <f>IF(SUM(E33:G33)&gt;0,"Ja","Nee")</f>
        <v>Ja</v>
      </c>
      <c r="S33" s="80">
        <f>IF(COUNTIF(R32:R35,"Ja")=4,-Q33,"")</f>
        <v>-3</v>
      </c>
      <c r="T33" s="80">
        <f>IF(S33&lt;&gt;"",(SUMPRODUCT(--(C33&lt;C32:C35))+1),"")</f>
        <v>2</v>
      </c>
      <c r="U33" s="80" t="str">
        <f>IF(SUM(E33:G33)=3,"Ja","Nee")</f>
        <v>Ja</v>
      </c>
      <c r="V33" s="80">
        <f>D33*$AA$3</f>
        <v>100000</v>
      </c>
      <c r="W33" s="80">
        <f>J33*$AA$4</f>
        <v>-2000</v>
      </c>
      <c r="X33" s="80">
        <f>H33*$AA$5</f>
        <v>30</v>
      </c>
      <c r="Y33" s="80">
        <f>SUM(Q33:X33)</f>
        <v>98032</v>
      </c>
      <c r="AA33" s="82">
        <f>RANK(Y33,Y32:Y35)</f>
        <v>4</v>
      </c>
      <c r="AD33" s="287">
        <f>Invulblad!A21</f>
        <v>19</v>
      </c>
      <c r="AE33" s="288">
        <f>Invulblad!C21</f>
        <v>40346.666666666664</v>
      </c>
      <c r="AF33" s="289">
        <f>Invulblad!D21</f>
        <v>40346.666666666664</v>
      </c>
      <c r="AG33" s="290" t="s">
        <v>29</v>
      </c>
      <c r="AH33" s="290" t="str">
        <f>AH32</f>
        <v>B</v>
      </c>
      <c r="AI33" s="291" t="str">
        <f>Toernooigegevens!F14</f>
        <v>B4</v>
      </c>
      <c r="AJ33" s="290" t="s">
        <v>29</v>
      </c>
      <c r="AK33" s="291" t="str">
        <f>Toernooigegevens!J14</f>
        <v>B2</v>
      </c>
      <c r="AL33" s="290"/>
      <c r="AM33" s="287">
        <f>Invulblad!G21</f>
        <v>2</v>
      </c>
      <c r="AN33" s="290" t="s">
        <v>29</v>
      </c>
      <c r="AO33" s="287">
        <f>Invulblad!I21</f>
        <v>1</v>
      </c>
      <c r="AQ33" s="80" t="e">
        <v>#N/A</v>
      </c>
      <c r="AR33" s="80" t="e">
        <v>#N/A</v>
      </c>
      <c r="AS33" s="80" t="e">
        <v>#N/A</v>
      </c>
      <c r="AT33" s="80" t="e">
        <v>#N/A</v>
      </c>
      <c r="AU33" s="80" t="e">
        <v>#N/A</v>
      </c>
      <c r="AV33" s="80" t="e">
        <v>#N/A</v>
      </c>
      <c r="AW33" s="80" t="e">
        <v>#N/A</v>
      </c>
      <c r="AX33" s="80" t="e">
        <v>#N/A</v>
      </c>
      <c r="AY33" s="80" t="e">
        <v>#N/A</v>
      </c>
      <c r="AZ33" s="80" t="e">
        <v>#N/A</v>
      </c>
      <c r="BA33" s="80" t="e">
        <v>#N/A</v>
      </c>
      <c r="BB33" s="80" t="e">
        <v>#N/A</v>
      </c>
      <c r="BC33" s="80" t="e">
        <v>#N/A</v>
      </c>
      <c r="BE33" s="82" t="str">
        <f t="shared" si="1"/>
        <v>B2</v>
      </c>
      <c r="BF33" s="295" t="str">
        <f t="shared" si="1"/>
        <v>Nigeria</v>
      </c>
      <c r="BG33" s="75" t="e">
        <f>VALUE(RIGHT(INDEX(AQ32:AQ35,MATCH(BE33,AR32:AR35,0)),1))</f>
        <v>#N/A</v>
      </c>
      <c r="BH33" s="75" t="str">
        <f>IF(ISERROR(BG33),"L",BG33)</f>
        <v>L</v>
      </c>
    </row>
    <row r="34" spans="2:60">
      <c r="B34" s="70" t="str">
        <f>Toernooigegevens!M14</f>
        <v>B3</v>
      </c>
      <c r="C34" s="70" t="str">
        <f>Toernooigegevens!N14</f>
        <v>Zuid-Korea</v>
      </c>
      <c r="D34" s="70">
        <f>(E34*3)+(F34*1)</f>
        <v>4</v>
      </c>
      <c r="E34" s="70">
        <f>SUMPRODUCT((Invulblad!$F$19:$F$24=C34)*(Invulblad!$M$19:$M$24="1"))+SUMPRODUCT((Invulblad!$J$19:$J$24=C34)*(Invulblad!$M$19:$M$24=2))</f>
        <v>1</v>
      </c>
      <c r="F34" s="70">
        <f>SUMPRODUCT((Invulblad!$F$19:$F$24=C34)*(Invulblad!$M$19:$M$24=3))+SUMPRODUCT((Invulblad!$J$19:$J$24=C34)*(Invulblad!$M$19:$M$24=3))</f>
        <v>1</v>
      </c>
      <c r="G34" s="70">
        <f>SUMPRODUCT((Invulblad!$F$19:$F$24=C34)*(Invulblad!$M$19:$M$24=2))+SUMPRODUCT((Invulblad!$J$19:$J$24=C34)*(Invulblad!$M$19:$M$24="1"))</f>
        <v>1</v>
      </c>
      <c r="H34" s="70">
        <f>SUMIF(Invulblad!$J$19:$J$24,C34,Invulblad!$I$19:$I$24)+SUMIF(Invulblad!$F$19:$F$24,C34,Invulblad!$G$19:$G$24)</f>
        <v>5</v>
      </c>
      <c r="I34" s="70">
        <f>SUMIF(Invulblad!$J$19:$J$24,C34,Invulblad!$G$19:$G$24)+SUMIF(Invulblad!$F$19:$F$24,C34,Invulblad!$I$19:$I$24)</f>
        <v>6</v>
      </c>
      <c r="J34" s="70">
        <f>H34-I34</f>
        <v>-1</v>
      </c>
      <c r="M34" s="72">
        <f>AA34</f>
        <v>2</v>
      </c>
      <c r="N34" s="129"/>
      <c r="O34" s="293"/>
      <c r="Q34" s="70">
        <v>2</v>
      </c>
      <c r="R34" s="70" t="str">
        <f>IF(SUM(E34:G34)&gt;0,"Ja","Nee")</f>
        <v>Ja</v>
      </c>
      <c r="S34" s="70">
        <f>IF(COUNTIF(R32:R35,"Ja")=4,-Q34,"")</f>
        <v>-2</v>
      </c>
      <c r="T34" s="70">
        <f>IF(S34&lt;&gt;"",(SUMPRODUCT(--(C34&lt;C32:C35))+1),"")</f>
        <v>1</v>
      </c>
      <c r="U34" s="70" t="str">
        <f>IF(SUM(E34:G34)=3,"Ja","Nee")</f>
        <v>Ja</v>
      </c>
      <c r="V34" s="70">
        <f>D34*$AA$3</f>
        <v>400000</v>
      </c>
      <c r="W34" s="70">
        <f>J34*$AA$4</f>
        <v>-1000</v>
      </c>
      <c r="X34" s="70">
        <f>H34*$AA$5</f>
        <v>50</v>
      </c>
      <c r="Y34" s="70">
        <f>SUM(Q34:X34)</f>
        <v>399051</v>
      </c>
      <c r="AA34" s="72">
        <f>RANK(Y34,Y32:Y35)</f>
        <v>2</v>
      </c>
      <c r="AD34" s="287">
        <f>Invulblad!A22</f>
        <v>20</v>
      </c>
      <c r="AE34" s="288">
        <f>Invulblad!C22</f>
        <v>40346.5625</v>
      </c>
      <c r="AF34" s="289">
        <f>Invulblad!D22</f>
        <v>40346.5625</v>
      </c>
      <c r="AG34" s="290" t="s">
        <v>29</v>
      </c>
      <c r="AH34" s="290" t="str">
        <f>AH33</f>
        <v>B</v>
      </c>
      <c r="AI34" s="291" t="str">
        <f>Toernooigegevens!F15</f>
        <v>B1</v>
      </c>
      <c r="AJ34" s="290" t="s">
        <v>29</v>
      </c>
      <c r="AK34" s="291" t="str">
        <f>Toernooigegevens!J15</f>
        <v>B3</v>
      </c>
      <c r="AL34" s="290"/>
      <c r="AM34" s="287">
        <f>Invulblad!G22</f>
        <v>4</v>
      </c>
      <c r="AN34" s="290" t="s">
        <v>29</v>
      </c>
      <c r="AO34" s="287">
        <f>Invulblad!I22</f>
        <v>1</v>
      </c>
      <c r="AQ34" s="70" t="e">
        <v>#N/A</v>
      </c>
      <c r="AR34" s="70" t="e">
        <v>#N/A</v>
      </c>
      <c r="AS34" s="70" t="e">
        <v>#N/A</v>
      </c>
      <c r="AT34" s="70" t="e">
        <v>#N/A</v>
      </c>
      <c r="AU34" s="70" t="e">
        <v>#N/A</v>
      </c>
      <c r="AV34" s="70" t="e">
        <v>#N/A</v>
      </c>
      <c r="AW34" s="70" t="e">
        <v>#N/A</v>
      </c>
      <c r="AX34" s="70" t="e">
        <v>#N/A</v>
      </c>
      <c r="AY34" s="70" t="e">
        <v>#N/A</v>
      </c>
      <c r="AZ34" s="70" t="e">
        <v>#N/A</v>
      </c>
      <c r="BA34" s="70" t="e">
        <v>#N/A</v>
      </c>
      <c r="BB34" s="70" t="e">
        <v>#N/A</v>
      </c>
      <c r="BC34" s="70" t="e">
        <v>#N/A</v>
      </c>
      <c r="BE34" s="72" t="str">
        <f t="shared" si="1"/>
        <v>B3</v>
      </c>
      <c r="BF34" s="294" t="str">
        <f t="shared" si="1"/>
        <v>Zuid-Korea</v>
      </c>
      <c r="BG34" s="65" t="e">
        <f>VALUE(RIGHT(INDEX(AQ32:AQ35,MATCH(BE34,AR32:AR35,0)),1))</f>
        <v>#N/A</v>
      </c>
      <c r="BH34" s="65" t="str">
        <f>IF(ISERROR(BG34),"L",BG34)</f>
        <v>L</v>
      </c>
    </row>
    <row r="35" spans="2:60">
      <c r="B35" s="80" t="str">
        <f>Toernooigegevens!M15</f>
        <v>B4</v>
      </c>
      <c r="C35" s="80" t="str">
        <f>Toernooigegevens!N15</f>
        <v>Griekenland</v>
      </c>
      <c r="D35" s="80">
        <f>(E35*3)+(F35*1)</f>
        <v>3</v>
      </c>
      <c r="E35" s="80">
        <f>SUMPRODUCT((Invulblad!$F$19:$F$24=C35)*(Invulblad!$M$19:$M$24="1"))+SUMPRODUCT((Invulblad!$J$19:$J$24=C35)*(Invulblad!$M$19:$M$24=2))</f>
        <v>1</v>
      </c>
      <c r="F35" s="80">
        <f>SUMPRODUCT((Invulblad!$F$19:$F$24=C35)*(Invulblad!$M$19:$M$24=3))+SUMPRODUCT((Invulblad!$J$19:$J$24=C35)*(Invulblad!$M$19:$M$24=3))</f>
        <v>0</v>
      </c>
      <c r="G35" s="80">
        <f>SUMPRODUCT((Invulblad!$F$19:$F$24=C35)*(Invulblad!$M$19:$M$24=2))+SUMPRODUCT((Invulblad!$J$19:$J$24=C35)*(Invulblad!$M$19:$M$24="1"))</f>
        <v>2</v>
      </c>
      <c r="H35" s="80">
        <f>SUMIF(Invulblad!$J$19:$J$24,C35,Invulblad!$I$19:$I$24)+SUMIF(Invulblad!$F$19:$F$24,C35,Invulblad!$G$19:$G$24)</f>
        <v>2</v>
      </c>
      <c r="I35" s="80">
        <f>SUMIF(Invulblad!$J$19:$J$24,C35,Invulblad!$G$19:$G$24)+SUMIF(Invulblad!$F$19:$F$24,C35,Invulblad!$I$19:$I$24)</f>
        <v>5</v>
      </c>
      <c r="J35" s="80">
        <f>H35-I35</f>
        <v>-3</v>
      </c>
      <c r="M35" s="72">
        <f>AA35</f>
        <v>3</v>
      </c>
      <c r="N35" s="136"/>
      <c r="O35" s="293"/>
      <c r="Q35" s="80">
        <v>1</v>
      </c>
      <c r="R35" s="80" t="str">
        <f>IF(SUM(E35:G35)&gt;0,"Ja","Nee")</f>
        <v>Ja</v>
      </c>
      <c r="S35" s="80">
        <f>IF(COUNTIF(R32:R35,"Ja")=4,-Q35,"")</f>
        <v>-1</v>
      </c>
      <c r="T35" s="80">
        <f>IF(S35&lt;&gt;"",(SUMPRODUCT(--(C35&lt;C32:C35))+1),"")</f>
        <v>3</v>
      </c>
      <c r="U35" s="80" t="str">
        <f>IF(SUM(E35:G35)=3,"Ja","Nee")</f>
        <v>Ja</v>
      </c>
      <c r="V35" s="80">
        <f>D35*$AA$3</f>
        <v>300000</v>
      </c>
      <c r="W35" s="80">
        <f>J35*$AA$4</f>
        <v>-3000</v>
      </c>
      <c r="X35" s="80">
        <f>H35*$AA$5</f>
        <v>20</v>
      </c>
      <c r="Y35" s="80">
        <f>SUM(Q35:X35)</f>
        <v>297023</v>
      </c>
      <c r="AA35" s="82">
        <f>RANK(Y35,Y32:Y35)</f>
        <v>3</v>
      </c>
      <c r="AD35" s="287">
        <f>Invulblad!A23</f>
        <v>35</v>
      </c>
      <c r="AE35" s="288">
        <f>Invulblad!C23</f>
        <v>40351.854166666664</v>
      </c>
      <c r="AF35" s="289">
        <f>Invulblad!D23</f>
        <v>40351.854166666664</v>
      </c>
      <c r="AG35" s="290" t="s">
        <v>29</v>
      </c>
      <c r="AH35" s="290" t="str">
        <f>AH34</f>
        <v>B</v>
      </c>
      <c r="AI35" s="291" t="str">
        <f>Toernooigegevens!F16</f>
        <v>B2</v>
      </c>
      <c r="AJ35" s="290" t="s">
        <v>29</v>
      </c>
      <c r="AK35" s="291" t="str">
        <f>Toernooigegevens!J16</f>
        <v>B3</v>
      </c>
      <c r="AL35" s="290"/>
      <c r="AM35" s="287">
        <f>Invulblad!G23</f>
        <v>2</v>
      </c>
      <c r="AN35" s="290" t="s">
        <v>29</v>
      </c>
      <c r="AO35" s="287">
        <f>Invulblad!I23</f>
        <v>2</v>
      </c>
      <c r="AQ35" s="80" t="e">
        <v>#N/A</v>
      </c>
      <c r="AR35" s="80" t="e">
        <v>#N/A</v>
      </c>
      <c r="AS35" s="80" t="e">
        <v>#N/A</v>
      </c>
      <c r="AT35" s="80" t="e">
        <v>#N/A</v>
      </c>
      <c r="AU35" s="80" t="e">
        <v>#N/A</v>
      </c>
      <c r="AV35" s="80" t="e">
        <v>#N/A</v>
      </c>
      <c r="AW35" s="80" t="e">
        <v>#N/A</v>
      </c>
      <c r="AX35" s="80" t="e">
        <v>#N/A</v>
      </c>
      <c r="AY35" s="80" t="e">
        <v>#N/A</v>
      </c>
      <c r="AZ35" s="80" t="e">
        <v>#N/A</v>
      </c>
      <c r="BA35" s="80" t="e">
        <v>#N/A</v>
      </c>
      <c r="BB35" s="80" t="e">
        <v>#N/A</v>
      </c>
      <c r="BC35" s="80" t="e">
        <v>#N/A</v>
      </c>
      <c r="BE35" s="82" t="str">
        <f t="shared" si="1"/>
        <v>B4</v>
      </c>
      <c r="BF35" s="295" t="str">
        <f t="shared" si="1"/>
        <v>Griekenland</v>
      </c>
      <c r="BG35" s="75" t="e">
        <f>VALUE(RIGHT(INDEX(AQ32:AQ35,MATCH(BE35,AR32:AR35,0)),1))</f>
        <v>#N/A</v>
      </c>
      <c r="BH35" s="75" t="str">
        <f>IF(ISERROR(BG35),"L",BG35)</f>
        <v>L</v>
      </c>
    </row>
    <row r="36" spans="2:60">
      <c r="AD36" s="287">
        <f>Invulblad!A24</f>
        <v>36</v>
      </c>
      <c r="AE36" s="288">
        <f>Invulblad!C24</f>
        <v>40351.854166666664</v>
      </c>
      <c r="AF36" s="289">
        <f>Invulblad!D24</f>
        <v>40351.854166666664</v>
      </c>
      <c r="AG36" s="290" t="s">
        <v>29</v>
      </c>
      <c r="AH36" s="290" t="str">
        <f>AH35</f>
        <v>B</v>
      </c>
      <c r="AI36" s="291" t="str">
        <f>Toernooigegevens!F17</f>
        <v>B4</v>
      </c>
      <c r="AJ36" s="290" t="s">
        <v>29</v>
      </c>
      <c r="AK36" s="291" t="str">
        <f>Toernooigegevens!J17</f>
        <v>B1</v>
      </c>
      <c r="AL36" s="290"/>
      <c r="AM36" s="287">
        <f>Invulblad!G24</f>
        <v>0</v>
      </c>
      <c r="AN36" s="290" t="s">
        <v>29</v>
      </c>
      <c r="AO36" s="287">
        <f>Invulblad!I24</f>
        <v>2</v>
      </c>
    </row>
    <row r="37" spans="2:60" hidden="1">
      <c r="BH37" s="88"/>
    </row>
    <row r="38" spans="2:60" ht="12.75" hidden="1">
      <c r="AD38" s="296"/>
      <c r="AE38" s="296"/>
      <c r="AH38" s="296"/>
      <c r="AI38" s="296" t="s">
        <v>434</v>
      </c>
      <c r="AJ38" s="297"/>
      <c r="AQ38" s="297"/>
      <c r="AR38" s="297"/>
      <c r="AS38" s="297"/>
      <c r="AT38" s="297"/>
      <c r="AU38" s="297"/>
      <c r="AV38" s="297"/>
      <c r="AW38" s="297"/>
      <c r="AX38" s="297"/>
      <c r="AY38" s="297"/>
      <c r="AZ38" s="297"/>
      <c r="BA38" s="297"/>
      <c r="BB38" s="297"/>
      <c r="BC38" s="297"/>
    </row>
    <row r="39" spans="2:60" ht="12.75" hidden="1">
      <c r="AD39" s="296"/>
      <c r="AE39" s="296"/>
      <c r="AH39" s="297" t="str">
        <f>AH31</f>
        <v>B</v>
      </c>
      <c r="AI39" s="296" t="str">
        <f>Toernooigegevens!M12</f>
        <v>B1</v>
      </c>
      <c r="AQ39" s="297"/>
      <c r="AR39" s="297"/>
      <c r="AS39" s="297"/>
      <c r="AT39" s="297"/>
      <c r="AU39" s="297"/>
      <c r="AV39" s="297"/>
      <c r="AW39" s="297"/>
      <c r="AX39" s="297"/>
      <c r="AY39" s="297"/>
      <c r="AZ39" s="297"/>
      <c r="BA39" s="297"/>
      <c r="BB39" s="297"/>
      <c r="BC39" s="297"/>
    </row>
    <row r="40" spans="2:60" ht="12.75" hidden="1">
      <c r="AD40" s="296"/>
      <c r="AE40" s="296"/>
      <c r="AH40" s="297" t="str">
        <f>AH32</f>
        <v>B</v>
      </c>
      <c r="AI40" s="296" t="str">
        <f>Toernooigegevens!M13</f>
        <v>B2</v>
      </c>
      <c r="AQ40" s="297"/>
      <c r="AR40" s="297"/>
      <c r="AS40" s="297"/>
      <c r="AT40" s="297"/>
      <c r="AU40" s="297"/>
      <c r="AV40" s="297"/>
      <c r="AW40" s="297"/>
      <c r="AX40" s="297"/>
      <c r="AY40" s="297"/>
      <c r="AZ40" s="297"/>
      <c r="BA40" s="297"/>
      <c r="BB40" s="297"/>
      <c r="BC40" s="297"/>
    </row>
    <row r="41" spans="2:60" ht="12.75" hidden="1">
      <c r="AD41" s="296"/>
      <c r="AE41" s="296"/>
      <c r="AH41" s="297" t="str">
        <f>AH33</f>
        <v>B</v>
      </c>
      <c r="AI41" s="296" t="str">
        <f>Toernooigegevens!M14</f>
        <v>B3</v>
      </c>
      <c r="AQ41" s="364"/>
      <c r="AR41" s="364"/>
      <c r="AS41" s="364"/>
      <c r="AT41" s="364"/>
      <c r="AU41" s="364"/>
      <c r="AV41" s="364"/>
      <c r="AW41" s="364"/>
      <c r="AX41" s="364"/>
      <c r="AY41" s="364"/>
      <c r="AZ41" s="364"/>
      <c r="BA41" s="364"/>
      <c r="BB41" s="364"/>
      <c r="BC41" s="364"/>
    </row>
    <row r="42" spans="2:60" ht="12.75" hidden="1">
      <c r="AD42" s="296"/>
      <c r="AE42" s="296"/>
      <c r="AH42" s="297" t="str">
        <f>AH34</f>
        <v>B</v>
      </c>
      <c r="AI42" s="296" t="str">
        <f>Toernooigegevens!M15</f>
        <v>B4</v>
      </c>
      <c r="AQ42" s="364"/>
      <c r="AR42" s="364"/>
      <c r="AS42" s="364"/>
      <c r="AT42" s="364"/>
      <c r="AU42" s="364"/>
      <c r="AV42" s="364"/>
      <c r="AW42" s="364"/>
      <c r="AX42" s="364"/>
      <c r="AY42" s="364"/>
      <c r="AZ42" s="364"/>
      <c r="BA42" s="364"/>
      <c r="BB42" s="364"/>
      <c r="BC42" s="364"/>
    </row>
    <row r="44" spans="2:60"/>
    <row r="45" spans="2:60">
      <c r="Q45" s="284" t="s">
        <v>435</v>
      </c>
      <c r="R45" s="91"/>
      <c r="S45" s="91"/>
      <c r="V45" s="60" t="s">
        <v>417</v>
      </c>
      <c r="W45" s="60" t="s">
        <v>418</v>
      </c>
      <c r="X45" s="60" t="s">
        <v>419</v>
      </c>
    </row>
    <row r="46" spans="2:60">
      <c r="B46" s="285"/>
      <c r="C46" s="285" t="s">
        <v>31</v>
      </c>
      <c r="D46" s="285" t="s">
        <v>421</v>
      </c>
      <c r="E46" s="285" t="s">
        <v>23</v>
      </c>
      <c r="F46" s="285" t="s">
        <v>24</v>
      </c>
      <c r="G46" s="285" t="s">
        <v>25</v>
      </c>
      <c r="H46" s="285" t="s">
        <v>26</v>
      </c>
      <c r="I46" s="285" t="s">
        <v>27</v>
      </c>
      <c r="J46" s="285" t="s">
        <v>28</v>
      </c>
      <c r="M46" s="285" t="s">
        <v>422</v>
      </c>
      <c r="N46" s="285" t="s">
        <v>423</v>
      </c>
      <c r="Q46" s="285" t="str">
        <f>C46</f>
        <v>Groep C</v>
      </c>
      <c r="R46" s="286"/>
      <c r="S46" s="286"/>
      <c r="T46" s="286"/>
      <c r="U46" s="286"/>
      <c r="V46" s="285" t="s">
        <v>424</v>
      </c>
      <c r="W46" s="285" t="s">
        <v>28</v>
      </c>
      <c r="X46" s="285" t="s">
        <v>26</v>
      </c>
      <c r="Y46" s="285" t="s">
        <v>425</v>
      </c>
      <c r="AA46" s="285" t="s">
        <v>422</v>
      </c>
      <c r="AD46" s="287">
        <f>Invulblad!A27</f>
        <v>5</v>
      </c>
      <c r="AE46" s="288">
        <f>Invulblad!C27</f>
        <v>40341.854166666664</v>
      </c>
      <c r="AF46" s="289">
        <f>Invulblad!D27</f>
        <v>40341.854166666664</v>
      </c>
      <c r="AG46" s="290" t="s">
        <v>29</v>
      </c>
      <c r="AH46" s="290" t="str">
        <f>RIGHT($Q$46,1)</f>
        <v>C</v>
      </c>
      <c r="AI46" s="291" t="str">
        <f>Toernooigegevens!F20</f>
        <v>C1</v>
      </c>
      <c r="AJ46" s="290" t="s">
        <v>29</v>
      </c>
      <c r="AK46" s="291" t="str">
        <f>Toernooigegevens!J20</f>
        <v>C2</v>
      </c>
      <c r="AL46" s="290" t="s">
        <v>426</v>
      </c>
      <c r="AM46" s="287">
        <f>Invulblad!G27</f>
        <v>1</v>
      </c>
      <c r="AN46" s="290" t="s">
        <v>29</v>
      </c>
      <c r="AO46" s="287">
        <f>Invulblad!I27</f>
        <v>1</v>
      </c>
      <c r="AQ46" s="285" t="s">
        <v>427</v>
      </c>
      <c r="AR46" s="286" t="s">
        <v>428</v>
      </c>
      <c r="AS46" s="285" t="s">
        <v>21</v>
      </c>
      <c r="AT46" s="286" t="s">
        <v>23</v>
      </c>
      <c r="AU46" s="286" t="s">
        <v>24</v>
      </c>
      <c r="AV46" s="286" t="s">
        <v>25</v>
      </c>
      <c r="AW46" s="286" t="s">
        <v>429</v>
      </c>
      <c r="AX46" s="286" t="s">
        <v>430</v>
      </c>
      <c r="AY46" s="285" t="s">
        <v>431</v>
      </c>
      <c r="AZ46" s="285" t="s">
        <v>429</v>
      </c>
      <c r="BA46" s="285" t="s">
        <v>432</v>
      </c>
      <c r="BB46" s="285" t="s">
        <v>431</v>
      </c>
      <c r="BC46" s="285" t="s">
        <v>433</v>
      </c>
      <c r="BE46" s="285" t="s">
        <v>428</v>
      </c>
      <c r="BF46" s="285"/>
      <c r="BG46" s="285"/>
      <c r="BH46" s="285" t="s">
        <v>422</v>
      </c>
    </row>
    <row r="47" spans="2:60">
      <c r="B47" s="70" t="str">
        <f>Toernooigegevens!M20</f>
        <v>C1</v>
      </c>
      <c r="C47" s="70" t="str">
        <f>Toernooigegevens!N20</f>
        <v>Engeland</v>
      </c>
      <c r="D47" s="70">
        <f>(E47*3)+(F47*1)</f>
        <v>5</v>
      </c>
      <c r="E47" s="70">
        <f>SUMPRODUCT((Invulblad!$F$27:$F$32=C47)*(Invulblad!$M$27:$M$32="1"))+SUMPRODUCT((Invulblad!$J$27:$J$32=C47)*(Invulblad!$M$27:$M$32=2))</f>
        <v>1</v>
      </c>
      <c r="F47" s="70">
        <f>SUMPRODUCT((Invulblad!$F$27:$F$32=C47)*(Invulblad!$M$27:$M$32=3))+SUMPRODUCT((Invulblad!$J$27:$J$32=C47)*(Invulblad!$M$27:$M$32=3))</f>
        <v>2</v>
      </c>
      <c r="G47" s="70">
        <f>SUMPRODUCT((Invulblad!$F$27:$F$32=C47)*(Invulblad!$M$27:$M$32=2))+SUMPRODUCT((Invulblad!$J$27:$J$32=C47)*(Invulblad!$M$27:$M$32="1"))</f>
        <v>0</v>
      </c>
      <c r="H47" s="70">
        <f>SUMIF(Invulblad!$J$27:$J$32,C47,Invulblad!$I$27:$I$32)+SUMIF(Invulblad!$F$27:$F$32,C47,Invulblad!$G$27:$G$32)</f>
        <v>2</v>
      </c>
      <c r="I47" s="70">
        <f>SUMIF(Invulblad!$J$27:$J$32,C47,Invulblad!$G$27:$G$32)+SUMIF(Invulblad!$F$27:$F$32,C47,Invulblad!$I$27:$I$32)</f>
        <v>1</v>
      </c>
      <c r="J47" s="70">
        <f>H47-I47</f>
        <v>1</v>
      </c>
      <c r="M47" s="72">
        <f>AA47</f>
        <v>2</v>
      </c>
      <c r="N47" s="129"/>
      <c r="O47" s="293"/>
      <c r="Q47" s="70">
        <v>4</v>
      </c>
      <c r="R47" s="70" t="str">
        <f>IF(SUM(E47:G47)&gt;0,"Ja","Nee")</f>
        <v>Ja</v>
      </c>
      <c r="S47" s="70">
        <f>IF(COUNTIF(R47:R50,"Ja")=4,-Q47,"")</f>
        <v>-4</v>
      </c>
      <c r="T47" s="70">
        <f>IF(S47&lt;&gt;"",(SUMPRODUCT(--(C47&lt;C47:C50))+1),"")</f>
        <v>3</v>
      </c>
      <c r="U47" s="70" t="str">
        <f>IF(SUM(E47:G47)=3,"Ja","Nee")</f>
        <v>Ja</v>
      </c>
      <c r="V47" s="70">
        <f>D47*$AA$3</f>
        <v>500000</v>
      </c>
      <c r="W47" s="70">
        <f>J47*$AA$4</f>
        <v>1000</v>
      </c>
      <c r="X47" s="70">
        <f>H47*$AA$5</f>
        <v>20</v>
      </c>
      <c r="Y47" s="70">
        <f>SUM(Q47:X47)</f>
        <v>501023</v>
      </c>
      <c r="AA47" s="72">
        <f>RANK(Y47,Y47:Y50)</f>
        <v>2</v>
      </c>
      <c r="AD47" s="287">
        <f>Invulblad!A28</f>
        <v>6</v>
      </c>
      <c r="AE47" s="288">
        <f>Invulblad!C28</f>
        <v>40342.5625</v>
      </c>
      <c r="AF47" s="289">
        <f>Invulblad!D28</f>
        <v>40342.5625</v>
      </c>
      <c r="AG47" s="290" t="s">
        <v>29</v>
      </c>
      <c r="AH47" s="290" t="str">
        <f>AH46</f>
        <v>C</v>
      </c>
      <c r="AI47" s="291" t="str">
        <f>Toernooigegevens!F21</f>
        <v>C3</v>
      </c>
      <c r="AJ47" s="290" t="s">
        <v>29</v>
      </c>
      <c r="AK47" s="291" t="str">
        <f>Toernooigegevens!J21</f>
        <v>C4</v>
      </c>
      <c r="AL47" s="290"/>
      <c r="AM47" s="287">
        <f>Invulblad!G28</f>
        <v>0</v>
      </c>
      <c r="AN47" s="290" t="s">
        <v>29</v>
      </c>
      <c r="AO47" s="287">
        <f>Invulblad!I28</f>
        <v>1</v>
      </c>
      <c r="AQ47" s="70" t="e">
        <f t="array" ref="AQ47:BC50">#N/A</f>
        <v>#N/A</v>
      </c>
      <c r="AR47" s="70" t="e">
        <v>#N/A</v>
      </c>
      <c r="AS47" s="70" t="e">
        <v>#N/A</v>
      </c>
      <c r="AT47" s="70" t="e">
        <v>#N/A</v>
      </c>
      <c r="AU47" s="70" t="e">
        <v>#N/A</v>
      </c>
      <c r="AV47" s="70" t="e">
        <v>#N/A</v>
      </c>
      <c r="AW47" s="70" t="e">
        <v>#N/A</v>
      </c>
      <c r="AX47" s="70" t="e">
        <v>#N/A</v>
      </c>
      <c r="AY47" s="70" t="e">
        <v>#N/A</v>
      </c>
      <c r="AZ47" s="70" t="e">
        <v>#N/A</v>
      </c>
      <c r="BA47" s="70" t="e">
        <v>#N/A</v>
      </c>
      <c r="BB47" s="70" t="e">
        <v>#N/A</v>
      </c>
      <c r="BC47" s="70" t="e">
        <v>#N/A</v>
      </c>
      <c r="BE47" s="72" t="str">
        <f t="shared" ref="BE47:BF50" si="2">B47</f>
        <v>C1</v>
      </c>
      <c r="BF47" s="294" t="str">
        <f t="shared" si="2"/>
        <v>Engeland</v>
      </c>
      <c r="BG47" s="65" t="e">
        <f>VALUE(RIGHT(INDEX(AQ47:AQ50,MATCH(BE47,AR47:AR50,0)),1))</f>
        <v>#N/A</v>
      </c>
      <c r="BH47" s="65" t="str">
        <f>IF(ISERROR(BG47),"L",BG47)</f>
        <v>L</v>
      </c>
    </row>
    <row r="48" spans="2:60">
      <c r="B48" s="80" t="str">
        <f>Toernooigegevens!M21</f>
        <v>C2</v>
      </c>
      <c r="C48" s="80" t="s">
        <v>32</v>
      </c>
      <c r="D48" s="80">
        <f>(E48*3)+(F48*1)</f>
        <v>5</v>
      </c>
      <c r="E48" s="80">
        <f>SUMPRODUCT((Invulblad!$F$27:$F$32=C48)*(Invulblad!$M$27:$M$32="1"))+SUMPRODUCT((Invulblad!$J$27:$J$32=C48)*(Invulblad!$M$27:$M$32=2))</f>
        <v>1</v>
      </c>
      <c r="F48" s="80">
        <f>SUMPRODUCT((Invulblad!$F$27:$F$32=C48)*(Invulblad!$M$27:$M$32=3))+SUMPRODUCT((Invulblad!$J$27:$J$32=C48)*(Invulblad!$M$27:$M$32=3))</f>
        <v>2</v>
      </c>
      <c r="G48" s="80">
        <f>SUMPRODUCT((Invulblad!$F$27:$F$32=C48)*(Invulblad!$M$27:$M$32=2))+SUMPRODUCT((Invulblad!$J$27:$J$32=C48)*(Invulblad!$M$27:$M$32="1"))</f>
        <v>0</v>
      </c>
      <c r="H48" s="80">
        <f>SUMIF(Invulblad!$J$27:$J$32,C48,Invulblad!$I$27:$I$32)+SUMIF(Invulblad!$F$27:$F$32,C48,Invulblad!$G$27:$G$32)</f>
        <v>4</v>
      </c>
      <c r="I48" s="80">
        <f>SUMIF(Invulblad!$J$27:$J$32,C48,Invulblad!$G$27:$G$32)+SUMIF(Invulblad!$F$27:$F$32,C48,Invulblad!$I$27:$I$32)</f>
        <v>3</v>
      </c>
      <c r="J48" s="80">
        <f>H48-I48</f>
        <v>1</v>
      </c>
      <c r="M48" s="72">
        <f>AA48</f>
        <v>1</v>
      </c>
      <c r="N48" s="136"/>
      <c r="O48" s="293"/>
      <c r="Q48" s="80">
        <v>3</v>
      </c>
      <c r="R48" s="80" t="str">
        <f>IF(SUM(E48:G48)&gt;0,"Ja","Nee")</f>
        <v>Ja</v>
      </c>
      <c r="S48" s="80">
        <f>IF(COUNTIF(R47:R50,"Ja")=4,-Q48,"")</f>
        <v>-3</v>
      </c>
      <c r="T48" s="80">
        <f>IF(S48&lt;&gt;"",(SUMPRODUCT(--(C48&lt;C47:C50))+1),"")</f>
        <v>1</v>
      </c>
      <c r="U48" s="80" t="str">
        <f>IF(SUM(E48:G48)=3,"Ja","Nee")</f>
        <v>Ja</v>
      </c>
      <c r="V48" s="80">
        <f>D48*$AA$3</f>
        <v>500000</v>
      </c>
      <c r="W48" s="80">
        <f>J48*$AA$4</f>
        <v>1000</v>
      </c>
      <c r="X48" s="80">
        <f>H48*$AA$5</f>
        <v>40</v>
      </c>
      <c r="Y48" s="80">
        <f>SUM(Q48:X48)</f>
        <v>501041</v>
      </c>
      <c r="AA48" s="82">
        <f>RANK(Y48,Y47:Y50)</f>
        <v>1</v>
      </c>
      <c r="AD48" s="287">
        <f>Invulblad!A29</f>
        <v>22</v>
      </c>
      <c r="AE48" s="288">
        <f>Invulblad!C29</f>
        <v>40347.666666666664</v>
      </c>
      <c r="AF48" s="289">
        <f>Invulblad!D29</f>
        <v>40347.666666666664</v>
      </c>
      <c r="AG48" s="290" t="s">
        <v>29</v>
      </c>
      <c r="AH48" s="290" t="str">
        <f>AH47</f>
        <v>C</v>
      </c>
      <c r="AI48" s="291" t="str">
        <f>Toernooigegevens!F22</f>
        <v>C4</v>
      </c>
      <c r="AJ48" s="290" t="s">
        <v>29</v>
      </c>
      <c r="AK48" s="291" t="str">
        <f>Toernooigegevens!J22</f>
        <v>C2</v>
      </c>
      <c r="AL48" s="290"/>
      <c r="AM48" s="287">
        <f>Invulblad!G29</f>
        <v>2</v>
      </c>
      <c r="AN48" s="290" t="s">
        <v>29</v>
      </c>
      <c r="AO48" s="287">
        <f>Invulblad!I29</f>
        <v>2</v>
      </c>
      <c r="AQ48" s="80" t="e">
        <v>#N/A</v>
      </c>
      <c r="AR48" s="80" t="e">
        <v>#N/A</v>
      </c>
      <c r="AS48" s="80" t="e">
        <v>#N/A</v>
      </c>
      <c r="AT48" s="80" t="e">
        <v>#N/A</v>
      </c>
      <c r="AU48" s="80" t="e">
        <v>#N/A</v>
      </c>
      <c r="AV48" s="80" t="e">
        <v>#N/A</v>
      </c>
      <c r="AW48" s="80" t="e">
        <v>#N/A</v>
      </c>
      <c r="AX48" s="80" t="e">
        <v>#N/A</v>
      </c>
      <c r="AY48" s="80" t="e">
        <v>#N/A</v>
      </c>
      <c r="AZ48" s="80" t="e">
        <v>#N/A</v>
      </c>
      <c r="BA48" s="80" t="e">
        <v>#N/A</v>
      </c>
      <c r="BB48" s="80" t="e">
        <v>#N/A</v>
      </c>
      <c r="BC48" s="80" t="e">
        <v>#N/A</v>
      </c>
      <c r="BE48" s="82" t="str">
        <f t="shared" si="2"/>
        <v>C2</v>
      </c>
      <c r="BF48" s="295" t="str">
        <f t="shared" si="2"/>
        <v>USA</v>
      </c>
      <c r="BG48" s="75" t="e">
        <f>VALUE(RIGHT(INDEX(AQ47:AQ50,MATCH(BE48,AR47:AR50,0)),1))</f>
        <v>#N/A</v>
      </c>
      <c r="BH48" s="75" t="str">
        <f>IF(ISERROR(BG48),"L",BG48)</f>
        <v>L</v>
      </c>
    </row>
    <row r="49" spans="2:60">
      <c r="B49" s="70" t="str">
        <f>Toernooigegevens!M22</f>
        <v>C3</v>
      </c>
      <c r="C49" s="70" t="str">
        <f>Toernooigegevens!N22</f>
        <v>Algerije</v>
      </c>
      <c r="D49" s="70">
        <f>(E49*3)+(F49*1)</f>
        <v>1</v>
      </c>
      <c r="E49" s="70">
        <f>SUMPRODUCT((Invulblad!$F$27:$F$32=C49)*(Invulblad!$M$27:$M$32="1"))+SUMPRODUCT((Invulblad!$J$27:$J$32=C49)*(Invulblad!$M$27:$M$32=2))</f>
        <v>0</v>
      </c>
      <c r="F49" s="70">
        <f>SUMPRODUCT((Invulblad!$F$27:$F$32=C49)*(Invulblad!$M$27:$M$32=3))+SUMPRODUCT((Invulblad!$J$27:$J$32=C49)*(Invulblad!$M$27:$M$32=3))</f>
        <v>1</v>
      </c>
      <c r="G49" s="70">
        <f>SUMPRODUCT((Invulblad!$F$27:$F$32=C49)*(Invulblad!$M$27:$M$32=2))+SUMPRODUCT((Invulblad!$J$27:$J$32=C49)*(Invulblad!$M$27:$M$32="1"))</f>
        <v>2</v>
      </c>
      <c r="H49" s="70">
        <f>SUMIF(Invulblad!$J$27:$J$32,C49,Invulblad!$I$27:$I$32)+SUMIF(Invulblad!$F$27:$F$32,C49,Invulblad!$G$27:$G$32)</f>
        <v>0</v>
      </c>
      <c r="I49" s="70">
        <f>SUMIF(Invulblad!$J$27:$J$32,C49,Invulblad!$G$27:$G$32)+SUMIF(Invulblad!$F$27:$F$32,C49,Invulblad!$I$27:$I$32)</f>
        <v>2</v>
      </c>
      <c r="J49" s="70">
        <f>H49-I49</f>
        <v>-2</v>
      </c>
      <c r="M49" s="72">
        <f>AA49</f>
        <v>4</v>
      </c>
      <c r="N49" s="129"/>
      <c r="O49" s="293"/>
      <c r="Q49" s="70">
        <v>2</v>
      </c>
      <c r="R49" s="70" t="str">
        <f>IF(SUM(E49:G49)&gt;0,"Ja","Nee")</f>
        <v>Ja</v>
      </c>
      <c r="S49" s="70">
        <f>IF(COUNTIF(R47:R50,"Ja")=4,-Q49,"")</f>
        <v>-2</v>
      </c>
      <c r="T49" s="70">
        <f>IF(S49&lt;&gt;"",(SUMPRODUCT(--(C49&lt;C47:C50))+1),"")</f>
        <v>4</v>
      </c>
      <c r="U49" s="70" t="str">
        <f>IF(SUM(E49:G49)=3,"Ja","Nee")</f>
        <v>Ja</v>
      </c>
      <c r="V49" s="70">
        <f>D49*$AA$3</f>
        <v>100000</v>
      </c>
      <c r="W49" s="70">
        <f>J49*$AA$4</f>
        <v>-2000</v>
      </c>
      <c r="X49" s="70">
        <f>H49*$AA$5</f>
        <v>0</v>
      </c>
      <c r="Y49" s="70">
        <f>SUM(Q49:X49)</f>
        <v>98004</v>
      </c>
      <c r="AA49" s="72">
        <f>RANK(Y49,Y47:Y50)</f>
        <v>4</v>
      </c>
      <c r="AD49" s="287">
        <f>Invulblad!A30</f>
        <v>23</v>
      </c>
      <c r="AE49" s="288">
        <f>Invulblad!C30</f>
        <v>40347.854166666664</v>
      </c>
      <c r="AF49" s="289">
        <f>Invulblad!D30</f>
        <v>40347.854166666664</v>
      </c>
      <c r="AG49" s="290" t="s">
        <v>29</v>
      </c>
      <c r="AH49" s="290" t="str">
        <f>AH48</f>
        <v>C</v>
      </c>
      <c r="AI49" s="291" t="str">
        <f>Toernooigegevens!F23</f>
        <v>C1</v>
      </c>
      <c r="AJ49" s="290" t="s">
        <v>29</v>
      </c>
      <c r="AK49" s="291" t="str">
        <f>Toernooigegevens!J23</f>
        <v>C3</v>
      </c>
      <c r="AL49" s="290"/>
      <c r="AM49" s="287">
        <f>Invulblad!G30</f>
        <v>0</v>
      </c>
      <c r="AN49" s="290" t="s">
        <v>29</v>
      </c>
      <c r="AO49" s="287">
        <f>Invulblad!I30</f>
        <v>0</v>
      </c>
      <c r="AQ49" s="70" t="e">
        <v>#N/A</v>
      </c>
      <c r="AR49" s="70" t="e">
        <v>#N/A</v>
      </c>
      <c r="AS49" s="70" t="e">
        <v>#N/A</v>
      </c>
      <c r="AT49" s="70" t="e">
        <v>#N/A</v>
      </c>
      <c r="AU49" s="70" t="e">
        <v>#N/A</v>
      </c>
      <c r="AV49" s="70" t="e">
        <v>#N/A</v>
      </c>
      <c r="AW49" s="70" t="e">
        <v>#N/A</v>
      </c>
      <c r="AX49" s="70" t="e">
        <v>#N/A</v>
      </c>
      <c r="AY49" s="70" t="e">
        <v>#N/A</v>
      </c>
      <c r="AZ49" s="70" t="e">
        <v>#N/A</v>
      </c>
      <c r="BA49" s="70" t="e">
        <v>#N/A</v>
      </c>
      <c r="BB49" s="70" t="e">
        <v>#N/A</v>
      </c>
      <c r="BC49" s="70" t="e">
        <v>#N/A</v>
      </c>
      <c r="BE49" s="72" t="str">
        <f t="shared" si="2"/>
        <v>C3</v>
      </c>
      <c r="BF49" s="294" t="str">
        <f t="shared" si="2"/>
        <v>Algerije</v>
      </c>
      <c r="BG49" s="65" t="e">
        <f>VALUE(RIGHT(INDEX(AQ47:AQ50,MATCH(BE49,AR47:AR50,0)),1))</f>
        <v>#N/A</v>
      </c>
      <c r="BH49" s="65" t="str">
        <f>IF(ISERROR(BG49),"L",BG49)</f>
        <v>L</v>
      </c>
    </row>
    <row r="50" spans="2:60">
      <c r="B50" s="80" t="str">
        <f>Toernooigegevens!M23</f>
        <v>C4</v>
      </c>
      <c r="C50" s="80" t="str">
        <f>Toernooigegevens!N23</f>
        <v>Slovenië</v>
      </c>
      <c r="D50" s="80">
        <f>(E50*3)+(F50*1)</f>
        <v>4</v>
      </c>
      <c r="E50" s="80">
        <f>SUMPRODUCT((Invulblad!$F$27:$F$32=C50)*(Invulblad!$M$27:$M$32="1"))+SUMPRODUCT((Invulblad!$J$27:$J$32=C50)*(Invulblad!$M$27:$M$32=2))</f>
        <v>1</v>
      </c>
      <c r="F50" s="80">
        <f>SUMPRODUCT((Invulblad!$F$27:$F$32=C50)*(Invulblad!$M$27:$M$32=3))+SUMPRODUCT((Invulblad!$J$27:$J$32=C50)*(Invulblad!$M$27:$M$32=3))</f>
        <v>1</v>
      </c>
      <c r="G50" s="80">
        <f>SUMPRODUCT((Invulblad!$F$27:$F$32=C50)*(Invulblad!$M$27:$M$32=2))+SUMPRODUCT((Invulblad!$J$27:$J$32=C50)*(Invulblad!$M$27:$M$32="1"))</f>
        <v>1</v>
      </c>
      <c r="H50" s="80">
        <f>SUMIF(Invulblad!$J$27:$J$32,C50,Invulblad!$I$27:$I$32)+SUMIF(Invulblad!$F$27:$F$32,C50,Invulblad!$G$27:$G$32)</f>
        <v>3</v>
      </c>
      <c r="I50" s="80">
        <f>SUMIF(Invulblad!$J$27:$J$32,C50,Invulblad!$G$27:$G$32)+SUMIF(Invulblad!$F$27:$F$32,C50,Invulblad!$I$27:$I$32)</f>
        <v>3</v>
      </c>
      <c r="J50" s="80">
        <f>H50-I50</f>
        <v>0</v>
      </c>
      <c r="M50" s="72">
        <f>AA50</f>
        <v>3</v>
      </c>
      <c r="N50" s="136"/>
      <c r="O50" s="293"/>
      <c r="Q50" s="80">
        <v>1</v>
      </c>
      <c r="R50" s="80" t="str">
        <f>IF(SUM(E50:G50)&gt;0,"Ja","Nee")</f>
        <v>Ja</v>
      </c>
      <c r="S50" s="80">
        <f>IF(COUNTIF(R47:R50,"Ja")=4,-Q50,"")</f>
        <v>-1</v>
      </c>
      <c r="T50" s="80">
        <f>IF(S50&lt;&gt;"",(SUMPRODUCT(--(C50&lt;C47:C50))+1),"")</f>
        <v>2</v>
      </c>
      <c r="U50" s="80" t="str">
        <f>IF(SUM(E50:G50)=3,"Ja","Nee")</f>
        <v>Ja</v>
      </c>
      <c r="V50" s="80">
        <f>D50*$AA$3</f>
        <v>400000</v>
      </c>
      <c r="W50" s="80">
        <f>J50*$AA$4</f>
        <v>0</v>
      </c>
      <c r="X50" s="80">
        <f>H50*$AA$5</f>
        <v>30</v>
      </c>
      <c r="Y50" s="80">
        <f>SUM(Q50:X50)</f>
        <v>400032</v>
      </c>
      <c r="AA50" s="82">
        <f>RANK(Y50,Y47:Y50)</f>
        <v>3</v>
      </c>
      <c r="AD50" s="287">
        <f>Invulblad!A31</f>
        <v>37</v>
      </c>
      <c r="AE50" s="288">
        <f>Invulblad!C31</f>
        <v>40352.666666666664</v>
      </c>
      <c r="AF50" s="289">
        <f>Invulblad!D31</f>
        <v>40352.666666666664</v>
      </c>
      <c r="AG50" s="290" t="s">
        <v>29</v>
      </c>
      <c r="AH50" s="290" t="str">
        <f>AH49</f>
        <v>C</v>
      </c>
      <c r="AI50" s="291" t="str">
        <f>Toernooigegevens!F24</f>
        <v>C4</v>
      </c>
      <c r="AJ50" s="290" t="s">
        <v>29</v>
      </c>
      <c r="AK50" s="291" t="str">
        <f>Toernooigegevens!J24</f>
        <v>C1</v>
      </c>
      <c r="AL50" s="290"/>
      <c r="AM50" s="287">
        <f>Invulblad!G31</f>
        <v>0</v>
      </c>
      <c r="AN50" s="290" t="s">
        <v>29</v>
      </c>
      <c r="AO50" s="287">
        <f>Invulblad!I31</f>
        <v>1</v>
      </c>
      <c r="AQ50" s="80" t="e">
        <v>#N/A</v>
      </c>
      <c r="AR50" s="80" t="e">
        <v>#N/A</v>
      </c>
      <c r="AS50" s="80" t="e">
        <v>#N/A</v>
      </c>
      <c r="AT50" s="80" t="e">
        <v>#N/A</v>
      </c>
      <c r="AU50" s="80" t="e">
        <v>#N/A</v>
      </c>
      <c r="AV50" s="80" t="e">
        <v>#N/A</v>
      </c>
      <c r="AW50" s="80" t="e">
        <v>#N/A</v>
      </c>
      <c r="AX50" s="80" t="e">
        <v>#N/A</v>
      </c>
      <c r="AY50" s="80" t="e">
        <v>#N/A</v>
      </c>
      <c r="AZ50" s="80" t="e">
        <v>#N/A</v>
      </c>
      <c r="BA50" s="80" t="e">
        <v>#N/A</v>
      </c>
      <c r="BB50" s="80" t="e">
        <v>#N/A</v>
      </c>
      <c r="BC50" s="80" t="e">
        <v>#N/A</v>
      </c>
      <c r="BE50" s="82" t="str">
        <f t="shared" si="2"/>
        <v>C4</v>
      </c>
      <c r="BF50" s="295" t="str">
        <f t="shared" si="2"/>
        <v>Slovenië</v>
      </c>
      <c r="BG50" s="75" t="e">
        <f>VALUE(RIGHT(INDEX(AQ47:AQ50,MATCH(BE50,AR47:AR50,0)),1))</f>
        <v>#N/A</v>
      </c>
      <c r="BH50" s="75" t="str">
        <f>IF(ISERROR(BG50),"L",BG50)</f>
        <v>L</v>
      </c>
    </row>
    <row r="51" spans="2:60">
      <c r="AD51" s="287">
        <f>Invulblad!A32</f>
        <v>38</v>
      </c>
      <c r="AE51" s="288">
        <f>Invulblad!C32</f>
        <v>40352.666666666664</v>
      </c>
      <c r="AF51" s="289">
        <f>Invulblad!D32</f>
        <v>40352.666666666664</v>
      </c>
      <c r="AG51" s="290" t="s">
        <v>29</v>
      </c>
      <c r="AH51" s="290" t="str">
        <f>AH50</f>
        <v>C</v>
      </c>
      <c r="AI51" s="291" t="str">
        <f>Toernooigegevens!F25</f>
        <v>C2</v>
      </c>
      <c r="AJ51" s="290" t="s">
        <v>29</v>
      </c>
      <c r="AK51" s="291" t="str">
        <f>Toernooigegevens!J25</f>
        <v>C3</v>
      </c>
      <c r="AL51" s="290"/>
      <c r="AM51" s="287">
        <f>Invulblad!G32</f>
        <v>1</v>
      </c>
      <c r="AN51" s="290" t="s">
        <v>29</v>
      </c>
      <c r="AO51" s="287">
        <f>Invulblad!I32</f>
        <v>0</v>
      </c>
    </row>
    <row r="53" spans="2:60" ht="12.75" hidden="1">
      <c r="AD53" s="296"/>
      <c r="AE53" s="296"/>
      <c r="AH53" s="296"/>
      <c r="AI53" s="296" t="s">
        <v>434</v>
      </c>
      <c r="AJ53" s="297"/>
      <c r="AQ53" s="297"/>
      <c r="AR53" s="297"/>
      <c r="AS53" s="297"/>
      <c r="AT53" s="297"/>
      <c r="AU53" s="297"/>
      <c r="AV53" s="297"/>
      <c r="AW53" s="297"/>
      <c r="AX53" s="297"/>
      <c r="AY53" s="297"/>
      <c r="AZ53" s="297"/>
      <c r="BA53" s="297"/>
      <c r="BB53" s="297"/>
      <c r="BC53" s="297"/>
    </row>
    <row r="54" spans="2:60" ht="12.75" hidden="1">
      <c r="AD54" s="296"/>
      <c r="AE54" s="296"/>
      <c r="AH54" s="297" t="str">
        <f>AH46</f>
        <v>C</v>
      </c>
      <c r="AI54" s="296" t="str">
        <f>Toernooigegevens!M20</f>
        <v>C1</v>
      </c>
      <c r="AQ54" s="297"/>
      <c r="AR54" s="297"/>
      <c r="AS54" s="297"/>
      <c r="AT54" s="297"/>
      <c r="AU54" s="297"/>
      <c r="AV54" s="297"/>
      <c r="AW54" s="297"/>
      <c r="AX54" s="297"/>
      <c r="AY54" s="297"/>
      <c r="AZ54" s="297"/>
      <c r="BA54" s="297"/>
      <c r="BB54" s="297"/>
      <c r="BC54" s="297"/>
    </row>
    <row r="55" spans="2:60" ht="12.75" hidden="1">
      <c r="AD55" s="296"/>
      <c r="AE55" s="296"/>
      <c r="AH55" s="297" t="str">
        <f>AH47</f>
        <v>C</v>
      </c>
      <c r="AI55" s="296" t="str">
        <f>Toernooigegevens!M21</f>
        <v>C2</v>
      </c>
      <c r="AQ55" s="297"/>
      <c r="AR55" s="297"/>
      <c r="AS55" s="297"/>
      <c r="AT55" s="297"/>
      <c r="AU55" s="297"/>
      <c r="AV55" s="297"/>
      <c r="AW55" s="297"/>
      <c r="AX55" s="297"/>
      <c r="AY55" s="297"/>
      <c r="AZ55" s="297"/>
      <c r="BA55" s="297"/>
      <c r="BB55" s="297"/>
      <c r="BC55" s="297"/>
    </row>
    <row r="56" spans="2:60" ht="12.75" hidden="1">
      <c r="AD56" s="296"/>
      <c r="AE56" s="296"/>
      <c r="AH56" s="297" t="str">
        <f>AH48</f>
        <v>C</v>
      </c>
      <c r="AI56" s="296" t="str">
        <f>Toernooigegevens!M22</f>
        <v>C3</v>
      </c>
      <c r="AQ56" s="364"/>
      <c r="AR56" s="364"/>
      <c r="AS56" s="364"/>
      <c r="AT56" s="364"/>
      <c r="AU56" s="364"/>
      <c r="AV56" s="364"/>
      <c r="AW56" s="364"/>
      <c r="AX56" s="364"/>
      <c r="AY56" s="364"/>
      <c r="AZ56" s="364"/>
      <c r="BA56" s="364"/>
      <c r="BB56" s="364"/>
      <c r="BC56" s="364"/>
    </row>
    <row r="57" spans="2:60" ht="12.75" hidden="1">
      <c r="AD57" s="296"/>
      <c r="AE57" s="296"/>
      <c r="AH57" s="297" t="str">
        <f>AH49</f>
        <v>C</v>
      </c>
      <c r="AI57" s="296" t="str">
        <f>Toernooigegevens!M23</f>
        <v>C4</v>
      </c>
      <c r="AQ57" s="364"/>
      <c r="AR57" s="364"/>
      <c r="AS57" s="364"/>
      <c r="AT57" s="364"/>
      <c r="AU57" s="364"/>
      <c r="AV57" s="364"/>
      <c r="AW57" s="364"/>
      <c r="AX57" s="364"/>
      <c r="AY57" s="364"/>
      <c r="AZ57" s="364"/>
      <c r="BA57" s="364"/>
      <c r="BB57" s="364"/>
      <c r="BC57" s="364"/>
    </row>
    <row r="59" spans="2:60"/>
    <row r="60" spans="2:60">
      <c r="Q60" s="284" t="s">
        <v>435</v>
      </c>
      <c r="R60" s="91"/>
      <c r="S60" s="91"/>
      <c r="V60" s="60" t="s">
        <v>417</v>
      </c>
      <c r="W60" s="60" t="s">
        <v>418</v>
      </c>
      <c r="X60" s="60" t="s">
        <v>419</v>
      </c>
    </row>
    <row r="61" spans="2:60">
      <c r="B61" s="285"/>
      <c r="C61" s="285" t="s">
        <v>33</v>
      </c>
      <c r="D61" s="285" t="s">
        <v>421</v>
      </c>
      <c r="E61" s="285" t="s">
        <v>23</v>
      </c>
      <c r="F61" s="285" t="s">
        <v>24</v>
      </c>
      <c r="G61" s="285" t="s">
        <v>25</v>
      </c>
      <c r="H61" s="285" t="s">
        <v>26</v>
      </c>
      <c r="I61" s="285" t="s">
        <v>27</v>
      </c>
      <c r="J61" s="285" t="s">
        <v>28</v>
      </c>
      <c r="M61" s="285" t="s">
        <v>422</v>
      </c>
      <c r="N61" s="285" t="s">
        <v>423</v>
      </c>
      <c r="Q61" s="285" t="str">
        <f>C61</f>
        <v>Groep D</v>
      </c>
      <c r="R61" s="286"/>
      <c r="S61" s="286"/>
      <c r="T61" s="286"/>
      <c r="U61" s="286"/>
      <c r="V61" s="285" t="s">
        <v>424</v>
      </c>
      <c r="W61" s="285" t="s">
        <v>28</v>
      </c>
      <c r="X61" s="285" t="s">
        <v>26</v>
      </c>
      <c r="Y61" s="285" t="s">
        <v>425</v>
      </c>
      <c r="AA61" s="285" t="s">
        <v>422</v>
      </c>
      <c r="AD61" s="287">
        <f>Invulblad!A35</f>
        <v>7</v>
      </c>
      <c r="AE61" s="288">
        <f>Invulblad!C35</f>
        <v>40342.854166666664</v>
      </c>
      <c r="AF61" s="289">
        <f>Invulblad!D35</f>
        <v>40342.854166666664</v>
      </c>
      <c r="AG61" s="290" t="s">
        <v>29</v>
      </c>
      <c r="AH61" s="290" t="str">
        <f>RIGHT($Q$61,1)</f>
        <v>D</v>
      </c>
      <c r="AI61" s="291" t="str">
        <f>Toernooigegevens!F28</f>
        <v>D1</v>
      </c>
      <c r="AJ61" s="290" t="s">
        <v>29</v>
      </c>
      <c r="AK61" s="291" t="str">
        <f>Toernooigegevens!J28</f>
        <v>D2</v>
      </c>
      <c r="AL61" s="290" t="s">
        <v>426</v>
      </c>
      <c r="AM61" s="287">
        <f>Invulblad!G35</f>
        <v>4</v>
      </c>
      <c r="AN61" s="290" t="s">
        <v>29</v>
      </c>
      <c r="AO61" s="287">
        <f>Invulblad!I35</f>
        <v>0</v>
      </c>
      <c r="AQ61" s="285" t="s">
        <v>427</v>
      </c>
      <c r="AR61" s="286" t="s">
        <v>428</v>
      </c>
      <c r="AS61" s="285" t="s">
        <v>21</v>
      </c>
      <c r="AT61" s="286" t="s">
        <v>23</v>
      </c>
      <c r="AU61" s="286" t="s">
        <v>24</v>
      </c>
      <c r="AV61" s="286" t="s">
        <v>25</v>
      </c>
      <c r="AW61" s="286" t="s">
        <v>429</v>
      </c>
      <c r="AX61" s="286" t="s">
        <v>430</v>
      </c>
      <c r="AY61" s="285" t="s">
        <v>431</v>
      </c>
      <c r="AZ61" s="285" t="s">
        <v>429</v>
      </c>
      <c r="BA61" s="285" t="s">
        <v>432</v>
      </c>
      <c r="BB61" s="285" t="s">
        <v>431</v>
      </c>
      <c r="BC61" s="285" t="s">
        <v>433</v>
      </c>
      <c r="BE61" s="285" t="s">
        <v>428</v>
      </c>
      <c r="BF61" s="285"/>
      <c r="BG61" s="285"/>
      <c r="BH61" s="285" t="s">
        <v>422</v>
      </c>
    </row>
    <row r="62" spans="2:60">
      <c r="B62" s="70" t="str">
        <f>Toernooigegevens!M28</f>
        <v>D1</v>
      </c>
      <c r="C62" s="70" t="str">
        <f>Toernooigegevens!N28</f>
        <v>Duitsland</v>
      </c>
      <c r="D62" s="70">
        <f>(E62*3)+(F62*1)</f>
        <v>6</v>
      </c>
      <c r="E62" s="70">
        <f>SUMPRODUCT((Invulblad!$F$35:$F$40=C62)*(Invulblad!$M$35:$M$40="1"))+SUMPRODUCT((Invulblad!$J$35:$J$40=C62)*(Invulblad!$M$35:$M$40=2))</f>
        <v>2</v>
      </c>
      <c r="F62" s="70">
        <f>SUMPRODUCT((Invulblad!$F$35:$F$40=C62)*(Invulblad!$M$35:$M$40=3))+SUMPRODUCT((Invulblad!$J$35:$J$40=C62)*(Invulblad!$M$35:$M$40=3))</f>
        <v>0</v>
      </c>
      <c r="G62" s="70">
        <f>SUMPRODUCT((Invulblad!$F$35:$F$40=C62)*(Invulblad!$M$35:$M$40=2))+SUMPRODUCT((Invulblad!$J$35:$J$40=C62)*(Invulblad!$M$35:$M$40="1"))</f>
        <v>1</v>
      </c>
      <c r="H62" s="70">
        <f>SUMIF(Invulblad!$J$35:$J$40,C62,Invulblad!$I$35:$I$40)+SUMIF(Invulblad!$F$35:$F$40,C62,Invulblad!$G$35:$G$40)</f>
        <v>5</v>
      </c>
      <c r="I62" s="70">
        <f>SUMIF(Invulblad!$J$35:$J$40,C62,Invulblad!$G$35:$G$40)+SUMIF(Invulblad!$F$35:$F$40,C62,Invulblad!$I$35:$I$40)</f>
        <v>1</v>
      </c>
      <c r="J62" s="70">
        <f>H62-I62</f>
        <v>4</v>
      </c>
      <c r="M62" s="72">
        <f>AA62</f>
        <v>1</v>
      </c>
      <c r="N62" s="129"/>
      <c r="O62" s="293"/>
      <c r="Q62" s="70">
        <v>4</v>
      </c>
      <c r="R62" s="70" t="str">
        <f>IF(SUM(E62:G62)&gt;0,"Ja","Nee")</f>
        <v>Ja</v>
      </c>
      <c r="S62" s="70">
        <f>IF(COUNTIF(R62:R65,"Ja")=4,-Q62,"")</f>
        <v>-4</v>
      </c>
      <c r="T62" s="70">
        <f>IF(S62&lt;&gt;"",(SUMPRODUCT(--(C62&lt;C62:C65))+1),"")</f>
        <v>3</v>
      </c>
      <c r="U62" s="70" t="str">
        <f>IF(SUM(E62:G62)=3,"Ja","Nee")</f>
        <v>Ja</v>
      </c>
      <c r="V62" s="70">
        <f>D62*$AA$3</f>
        <v>600000</v>
      </c>
      <c r="W62" s="70">
        <f>J62*$AA$4</f>
        <v>4000</v>
      </c>
      <c r="X62" s="70">
        <f>H62*$AA$5</f>
        <v>50</v>
      </c>
      <c r="Y62" s="70">
        <f>SUM(Q62:X62)</f>
        <v>604053</v>
      </c>
      <c r="AA62" s="72">
        <f>RANK(Y62,Y62:Y65)</f>
        <v>1</v>
      </c>
      <c r="AD62" s="287">
        <f>Invulblad!A36</f>
        <v>8</v>
      </c>
      <c r="AE62" s="288">
        <f>Invulblad!C36</f>
        <v>40342.666666666664</v>
      </c>
      <c r="AF62" s="289">
        <f>Invulblad!D36</f>
        <v>40342.666666666664</v>
      </c>
      <c r="AG62" s="290" t="s">
        <v>29</v>
      </c>
      <c r="AH62" s="290" t="str">
        <f>AH61</f>
        <v>D</v>
      </c>
      <c r="AI62" s="291" t="str">
        <f>Toernooigegevens!F29</f>
        <v>D3</v>
      </c>
      <c r="AJ62" s="290" t="s">
        <v>29</v>
      </c>
      <c r="AK62" s="291" t="str">
        <f>Toernooigegevens!J29</f>
        <v>D4</v>
      </c>
      <c r="AL62" s="290"/>
      <c r="AM62" s="287">
        <f>Invulblad!G36</f>
        <v>0</v>
      </c>
      <c r="AN62" s="290" t="s">
        <v>29</v>
      </c>
      <c r="AO62" s="287">
        <f>Invulblad!I36</f>
        <v>1</v>
      </c>
      <c r="AQ62" s="70" t="e">
        <f t="array" ref="AQ62:BC65">#N/A</f>
        <v>#N/A</v>
      </c>
      <c r="AR62" s="70" t="e">
        <v>#N/A</v>
      </c>
      <c r="AS62" s="70" t="e">
        <v>#N/A</v>
      </c>
      <c r="AT62" s="70" t="e">
        <v>#N/A</v>
      </c>
      <c r="AU62" s="70" t="e">
        <v>#N/A</v>
      </c>
      <c r="AV62" s="70" t="e">
        <v>#N/A</v>
      </c>
      <c r="AW62" s="70" t="e">
        <v>#N/A</v>
      </c>
      <c r="AX62" s="70" t="e">
        <v>#N/A</v>
      </c>
      <c r="AY62" s="70" t="e">
        <v>#N/A</v>
      </c>
      <c r="AZ62" s="70" t="e">
        <v>#N/A</v>
      </c>
      <c r="BA62" s="70" t="e">
        <v>#N/A</v>
      </c>
      <c r="BB62" s="70" t="e">
        <v>#N/A</v>
      </c>
      <c r="BC62" s="70" t="e">
        <v>#N/A</v>
      </c>
      <c r="BE62" s="72" t="str">
        <f t="shared" ref="BE62:BF65" si="3">B62</f>
        <v>D1</v>
      </c>
      <c r="BF62" s="294" t="str">
        <f t="shared" si="3"/>
        <v>Duitsland</v>
      </c>
      <c r="BG62" s="65" t="e">
        <f>VALUE(RIGHT(INDEX(AQ62:AQ65,MATCH(BE62,AR62:AR65,0)),1))</f>
        <v>#N/A</v>
      </c>
      <c r="BH62" s="65" t="str">
        <f>IF(ISERROR(BG62),"L",BG62)</f>
        <v>L</v>
      </c>
    </row>
    <row r="63" spans="2:60">
      <c r="B63" s="80" t="str">
        <f>Toernooigegevens!M29</f>
        <v>D2</v>
      </c>
      <c r="C63" s="80" t="str">
        <f>Toernooigegevens!N29</f>
        <v>Australië</v>
      </c>
      <c r="D63" s="80">
        <f>(E63*3)+(F63*1)</f>
        <v>4</v>
      </c>
      <c r="E63" s="80">
        <f>SUMPRODUCT((Invulblad!$F$35:$F$40=C63)*(Invulblad!$M$35:$M$40="1"))+SUMPRODUCT((Invulblad!$J$35:$J$40=C63)*(Invulblad!$M$35:$M$40=2))</f>
        <v>1</v>
      </c>
      <c r="F63" s="80">
        <f>SUMPRODUCT((Invulblad!$F$35:$F$40=C63)*(Invulblad!$M$35:$M$40=3))+SUMPRODUCT((Invulblad!$J$35:$J$40=C63)*(Invulblad!$M$35:$M$40=3))</f>
        <v>1</v>
      </c>
      <c r="G63" s="80">
        <f>SUMPRODUCT((Invulblad!$F$35:$F$40=C63)*(Invulblad!$M$35:$M$40=2))+SUMPRODUCT((Invulblad!$J$35:$J$40=C63)*(Invulblad!$M$35:$M$40="1"))</f>
        <v>1</v>
      </c>
      <c r="H63" s="80">
        <f>SUMIF(Invulblad!$J$35:$J$40,C63,Invulblad!$I$35:$I$40)+SUMIF(Invulblad!$F$35:$F$40,C63,Invulblad!$G$35:$G$40)</f>
        <v>3</v>
      </c>
      <c r="I63" s="80">
        <f>SUMIF(Invulblad!$J$35:$J$40,C63,Invulblad!$G$35:$G$40)+SUMIF(Invulblad!$F$35:$F$40,C63,Invulblad!$I$35:$I$40)</f>
        <v>6</v>
      </c>
      <c r="J63" s="80">
        <f>H63-I63</f>
        <v>-3</v>
      </c>
      <c r="M63" s="72">
        <f>AA63</f>
        <v>3</v>
      </c>
      <c r="N63" s="136"/>
      <c r="O63" s="293"/>
      <c r="Q63" s="80">
        <v>3</v>
      </c>
      <c r="R63" s="80" t="str">
        <f>IF(SUM(E63:G63)&gt;0,"Ja","Nee")</f>
        <v>Ja</v>
      </c>
      <c r="S63" s="80">
        <f>IF(COUNTIF(R62:R65,"Ja")=4,-Q63,"")</f>
        <v>-3</v>
      </c>
      <c r="T63" s="80">
        <f>IF(S63&lt;&gt;"",(SUMPRODUCT(--(C63&lt;C62:C65))+1),"")</f>
        <v>4</v>
      </c>
      <c r="U63" s="80" t="str">
        <f>IF(SUM(E63:G63)=3,"Ja","Nee")</f>
        <v>Ja</v>
      </c>
      <c r="V63" s="80">
        <f>D63*$AA$3</f>
        <v>400000</v>
      </c>
      <c r="W63" s="80">
        <f>J63*$AA$4</f>
        <v>-3000</v>
      </c>
      <c r="X63" s="80">
        <f>H63*$AA$5</f>
        <v>30</v>
      </c>
      <c r="Y63" s="80">
        <f>SUM(Q63:X63)</f>
        <v>397034</v>
      </c>
      <c r="AA63" s="82">
        <f>RANK(Y63,Y62:Y65)</f>
        <v>3</v>
      </c>
      <c r="AD63" s="287">
        <f>Invulblad!A37</f>
        <v>21</v>
      </c>
      <c r="AE63" s="288">
        <f>Invulblad!C37</f>
        <v>40347.5625</v>
      </c>
      <c r="AF63" s="289">
        <f>Invulblad!D37</f>
        <v>40347.5625</v>
      </c>
      <c r="AG63" s="290" t="s">
        <v>29</v>
      </c>
      <c r="AH63" s="290" t="str">
        <f>AH62</f>
        <v>D</v>
      </c>
      <c r="AI63" s="291" t="str">
        <f>Toernooigegevens!F30</f>
        <v>D1</v>
      </c>
      <c r="AJ63" s="290" t="s">
        <v>29</v>
      </c>
      <c r="AK63" s="291" t="str">
        <f>Toernooigegevens!J30</f>
        <v>D3</v>
      </c>
      <c r="AL63" s="290"/>
      <c r="AM63" s="287">
        <f>Invulblad!G37</f>
        <v>0</v>
      </c>
      <c r="AN63" s="290" t="s">
        <v>29</v>
      </c>
      <c r="AO63" s="287">
        <f>Invulblad!I37</f>
        <v>1</v>
      </c>
      <c r="AQ63" s="80" t="e">
        <v>#N/A</v>
      </c>
      <c r="AR63" s="80" t="e">
        <v>#N/A</v>
      </c>
      <c r="AS63" s="80" t="e">
        <v>#N/A</v>
      </c>
      <c r="AT63" s="80" t="e">
        <v>#N/A</v>
      </c>
      <c r="AU63" s="80" t="e">
        <v>#N/A</v>
      </c>
      <c r="AV63" s="80" t="e">
        <v>#N/A</v>
      </c>
      <c r="AW63" s="80" t="e">
        <v>#N/A</v>
      </c>
      <c r="AX63" s="80" t="e">
        <v>#N/A</v>
      </c>
      <c r="AY63" s="80" t="e">
        <v>#N/A</v>
      </c>
      <c r="AZ63" s="80" t="e">
        <v>#N/A</v>
      </c>
      <c r="BA63" s="80" t="e">
        <v>#N/A</v>
      </c>
      <c r="BB63" s="80" t="e">
        <v>#N/A</v>
      </c>
      <c r="BC63" s="80" t="e">
        <v>#N/A</v>
      </c>
      <c r="BE63" s="82" t="str">
        <f t="shared" si="3"/>
        <v>D2</v>
      </c>
      <c r="BF63" s="295" t="str">
        <f t="shared" si="3"/>
        <v>Australië</v>
      </c>
      <c r="BG63" s="75" t="e">
        <f>VALUE(RIGHT(INDEX(AQ62:AQ65,MATCH(BE63,AR62:AR65,0)),1))</f>
        <v>#N/A</v>
      </c>
      <c r="BH63" s="75" t="str">
        <f>IF(ISERROR(BG63),"L",BG63)</f>
        <v>L</v>
      </c>
    </row>
    <row r="64" spans="2:60">
      <c r="B64" s="70" t="str">
        <f>Toernooigegevens!M30</f>
        <v>D3</v>
      </c>
      <c r="C64" s="70" t="str">
        <f>Toernooigegevens!N30</f>
        <v>Servië</v>
      </c>
      <c r="D64" s="70">
        <f>(E64*3)+(F64*1)</f>
        <v>3</v>
      </c>
      <c r="E64" s="70">
        <f>SUMPRODUCT((Invulblad!$F$35:$F$40=C64)*(Invulblad!$M$35:$M$40="1"))+SUMPRODUCT((Invulblad!$J$35:$J$40=C64)*(Invulblad!$M$35:$M$40=2))</f>
        <v>1</v>
      </c>
      <c r="F64" s="70">
        <f>SUMPRODUCT((Invulblad!$F$35:$F$40=C64)*(Invulblad!$M$35:$M$40=3))+SUMPRODUCT((Invulblad!$J$35:$J$40=C64)*(Invulblad!$M$35:$M$40=3))</f>
        <v>0</v>
      </c>
      <c r="G64" s="70">
        <f>SUMPRODUCT((Invulblad!$F$35:$F$40=C64)*(Invulblad!$M$35:$M$40=2))+SUMPRODUCT((Invulblad!$J$35:$J$40=C64)*(Invulblad!$M$35:$M$40="1"))</f>
        <v>2</v>
      </c>
      <c r="H64" s="70">
        <f>SUMIF(Invulblad!$J$35:$J$40,C64,Invulblad!$I$35:$I$40)+SUMIF(Invulblad!$F$35:$F$40,C64,Invulblad!$G$35:$G$40)</f>
        <v>2</v>
      </c>
      <c r="I64" s="70">
        <f>SUMIF(Invulblad!$J$35:$J$40,C64,Invulblad!$G$35:$G$40)+SUMIF(Invulblad!$F$35:$F$40,C64,Invulblad!$I$35:$I$40)</f>
        <v>3</v>
      </c>
      <c r="J64" s="70">
        <f>H64-I64</f>
        <v>-1</v>
      </c>
      <c r="M64" s="72">
        <f>AA64</f>
        <v>4</v>
      </c>
      <c r="N64" s="129"/>
      <c r="O64" s="293"/>
      <c r="Q64" s="70">
        <v>2</v>
      </c>
      <c r="R64" s="70" t="str">
        <f>IF(SUM(E64:G64)&gt;0,"Ja","Nee")</f>
        <v>Ja</v>
      </c>
      <c r="S64" s="70">
        <f>IF(COUNTIF(R62:R65,"Ja")=4,-Q64,"")</f>
        <v>-2</v>
      </c>
      <c r="T64" s="70">
        <f>IF(S64&lt;&gt;"",(SUMPRODUCT(--(C64&lt;C62:C65))+1),"")</f>
        <v>1</v>
      </c>
      <c r="U64" s="70" t="str">
        <f>IF(SUM(E64:G64)=3,"Ja","Nee")</f>
        <v>Ja</v>
      </c>
      <c r="V64" s="70">
        <f>D64*$AA$3</f>
        <v>300000</v>
      </c>
      <c r="W64" s="70">
        <f>J64*$AA$4</f>
        <v>-1000</v>
      </c>
      <c r="X64" s="70">
        <f>H64*$AA$5</f>
        <v>20</v>
      </c>
      <c r="Y64" s="70">
        <f>SUM(Q64:X64)</f>
        <v>299021</v>
      </c>
      <c r="AA64" s="72">
        <f>RANK(Y64,Y62:Y65)</f>
        <v>4</v>
      </c>
      <c r="AD64" s="287">
        <f>Invulblad!A38</f>
        <v>24</v>
      </c>
      <c r="AE64" s="288">
        <f>Invulblad!C38</f>
        <v>40348.666666666664</v>
      </c>
      <c r="AF64" s="289">
        <f>Invulblad!D38</f>
        <v>40348.666666666664</v>
      </c>
      <c r="AG64" s="290" t="s">
        <v>29</v>
      </c>
      <c r="AH64" s="290" t="str">
        <f>AH63</f>
        <v>D</v>
      </c>
      <c r="AI64" s="291" t="str">
        <f>Toernooigegevens!F31</f>
        <v>D4</v>
      </c>
      <c r="AJ64" s="290" t="s">
        <v>29</v>
      </c>
      <c r="AK64" s="291" t="str">
        <f>Toernooigegevens!J31</f>
        <v>D2</v>
      </c>
      <c r="AL64" s="290"/>
      <c r="AM64" s="287">
        <f>Invulblad!G38</f>
        <v>1</v>
      </c>
      <c r="AN64" s="290" t="s">
        <v>29</v>
      </c>
      <c r="AO64" s="287">
        <f>Invulblad!I38</f>
        <v>1</v>
      </c>
      <c r="AQ64" s="70" t="e">
        <v>#N/A</v>
      </c>
      <c r="AR64" s="70" t="e">
        <v>#N/A</v>
      </c>
      <c r="AS64" s="70" t="e">
        <v>#N/A</v>
      </c>
      <c r="AT64" s="70" t="e">
        <v>#N/A</v>
      </c>
      <c r="AU64" s="70" t="e">
        <v>#N/A</v>
      </c>
      <c r="AV64" s="70" t="e">
        <v>#N/A</v>
      </c>
      <c r="AW64" s="70" t="e">
        <v>#N/A</v>
      </c>
      <c r="AX64" s="70" t="e">
        <v>#N/A</v>
      </c>
      <c r="AY64" s="70" t="e">
        <v>#N/A</v>
      </c>
      <c r="AZ64" s="70" t="e">
        <v>#N/A</v>
      </c>
      <c r="BA64" s="70" t="e">
        <v>#N/A</v>
      </c>
      <c r="BB64" s="70" t="e">
        <v>#N/A</v>
      </c>
      <c r="BC64" s="70" t="e">
        <v>#N/A</v>
      </c>
      <c r="BE64" s="72" t="str">
        <f t="shared" si="3"/>
        <v>D3</v>
      </c>
      <c r="BF64" s="294" t="str">
        <f t="shared" si="3"/>
        <v>Servië</v>
      </c>
      <c r="BG64" s="65" t="e">
        <f>VALUE(RIGHT(INDEX(AQ62:AQ65,MATCH(BE64,AR62:AR65,0)),1))</f>
        <v>#N/A</v>
      </c>
      <c r="BH64" s="65" t="str">
        <f>IF(ISERROR(BG64),"L",BG64)</f>
        <v>L</v>
      </c>
    </row>
    <row r="65" spans="2:60">
      <c r="B65" s="80" t="str">
        <f>Toernooigegevens!M31</f>
        <v>D4</v>
      </c>
      <c r="C65" s="80" t="str">
        <f>Toernooigegevens!N31</f>
        <v>Ghana</v>
      </c>
      <c r="D65" s="80">
        <f>(E65*3)+(F65*1)</f>
        <v>4</v>
      </c>
      <c r="E65" s="80">
        <f>SUMPRODUCT((Invulblad!$F$35:$F$40=C65)*(Invulblad!$M$35:$M$40="1"))+SUMPRODUCT((Invulblad!$J$35:$J$40=C65)*(Invulblad!$M$35:$M$40=2))</f>
        <v>1</v>
      </c>
      <c r="F65" s="80">
        <f>SUMPRODUCT((Invulblad!$F$35:$F$40=C65)*(Invulblad!$M$35:$M$40=3))+SUMPRODUCT((Invulblad!$J$35:$J$40=C65)*(Invulblad!$M$35:$M$40=3))</f>
        <v>1</v>
      </c>
      <c r="G65" s="80">
        <f>SUMPRODUCT((Invulblad!$F$35:$F$40=C65)*(Invulblad!$M$35:$M$40=2))+SUMPRODUCT((Invulblad!$J$35:$J$40=C65)*(Invulblad!$M$35:$M$40="1"))</f>
        <v>1</v>
      </c>
      <c r="H65" s="80">
        <f>SUMIF(Invulblad!$J$35:$J$40,C65,Invulblad!$I$35:$I$40)+SUMIF(Invulblad!$F$35:$F$40,C65,Invulblad!$G$35:$G$40)</f>
        <v>2</v>
      </c>
      <c r="I65" s="80">
        <f>SUMIF(Invulblad!$J$35:$J$40,C65,Invulblad!$G$35:$G$40)+SUMIF(Invulblad!$F$35:$F$40,C65,Invulblad!$I$35:$I$40)</f>
        <v>2</v>
      </c>
      <c r="J65" s="80">
        <f>H65-I65</f>
        <v>0</v>
      </c>
      <c r="M65" s="72">
        <f>AA65</f>
        <v>2</v>
      </c>
      <c r="N65" s="136"/>
      <c r="O65" s="293"/>
      <c r="Q65" s="80">
        <v>1</v>
      </c>
      <c r="R65" s="80" t="str">
        <f>IF(SUM(E65:G65)&gt;0,"Ja","Nee")</f>
        <v>Ja</v>
      </c>
      <c r="S65" s="80">
        <f>IF(COUNTIF(R62:R65,"Ja")=4,-Q65,"")</f>
        <v>-1</v>
      </c>
      <c r="T65" s="80">
        <f>IF(S65&lt;&gt;"",(SUMPRODUCT(--(C65&lt;C62:C65))+1),"")</f>
        <v>2</v>
      </c>
      <c r="U65" s="80" t="str">
        <f>IF(SUM(E65:G65)=3,"Ja","Nee")</f>
        <v>Ja</v>
      </c>
      <c r="V65" s="80">
        <f>D65*$AA$3</f>
        <v>400000</v>
      </c>
      <c r="W65" s="80">
        <f>J65*$AA$4</f>
        <v>0</v>
      </c>
      <c r="X65" s="80">
        <f>H65*$AA$5</f>
        <v>20</v>
      </c>
      <c r="Y65" s="80">
        <f>SUM(Q65:X65)</f>
        <v>400022</v>
      </c>
      <c r="AA65" s="82">
        <f>RANK(Y65,Y62:Y65)</f>
        <v>2</v>
      </c>
      <c r="AD65" s="287">
        <f>Invulblad!A39</f>
        <v>39</v>
      </c>
      <c r="AE65" s="288">
        <f>Invulblad!C39</f>
        <v>40352.854166666664</v>
      </c>
      <c r="AF65" s="289">
        <f>Invulblad!D39</f>
        <v>40352.854166666664</v>
      </c>
      <c r="AG65" s="290" t="s">
        <v>29</v>
      </c>
      <c r="AH65" s="290" t="str">
        <f>AH64</f>
        <v>D</v>
      </c>
      <c r="AI65" s="291" t="str">
        <f>Toernooigegevens!F32</f>
        <v>D4</v>
      </c>
      <c r="AJ65" s="290" t="s">
        <v>29</v>
      </c>
      <c r="AK65" s="291" t="str">
        <f>Toernooigegevens!J32</f>
        <v>D1</v>
      </c>
      <c r="AL65" s="290"/>
      <c r="AM65" s="287">
        <f>Invulblad!G39</f>
        <v>0</v>
      </c>
      <c r="AN65" s="290" t="s">
        <v>29</v>
      </c>
      <c r="AO65" s="287">
        <f>Invulblad!I39</f>
        <v>1</v>
      </c>
      <c r="AQ65" s="80" t="e">
        <v>#N/A</v>
      </c>
      <c r="AR65" s="80" t="e">
        <v>#N/A</v>
      </c>
      <c r="AS65" s="80" t="e">
        <v>#N/A</v>
      </c>
      <c r="AT65" s="80" t="e">
        <v>#N/A</v>
      </c>
      <c r="AU65" s="80" t="e">
        <v>#N/A</v>
      </c>
      <c r="AV65" s="80" t="e">
        <v>#N/A</v>
      </c>
      <c r="AW65" s="80" t="e">
        <v>#N/A</v>
      </c>
      <c r="AX65" s="80" t="e">
        <v>#N/A</v>
      </c>
      <c r="AY65" s="80" t="e">
        <v>#N/A</v>
      </c>
      <c r="AZ65" s="80" t="e">
        <v>#N/A</v>
      </c>
      <c r="BA65" s="80" t="e">
        <v>#N/A</v>
      </c>
      <c r="BB65" s="80" t="e">
        <v>#N/A</v>
      </c>
      <c r="BC65" s="80" t="e">
        <v>#N/A</v>
      </c>
      <c r="BE65" s="82" t="str">
        <f t="shared" si="3"/>
        <v>D4</v>
      </c>
      <c r="BF65" s="295" t="str">
        <f t="shared" si="3"/>
        <v>Ghana</v>
      </c>
      <c r="BG65" s="75" t="e">
        <f>VALUE(RIGHT(INDEX(AQ62:AQ65,MATCH(BE65,AR62:AR65,0)),1))</f>
        <v>#N/A</v>
      </c>
      <c r="BH65" s="75" t="str">
        <f>IF(ISERROR(BG65),"L",BG65)</f>
        <v>L</v>
      </c>
    </row>
    <row r="66" spans="2:60">
      <c r="AD66" s="287">
        <f>Invulblad!A40</f>
        <v>40</v>
      </c>
      <c r="AE66" s="288">
        <f>Invulblad!C40</f>
        <v>40352.854166666664</v>
      </c>
      <c r="AF66" s="289">
        <f>Invulblad!D40</f>
        <v>40352.854166666664</v>
      </c>
      <c r="AG66" s="290" t="s">
        <v>29</v>
      </c>
      <c r="AH66" s="290" t="str">
        <f>AH65</f>
        <v>D</v>
      </c>
      <c r="AI66" s="291" t="str">
        <f>Toernooigegevens!F33</f>
        <v>D2</v>
      </c>
      <c r="AJ66" s="290" t="s">
        <v>29</v>
      </c>
      <c r="AK66" s="291" t="str">
        <f>Toernooigegevens!J33</f>
        <v>D3</v>
      </c>
      <c r="AL66" s="290"/>
      <c r="AM66" s="287">
        <f>Invulblad!G40</f>
        <v>2</v>
      </c>
      <c r="AN66" s="290" t="s">
        <v>29</v>
      </c>
      <c r="AO66" s="287">
        <f>Invulblad!I40</f>
        <v>1</v>
      </c>
    </row>
    <row r="68" spans="2:60" ht="12.75" hidden="1">
      <c r="AD68" s="296"/>
      <c r="AE68" s="296"/>
      <c r="AH68" s="296"/>
      <c r="AI68" s="296" t="s">
        <v>434</v>
      </c>
      <c r="AJ68" s="297"/>
      <c r="AQ68" s="297"/>
      <c r="AR68" s="297"/>
      <c r="AS68" s="297"/>
      <c r="AT68" s="297"/>
      <c r="AU68" s="297"/>
      <c r="AV68" s="297"/>
      <c r="AW68" s="297"/>
      <c r="AX68" s="297"/>
      <c r="AY68" s="297"/>
      <c r="AZ68" s="297"/>
      <c r="BA68" s="297"/>
      <c r="BB68" s="297"/>
      <c r="BC68" s="297"/>
    </row>
    <row r="69" spans="2:60" ht="12.75" hidden="1">
      <c r="AD69" s="296"/>
      <c r="AE69" s="296"/>
      <c r="AH69" s="297" t="str">
        <f>AH61</f>
        <v>D</v>
      </c>
      <c r="AI69" s="296" t="str">
        <f>Toernooigegevens!M28</f>
        <v>D1</v>
      </c>
      <c r="AQ69" s="297"/>
      <c r="AR69" s="297"/>
      <c r="AS69" s="297"/>
      <c r="AT69" s="297"/>
      <c r="AU69" s="297"/>
      <c r="AV69" s="297"/>
      <c r="AW69" s="297"/>
      <c r="AX69" s="297"/>
      <c r="AY69" s="297"/>
      <c r="AZ69" s="297"/>
      <c r="BA69" s="297"/>
      <c r="BB69" s="297"/>
      <c r="BC69" s="297"/>
    </row>
    <row r="70" spans="2:60" ht="12.75" hidden="1">
      <c r="AD70" s="296"/>
      <c r="AE70" s="296"/>
      <c r="AH70" s="297" t="str">
        <f>AH62</f>
        <v>D</v>
      </c>
      <c r="AI70" s="296" t="str">
        <f>Toernooigegevens!M29</f>
        <v>D2</v>
      </c>
      <c r="AQ70" s="297"/>
      <c r="AR70" s="297"/>
      <c r="AS70" s="297"/>
      <c r="AT70" s="297"/>
      <c r="AU70" s="297"/>
      <c r="AV70" s="297"/>
      <c r="AW70" s="297"/>
      <c r="AX70" s="297"/>
      <c r="AY70" s="297"/>
      <c r="AZ70" s="297"/>
      <c r="BA70" s="297"/>
      <c r="BB70" s="297"/>
      <c r="BC70" s="297"/>
    </row>
    <row r="71" spans="2:60" ht="12.75" hidden="1">
      <c r="AD71" s="296"/>
      <c r="AE71" s="296"/>
      <c r="AH71" s="297" t="str">
        <f>AH63</f>
        <v>D</v>
      </c>
      <c r="AI71" s="296" t="str">
        <f>Toernooigegevens!M30</f>
        <v>D3</v>
      </c>
      <c r="AQ71" s="364"/>
      <c r="AR71" s="364"/>
      <c r="AS71" s="364"/>
      <c r="AT71" s="364"/>
      <c r="AU71" s="364"/>
      <c r="AV71" s="364"/>
      <c r="AW71" s="364"/>
      <c r="AX71" s="364"/>
      <c r="AY71" s="364"/>
      <c r="AZ71" s="364"/>
      <c r="BA71" s="364"/>
      <c r="BB71" s="364"/>
      <c r="BC71" s="364"/>
    </row>
    <row r="72" spans="2:60" ht="12.75" hidden="1">
      <c r="AD72" s="296"/>
      <c r="AE72" s="296"/>
      <c r="AH72" s="297" t="str">
        <f>AH64</f>
        <v>D</v>
      </c>
      <c r="AI72" s="296" t="str">
        <f>Toernooigegevens!M31</f>
        <v>D4</v>
      </c>
      <c r="AQ72" s="364"/>
      <c r="AR72" s="364"/>
      <c r="AS72" s="364"/>
      <c r="AT72" s="364"/>
      <c r="AU72" s="364"/>
      <c r="AV72" s="364"/>
      <c r="AW72" s="364"/>
      <c r="AX72" s="364"/>
      <c r="AY72" s="364"/>
      <c r="AZ72" s="364"/>
      <c r="BA72" s="364"/>
      <c r="BB72" s="364"/>
      <c r="BC72" s="364"/>
    </row>
    <row r="74" spans="2:60"/>
    <row r="75" spans="2:60">
      <c r="Q75" s="284" t="s">
        <v>435</v>
      </c>
      <c r="R75" s="91"/>
      <c r="S75" s="91"/>
      <c r="V75" s="60" t="s">
        <v>417</v>
      </c>
      <c r="W75" s="60" t="s">
        <v>418</v>
      </c>
      <c r="X75" s="60" t="s">
        <v>419</v>
      </c>
    </row>
    <row r="76" spans="2:60">
      <c r="B76" s="285"/>
      <c r="C76" s="285" t="s">
        <v>34</v>
      </c>
      <c r="D76" s="285" t="s">
        <v>421</v>
      </c>
      <c r="E76" s="285" t="s">
        <v>23</v>
      </c>
      <c r="F76" s="285" t="s">
        <v>24</v>
      </c>
      <c r="G76" s="285" t="s">
        <v>25</v>
      </c>
      <c r="H76" s="285" t="s">
        <v>26</v>
      </c>
      <c r="I76" s="285" t="s">
        <v>27</v>
      </c>
      <c r="J76" s="285" t="s">
        <v>28</v>
      </c>
      <c r="M76" s="285" t="s">
        <v>422</v>
      </c>
      <c r="N76" s="285" t="s">
        <v>423</v>
      </c>
      <c r="Q76" s="285" t="str">
        <f>C76</f>
        <v>Groep E</v>
      </c>
      <c r="R76" s="286"/>
      <c r="S76" s="286"/>
      <c r="T76" s="286"/>
      <c r="U76" s="286"/>
      <c r="V76" s="285" t="s">
        <v>424</v>
      </c>
      <c r="W76" s="285" t="s">
        <v>28</v>
      </c>
      <c r="X76" s="285" t="s">
        <v>26</v>
      </c>
      <c r="Y76" s="285" t="s">
        <v>425</v>
      </c>
      <c r="AA76" s="285" t="s">
        <v>422</v>
      </c>
      <c r="AD76" s="287">
        <f>Invulblad!A43</f>
        <v>9</v>
      </c>
      <c r="AE76" s="288">
        <f>Invulblad!C43</f>
        <v>40343.5625</v>
      </c>
      <c r="AF76" s="289">
        <f>Invulblad!D43</f>
        <v>40343.5625</v>
      </c>
      <c r="AG76" s="290" t="s">
        <v>29</v>
      </c>
      <c r="AH76" s="290" t="str">
        <f>RIGHT($Q$76,1)</f>
        <v>E</v>
      </c>
      <c r="AI76" s="291" t="str">
        <f>Toernooigegevens!F36</f>
        <v>E1</v>
      </c>
      <c r="AJ76" s="290" t="s">
        <v>29</v>
      </c>
      <c r="AK76" s="291" t="str">
        <f>Toernooigegevens!J36</f>
        <v>E4</v>
      </c>
      <c r="AL76" s="290" t="s">
        <v>426</v>
      </c>
      <c r="AM76" s="287">
        <f>Invulblad!G43</f>
        <v>2</v>
      </c>
      <c r="AN76" s="290" t="s">
        <v>29</v>
      </c>
      <c r="AO76" s="287">
        <f>Invulblad!I43</f>
        <v>0</v>
      </c>
      <c r="AQ76" s="285" t="s">
        <v>427</v>
      </c>
      <c r="AR76" s="286" t="s">
        <v>428</v>
      </c>
      <c r="AS76" s="285" t="s">
        <v>21</v>
      </c>
      <c r="AT76" s="286" t="s">
        <v>23</v>
      </c>
      <c r="AU76" s="286" t="s">
        <v>24</v>
      </c>
      <c r="AV76" s="286" t="s">
        <v>25</v>
      </c>
      <c r="AW76" s="286" t="s">
        <v>429</v>
      </c>
      <c r="AX76" s="286" t="s">
        <v>430</v>
      </c>
      <c r="AY76" s="285" t="s">
        <v>431</v>
      </c>
      <c r="AZ76" s="285" t="s">
        <v>429</v>
      </c>
      <c r="BA76" s="285" t="s">
        <v>432</v>
      </c>
      <c r="BB76" s="285" t="s">
        <v>431</v>
      </c>
      <c r="BC76" s="285" t="s">
        <v>433</v>
      </c>
      <c r="BE76" s="285" t="s">
        <v>428</v>
      </c>
      <c r="BF76" s="285"/>
      <c r="BG76" s="285"/>
      <c r="BH76" s="285" t="s">
        <v>422</v>
      </c>
    </row>
    <row r="77" spans="2:60">
      <c r="B77" s="70" t="str">
        <f>Toernooigegevens!M36</f>
        <v>E1</v>
      </c>
      <c r="C77" s="70" t="str">
        <f>Toernooigegevens!N36</f>
        <v>Nederland</v>
      </c>
      <c r="D77" s="70">
        <f>(E77*3)+(F77*1)</f>
        <v>9</v>
      </c>
      <c r="E77" s="70">
        <f>SUMPRODUCT((Invulblad!$F$43:$F$48=C77)*(Invulblad!$M$43:$M$48="1"))+SUMPRODUCT((Invulblad!$J$43:$J$48=C77)*(Invulblad!$M$43:$M$48=2))</f>
        <v>3</v>
      </c>
      <c r="F77" s="70">
        <f>SUMPRODUCT((Invulblad!$F$43:$F$48=C77)*(Invulblad!$M$43:$M$48=3))+SUMPRODUCT((Invulblad!$J$43:$J$48=C77)*(Invulblad!$M$43:$M$48=3))</f>
        <v>0</v>
      </c>
      <c r="G77" s="70">
        <f>SUMPRODUCT((Invulblad!$F$43:$F$48=C77)*(Invulblad!$M$43:$M$48=2))+SUMPRODUCT((Invulblad!$J$43:$J$48=C77)*(Invulblad!$M$43:$M$48="1"))</f>
        <v>0</v>
      </c>
      <c r="H77" s="70">
        <f>SUMIF(Invulblad!$J$43:$J$48,C77,Invulblad!$I$43:$I$48)+SUMIF(Invulblad!$F$43:$F$48,C77,Invulblad!$G$43:$G$48)</f>
        <v>5</v>
      </c>
      <c r="I77" s="70">
        <f>SUMIF(Invulblad!$J$43:$J$48,C77,Invulblad!$G$43:$G$48)+SUMIF(Invulblad!$F$43:$F$48,C77,Invulblad!$I$43:$I$48)</f>
        <v>1</v>
      </c>
      <c r="J77" s="70">
        <f>H77-I77</f>
        <v>4</v>
      </c>
      <c r="M77" s="72">
        <f>AA77</f>
        <v>1</v>
      </c>
      <c r="N77" s="129"/>
      <c r="O77" s="293"/>
      <c r="Q77" s="70">
        <v>4</v>
      </c>
      <c r="R77" s="70" t="str">
        <f>IF(SUM(E77:G77)&gt;0,"Ja","Nee")</f>
        <v>Ja</v>
      </c>
      <c r="S77" s="70">
        <f>IF(COUNTIF(R77:R80,"Ja")=4,-Q77,"")</f>
        <v>-4</v>
      </c>
      <c r="T77" s="70">
        <f>IF(S77&lt;&gt;"",(SUMPRODUCT(--(C77&lt;C77:C80))+1),"")</f>
        <v>1</v>
      </c>
      <c r="U77" s="70" t="str">
        <f>IF(SUM(E77:G77)=3,"Ja","Nee")</f>
        <v>Ja</v>
      </c>
      <c r="V77" s="70">
        <f>D77*$AA$3</f>
        <v>900000</v>
      </c>
      <c r="W77" s="70">
        <f>J77*$AA$4</f>
        <v>4000</v>
      </c>
      <c r="X77" s="70">
        <f>H77*$AA$5</f>
        <v>50</v>
      </c>
      <c r="Y77" s="70">
        <f>SUM(Q77:X77)</f>
        <v>904051</v>
      </c>
      <c r="AA77" s="72">
        <f>RANK(Y77,Y77:Y80)</f>
        <v>1</v>
      </c>
      <c r="AD77" s="287">
        <f>Invulblad!A44</f>
        <v>10</v>
      </c>
      <c r="AE77" s="288">
        <f>Invulblad!C44</f>
        <v>40343.666666666664</v>
      </c>
      <c r="AF77" s="289">
        <f>Invulblad!D44</f>
        <v>40343.666666666664</v>
      </c>
      <c r="AG77" s="290" t="s">
        <v>29</v>
      </c>
      <c r="AH77" s="290" t="str">
        <f>AH76</f>
        <v>E</v>
      </c>
      <c r="AI77" s="291" t="str">
        <f>Toernooigegevens!F37</f>
        <v>E2</v>
      </c>
      <c r="AJ77" s="290" t="s">
        <v>29</v>
      </c>
      <c r="AK77" s="291" t="str">
        <f>Toernooigegevens!J37</f>
        <v>E3</v>
      </c>
      <c r="AL77" s="290"/>
      <c r="AM77" s="287">
        <f>Invulblad!G44</f>
        <v>1</v>
      </c>
      <c r="AN77" s="290" t="s">
        <v>29</v>
      </c>
      <c r="AO77" s="287">
        <f>Invulblad!I44</f>
        <v>0</v>
      </c>
      <c r="AQ77" s="70" t="e">
        <f t="array" ref="AQ77:BC80">#N/A</f>
        <v>#N/A</v>
      </c>
      <c r="AR77" s="70" t="e">
        <v>#N/A</v>
      </c>
      <c r="AS77" s="70" t="e">
        <v>#N/A</v>
      </c>
      <c r="AT77" s="70" t="e">
        <v>#N/A</v>
      </c>
      <c r="AU77" s="70" t="e">
        <v>#N/A</v>
      </c>
      <c r="AV77" s="70" t="e">
        <v>#N/A</v>
      </c>
      <c r="AW77" s="70" t="e">
        <v>#N/A</v>
      </c>
      <c r="AX77" s="70" t="e">
        <v>#N/A</v>
      </c>
      <c r="AY77" s="70" t="e">
        <v>#N/A</v>
      </c>
      <c r="AZ77" s="70" t="e">
        <v>#N/A</v>
      </c>
      <c r="BA77" s="70" t="e">
        <v>#N/A</v>
      </c>
      <c r="BB77" s="70" t="e">
        <v>#N/A</v>
      </c>
      <c r="BC77" s="70" t="e">
        <v>#N/A</v>
      </c>
      <c r="BE77" s="72" t="str">
        <f t="shared" ref="BE77:BF80" si="4">B77</f>
        <v>E1</v>
      </c>
      <c r="BF77" s="294" t="str">
        <f t="shared" si="4"/>
        <v>Nederland</v>
      </c>
      <c r="BG77" s="65" t="e">
        <f>VALUE(RIGHT(INDEX(AQ77:AQ80,MATCH(BE77,AR77:AR80)),1))</f>
        <v>#N/A</v>
      </c>
      <c r="BH77" s="65" t="str">
        <f>IF(ISERROR(BG77),"L",BG77)</f>
        <v>L</v>
      </c>
    </row>
    <row r="78" spans="2:60">
      <c r="B78" s="80" t="str">
        <f>Toernooigegevens!M37</f>
        <v>E2</v>
      </c>
      <c r="C78" s="80" t="str">
        <f>Toernooigegevens!N37</f>
        <v>Japan</v>
      </c>
      <c r="D78" s="80">
        <f>(E78*3)+(F78*1)</f>
        <v>6</v>
      </c>
      <c r="E78" s="80">
        <f>SUMPRODUCT((Invulblad!$F$43:$F$48=C78)*(Invulblad!$M$43:$M$48="1"))+SUMPRODUCT((Invulblad!$J$43:$J$48=C78)*(Invulblad!$M$43:$M$48=2))</f>
        <v>2</v>
      </c>
      <c r="F78" s="80">
        <f>SUMPRODUCT((Invulblad!$F$43:$F$48=C78)*(Invulblad!$M$43:$M$48=3))+SUMPRODUCT((Invulblad!$J$43:$J$48=C78)*(Invulblad!$M$43:$M$48=3))</f>
        <v>0</v>
      </c>
      <c r="G78" s="80">
        <f>SUMPRODUCT((Invulblad!$F$43:$F$48=C78)*(Invulblad!$M$43:$M$48=2))+SUMPRODUCT((Invulblad!$J$43:$J$48=C78)*(Invulblad!$M$43:$M$48="1"))</f>
        <v>1</v>
      </c>
      <c r="H78" s="80">
        <f>SUMIF(Invulblad!$J$43:$J$48,C78,Invulblad!$I$43:$I$48)+SUMIF(Invulblad!$F$43:$F$48,C78,Invulblad!$G$43:$G$48)</f>
        <v>4</v>
      </c>
      <c r="I78" s="80">
        <f>SUMIF(Invulblad!$J$43:$J$48,C78,Invulblad!$G$43:$G$48)+SUMIF(Invulblad!$F$43:$F$48,C78,Invulblad!$I$43:$I$48)</f>
        <v>2</v>
      </c>
      <c r="J78" s="80">
        <f>H78-I78</f>
        <v>2</v>
      </c>
      <c r="M78" s="72">
        <f>AA78</f>
        <v>2</v>
      </c>
      <c r="N78" s="136"/>
      <c r="O78" s="293"/>
      <c r="Q78" s="80">
        <v>3</v>
      </c>
      <c r="R78" s="80" t="str">
        <f>IF(SUM(E78:G78)&gt;0,"Ja","Nee")</f>
        <v>Ja</v>
      </c>
      <c r="S78" s="80">
        <f>IF(COUNTIF(R77:R80,"Ja")=4,-Q78,"")</f>
        <v>-3</v>
      </c>
      <c r="T78" s="80">
        <f>IF(S78&lt;&gt;"",(SUMPRODUCT(--(C78&lt;C77:C80))+1),"")</f>
        <v>3</v>
      </c>
      <c r="U78" s="80" t="str">
        <f>IF(SUM(E78:G78)=3,"Ja","Nee")</f>
        <v>Ja</v>
      </c>
      <c r="V78" s="80">
        <f>D78*$AA$3</f>
        <v>600000</v>
      </c>
      <c r="W78" s="80">
        <f>J78*$AA$4</f>
        <v>2000</v>
      </c>
      <c r="X78" s="80">
        <f>H78*$AA$5</f>
        <v>40</v>
      </c>
      <c r="Y78" s="80">
        <f>SUM(Q78:X78)</f>
        <v>602043</v>
      </c>
      <c r="AA78" s="82">
        <f>RANK(Y78,Y77:Y80)</f>
        <v>2</v>
      </c>
      <c r="AD78" s="287">
        <f>Invulblad!A45</f>
        <v>25</v>
      </c>
      <c r="AE78" s="288">
        <f>Invulblad!C45</f>
        <v>40348.5625</v>
      </c>
      <c r="AF78" s="289">
        <f>Invulblad!D45</f>
        <v>40348.5625</v>
      </c>
      <c r="AG78" s="290" t="s">
        <v>29</v>
      </c>
      <c r="AH78" s="290" t="str">
        <f>AH77</f>
        <v>E</v>
      </c>
      <c r="AI78" s="291" t="str">
        <f>Toernooigegevens!F38</f>
        <v>E1</v>
      </c>
      <c r="AJ78" s="290" t="s">
        <v>29</v>
      </c>
      <c r="AK78" s="291" t="str">
        <f>Toernooigegevens!J38</f>
        <v>E2</v>
      </c>
      <c r="AL78" s="290"/>
      <c r="AM78" s="287">
        <f>Invulblad!G45</f>
        <v>1</v>
      </c>
      <c r="AN78" s="290" t="s">
        <v>29</v>
      </c>
      <c r="AO78" s="287">
        <f>Invulblad!I45</f>
        <v>0</v>
      </c>
      <c r="AQ78" s="80" t="e">
        <v>#N/A</v>
      </c>
      <c r="AR78" s="80" t="e">
        <v>#N/A</v>
      </c>
      <c r="AS78" s="80" t="e">
        <v>#N/A</v>
      </c>
      <c r="AT78" s="80" t="e">
        <v>#N/A</v>
      </c>
      <c r="AU78" s="80" t="e">
        <v>#N/A</v>
      </c>
      <c r="AV78" s="80" t="e">
        <v>#N/A</v>
      </c>
      <c r="AW78" s="80" t="e">
        <v>#N/A</v>
      </c>
      <c r="AX78" s="80" t="e">
        <v>#N/A</v>
      </c>
      <c r="AY78" s="80" t="e">
        <v>#N/A</v>
      </c>
      <c r="AZ78" s="80" t="e">
        <v>#N/A</v>
      </c>
      <c r="BA78" s="80" t="e">
        <v>#N/A</v>
      </c>
      <c r="BB78" s="80" t="e">
        <v>#N/A</v>
      </c>
      <c r="BC78" s="80" t="e">
        <v>#N/A</v>
      </c>
      <c r="BE78" s="82" t="str">
        <f t="shared" si="4"/>
        <v>E2</v>
      </c>
      <c r="BF78" s="295" t="str">
        <f t="shared" si="4"/>
        <v>Japan</v>
      </c>
      <c r="BG78" s="75" t="e">
        <f>VALUE(RIGHT(INDEX(AQ77:AQ80,MATCH(BE78,AR77:AR80,0)),1))</f>
        <v>#N/A</v>
      </c>
      <c r="BH78" s="75" t="str">
        <f>IF(ISERROR(BG78),"L",BG78)</f>
        <v>L</v>
      </c>
    </row>
    <row r="79" spans="2:60">
      <c r="B79" s="70" t="str">
        <f>Toernooigegevens!M38</f>
        <v>E3</v>
      </c>
      <c r="C79" s="70" t="str">
        <f>Toernooigegevens!N38</f>
        <v>Kameroen</v>
      </c>
      <c r="D79" s="70">
        <f>(E79*3)+(F79*1)</f>
        <v>0</v>
      </c>
      <c r="E79" s="70">
        <f>SUMPRODUCT((Invulblad!$F$43:$F$48=C79)*(Invulblad!$M$43:$M$48="1"))+SUMPRODUCT((Invulblad!$J$43:$J$48=C79)*(Invulblad!$M$43:$M$48=2))</f>
        <v>0</v>
      </c>
      <c r="F79" s="70">
        <f>SUMPRODUCT((Invulblad!$F$43:$F$48=C79)*(Invulblad!$M$43:$M$48=3))+SUMPRODUCT((Invulblad!$J$43:$J$48=C79)*(Invulblad!$M$43:$M$48=3))</f>
        <v>0</v>
      </c>
      <c r="G79" s="70">
        <f>SUMPRODUCT((Invulblad!$F$43:$F$48=C79)*(Invulblad!$M$43:$M$48=2))+SUMPRODUCT((Invulblad!$J$43:$J$48=C79)*(Invulblad!$M$43:$M$48="1"))</f>
        <v>3</v>
      </c>
      <c r="H79" s="70">
        <f>SUMIF(Invulblad!$J$43:$J$48,C79,Invulblad!$I$43:$I$48)+SUMIF(Invulblad!$F$43:$F$48,C79,Invulblad!$G$43:$G$48)</f>
        <v>2</v>
      </c>
      <c r="I79" s="70">
        <f>SUMIF(Invulblad!$J$43:$J$48,C79,Invulblad!$G$43:$G$48)+SUMIF(Invulblad!$F$43:$F$48,C79,Invulblad!$I$43:$I$48)</f>
        <v>5</v>
      </c>
      <c r="J79" s="70">
        <f>H79-I79</f>
        <v>-3</v>
      </c>
      <c r="M79" s="72">
        <f>AA79</f>
        <v>4</v>
      </c>
      <c r="N79" s="129"/>
      <c r="O79" s="293"/>
      <c r="Q79" s="70">
        <v>2</v>
      </c>
      <c r="R79" s="70" t="str">
        <f>IF(SUM(E79:G79)&gt;0,"Ja","Nee")</f>
        <v>Ja</v>
      </c>
      <c r="S79" s="70">
        <f>IF(COUNTIF(R77:R80,"Ja")=4,-Q79,"")</f>
        <v>-2</v>
      </c>
      <c r="T79" s="70">
        <f>IF(S79&lt;&gt;"",(SUMPRODUCT(--(C79&lt;C77:C80))+1),"")</f>
        <v>2</v>
      </c>
      <c r="U79" s="70" t="str">
        <f>IF(SUM(E79:G79)=3,"Ja","Nee")</f>
        <v>Ja</v>
      </c>
      <c r="V79" s="70">
        <f>D79*$AA$3</f>
        <v>0</v>
      </c>
      <c r="W79" s="70">
        <f>J79*$AA$4</f>
        <v>-3000</v>
      </c>
      <c r="X79" s="70">
        <f>H79*$AA$5</f>
        <v>20</v>
      </c>
      <c r="Y79" s="70">
        <f>SUM(Q79:X79)</f>
        <v>-2978</v>
      </c>
      <c r="AA79" s="72">
        <f>RANK(Y79,Y77:Y80)</f>
        <v>4</v>
      </c>
      <c r="AD79" s="287">
        <f>Invulblad!A46</f>
        <v>26</v>
      </c>
      <c r="AE79" s="288">
        <f>Invulblad!C46</f>
        <v>40348.854166666664</v>
      </c>
      <c r="AF79" s="289">
        <f>Invulblad!D46</f>
        <v>40348.854166666664</v>
      </c>
      <c r="AG79" s="290" t="s">
        <v>29</v>
      </c>
      <c r="AH79" s="290" t="str">
        <f>AH78</f>
        <v>E</v>
      </c>
      <c r="AI79" s="291" t="str">
        <f>Toernooigegevens!F39</f>
        <v>E3</v>
      </c>
      <c r="AJ79" s="290" t="s">
        <v>29</v>
      </c>
      <c r="AK79" s="291" t="str">
        <f>Toernooigegevens!J39</f>
        <v>E4</v>
      </c>
      <c r="AL79" s="290"/>
      <c r="AM79" s="287">
        <f>Invulblad!G46</f>
        <v>1</v>
      </c>
      <c r="AN79" s="290" t="s">
        <v>29</v>
      </c>
      <c r="AO79" s="287">
        <f>Invulblad!I46</f>
        <v>2</v>
      </c>
      <c r="AQ79" s="70" t="e">
        <v>#N/A</v>
      </c>
      <c r="AR79" s="70" t="e">
        <v>#N/A</v>
      </c>
      <c r="AS79" s="70" t="e">
        <v>#N/A</v>
      </c>
      <c r="AT79" s="70" t="e">
        <v>#N/A</v>
      </c>
      <c r="AU79" s="70" t="e">
        <v>#N/A</v>
      </c>
      <c r="AV79" s="70" t="e">
        <v>#N/A</v>
      </c>
      <c r="AW79" s="70" t="e">
        <v>#N/A</v>
      </c>
      <c r="AX79" s="70" t="e">
        <v>#N/A</v>
      </c>
      <c r="AY79" s="70" t="e">
        <v>#N/A</v>
      </c>
      <c r="AZ79" s="70" t="e">
        <v>#N/A</v>
      </c>
      <c r="BA79" s="70" t="e">
        <v>#N/A</v>
      </c>
      <c r="BB79" s="70" t="e">
        <v>#N/A</v>
      </c>
      <c r="BC79" s="70" t="e">
        <v>#N/A</v>
      </c>
      <c r="BE79" s="72" t="str">
        <f t="shared" si="4"/>
        <v>E3</v>
      </c>
      <c r="BF79" s="294" t="str">
        <f t="shared" si="4"/>
        <v>Kameroen</v>
      </c>
      <c r="BG79" s="65" t="e">
        <f>VALUE(RIGHT(INDEX(AQ77:AQ80,MATCH(BE79,AR77:AR80,0)),1))</f>
        <v>#N/A</v>
      </c>
      <c r="BH79" s="65" t="str">
        <f>IF(ISERROR(BG79),"L",BG79)</f>
        <v>L</v>
      </c>
    </row>
    <row r="80" spans="2:60">
      <c r="B80" s="80" t="str">
        <f>Toernooigegevens!M39</f>
        <v>E4</v>
      </c>
      <c r="C80" s="80" t="str">
        <f>Toernooigegevens!N39</f>
        <v>Denemarken</v>
      </c>
      <c r="D80" s="80">
        <f>(E80*3)+(F80*1)</f>
        <v>3</v>
      </c>
      <c r="E80" s="80">
        <f>SUMPRODUCT((Invulblad!$F$43:$F$48=C80)*(Invulblad!$M$43:$M$48="1"))+SUMPRODUCT((Invulblad!$J$43:$J$48=C80)*(Invulblad!$M$43:$M$48=2))</f>
        <v>1</v>
      </c>
      <c r="F80" s="80">
        <f>SUMPRODUCT((Invulblad!$F$43:$F$48=C80)*(Invulblad!$M$43:$M$48=3))+SUMPRODUCT((Invulblad!$J$43:$J$48=C80)*(Invulblad!$M$43:$M$48=3))</f>
        <v>0</v>
      </c>
      <c r="G80" s="80">
        <f>SUMPRODUCT((Invulblad!$F$43:$F$48=C80)*(Invulblad!$M$43:$M$48=2))+SUMPRODUCT((Invulblad!$J$43:$J$48=C80)*(Invulblad!$M$43:$M$48="1"))</f>
        <v>2</v>
      </c>
      <c r="H80" s="80">
        <f>SUMIF(Invulblad!$J$43:$J$48,C80,Invulblad!$I$43:$I$48)+SUMIF(Invulblad!$F$43:$F$48,C80,Invulblad!$G$43:$G$48)</f>
        <v>3</v>
      </c>
      <c r="I80" s="80">
        <f>SUMIF(Invulblad!$J$43:$J$48,C80,Invulblad!$G$43:$G$48)+SUMIF(Invulblad!$F$43:$F$48,C80,Invulblad!$I$43:$I$48)</f>
        <v>6</v>
      </c>
      <c r="J80" s="80">
        <f>H80-I80</f>
        <v>-3</v>
      </c>
      <c r="M80" s="72">
        <f>AA80</f>
        <v>3</v>
      </c>
      <c r="N80" s="136"/>
      <c r="O80" s="293"/>
      <c r="Q80" s="80">
        <v>1</v>
      </c>
      <c r="R80" s="80" t="str">
        <f>IF(SUM(E80:G80)&gt;0,"Ja","Nee")</f>
        <v>Ja</v>
      </c>
      <c r="S80" s="80">
        <f>IF(COUNTIF(R77:R80,"Ja")=4,-Q80,"")</f>
        <v>-1</v>
      </c>
      <c r="T80" s="80">
        <f>IF(S80&lt;&gt;"",(SUMPRODUCT(--(C80&lt;C77:C80))+1),"")</f>
        <v>4</v>
      </c>
      <c r="U80" s="80" t="str">
        <f>IF(SUM(E80:G80)=3,"Ja","Nee")</f>
        <v>Ja</v>
      </c>
      <c r="V80" s="80">
        <f>D80*$AA$3</f>
        <v>300000</v>
      </c>
      <c r="W80" s="80">
        <f>J80*$AA$4</f>
        <v>-3000</v>
      </c>
      <c r="X80" s="80">
        <f>H80*$AA$5</f>
        <v>30</v>
      </c>
      <c r="Y80" s="80">
        <f>SUM(Q80:X80)</f>
        <v>297034</v>
      </c>
      <c r="AA80" s="82">
        <f>RANK(Y80,Y77:Y80)</f>
        <v>3</v>
      </c>
      <c r="AD80" s="287">
        <f>Invulblad!A47</f>
        <v>43</v>
      </c>
      <c r="AE80" s="288">
        <f>Invulblad!C47</f>
        <v>40353.854166666664</v>
      </c>
      <c r="AF80" s="289">
        <f>Invulblad!D47</f>
        <v>40353.854166666664</v>
      </c>
      <c r="AG80" s="290" t="s">
        <v>29</v>
      </c>
      <c r="AH80" s="290" t="str">
        <f>AH79</f>
        <v>E</v>
      </c>
      <c r="AI80" s="291" t="str">
        <f>Toernooigegevens!F40</f>
        <v>E4</v>
      </c>
      <c r="AJ80" s="290" t="s">
        <v>29</v>
      </c>
      <c r="AK80" s="291" t="str">
        <f>Toernooigegevens!J40</f>
        <v>E2</v>
      </c>
      <c r="AL80" s="290"/>
      <c r="AM80" s="287">
        <f>Invulblad!G47</f>
        <v>1</v>
      </c>
      <c r="AN80" s="290" t="s">
        <v>29</v>
      </c>
      <c r="AO80" s="287">
        <f>Invulblad!I47</f>
        <v>3</v>
      </c>
      <c r="AQ80" s="80" t="e">
        <v>#N/A</v>
      </c>
      <c r="AR80" s="80" t="e">
        <v>#N/A</v>
      </c>
      <c r="AS80" s="80" t="e">
        <v>#N/A</v>
      </c>
      <c r="AT80" s="80" t="e">
        <v>#N/A</v>
      </c>
      <c r="AU80" s="80" t="e">
        <v>#N/A</v>
      </c>
      <c r="AV80" s="80" t="e">
        <v>#N/A</v>
      </c>
      <c r="AW80" s="80" t="e">
        <v>#N/A</v>
      </c>
      <c r="AX80" s="80" t="e">
        <v>#N/A</v>
      </c>
      <c r="AY80" s="80" t="e">
        <v>#N/A</v>
      </c>
      <c r="AZ80" s="80" t="e">
        <v>#N/A</v>
      </c>
      <c r="BA80" s="80" t="e">
        <v>#N/A</v>
      </c>
      <c r="BB80" s="80" t="e">
        <v>#N/A</v>
      </c>
      <c r="BC80" s="80" t="e">
        <v>#N/A</v>
      </c>
      <c r="BE80" s="82" t="str">
        <f t="shared" si="4"/>
        <v>E4</v>
      </c>
      <c r="BF80" s="295" t="str">
        <f t="shared" si="4"/>
        <v>Denemarken</v>
      </c>
      <c r="BG80" s="75" t="e">
        <f>VALUE(RIGHT(INDEX(AQ77:AQ80,MATCH(BE80,AR77:AR80,0)),1))</f>
        <v>#N/A</v>
      </c>
      <c r="BH80" s="75" t="str">
        <f>IF(ISERROR(BG80),"L",BG80)</f>
        <v>L</v>
      </c>
    </row>
    <row r="81" spans="2:60">
      <c r="AD81" s="287">
        <f>Invulblad!A48</f>
        <v>44</v>
      </c>
      <c r="AE81" s="288">
        <f>Invulblad!C48</f>
        <v>40353.854166666664</v>
      </c>
      <c r="AF81" s="289">
        <f>Invulblad!D48</f>
        <v>40353.854166666664</v>
      </c>
      <c r="AG81" s="290" t="s">
        <v>29</v>
      </c>
      <c r="AH81" s="290" t="str">
        <f>AH80</f>
        <v>E</v>
      </c>
      <c r="AI81" s="291" t="str">
        <f>Toernooigegevens!F41</f>
        <v>E3</v>
      </c>
      <c r="AJ81" s="290" t="s">
        <v>29</v>
      </c>
      <c r="AK81" s="291" t="str">
        <f>Toernooigegevens!J41</f>
        <v>E1</v>
      </c>
      <c r="AL81" s="290"/>
      <c r="AM81" s="287">
        <f>Invulblad!G48</f>
        <v>1</v>
      </c>
      <c r="AN81" s="290" t="s">
        <v>29</v>
      </c>
      <c r="AO81" s="287">
        <f>Invulblad!I48</f>
        <v>2</v>
      </c>
    </row>
    <row r="82" spans="2:60"/>
    <row r="83" spans="2:60" ht="12.75" hidden="1">
      <c r="AD83" s="296"/>
      <c r="AE83" s="296"/>
      <c r="AH83" s="296"/>
      <c r="AI83" s="296" t="s">
        <v>434</v>
      </c>
      <c r="AJ83" s="297"/>
      <c r="AQ83" s="297"/>
      <c r="AR83" s="297"/>
      <c r="AS83" s="297"/>
      <c r="AT83" s="297"/>
      <c r="AU83" s="297"/>
      <c r="AV83" s="297"/>
      <c r="AW83" s="297"/>
      <c r="AX83" s="297"/>
      <c r="AY83" s="297"/>
      <c r="AZ83" s="297"/>
      <c r="BA83" s="297"/>
      <c r="BB83" s="297"/>
      <c r="BC83" s="297"/>
    </row>
    <row r="84" spans="2:60" ht="12.75" hidden="1">
      <c r="AD84" s="296"/>
      <c r="AE84" s="296"/>
      <c r="AH84" s="297" t="str">
        <f>AH76</f>
        <v>E</v>
      </c>
      <c r="AI84" s="296" t="str">
        <f>Toernooigegevens!M36</f>
        <v>E1</v>
      </c>
      <c r="AQ84" s="297"/>
      <c r="AR84" s="297"/>
      <c r="AS84" s="297"/>
      <c r="AT84" s="297"/>
      <c r="AU84" s="297"/>
      <c r="AV84" s="297"/>
      <c r="AW84" s="297"/>
      <c r="AX84" s="297"/>
      <c r="AY84" s="297"/>
      <c r="AZ84" s="297"/>
      <c r="BA84" s="297"/>
      <c r="BB84" s="297"/>
      <c r="BC84" s="297"/>
    </row>
    <row r="85" spans="2:60" ht="12.75" hidden="1">
      <c r="AD85" s="296"/>
      <c r="AE85" s="296"/>
      <c r="AH85" s="297" t="str">
        <f>AH77</f>
        <v>E</v>
      </c>
      <c r="AI85" s="296" t="str">
        <f>Toernooigegevens!M37</f>
        <v>E2</v>
      </c>
      <c r="AQ85" s="297"/>
      <c r="AR85" s="297"/>
      <c r="AS85" s="297"/>
      <c r="AT85" s="297"/>
      <c r="AU85" s="297"/>
      <c r="AV85" s="297"/>
      <c r="AW85" s="297"/>
      <c r="AX85" s="297"/>
      <c r="AY85" s="297"/>
      <c r="AZ85" s="297"/>
      <c r="BA85" s="297"/>
      <c r="BB85" s="297"/>
      <c r="BC85" s="297"/>
    </row>
    <row r="86" spans="2:60" ht="12.75" hidden="1">
      <c r="AD86" s="296"/>
      <c r="AE86" s="296"/>
      <c r="AH86" s="297" t="str">
        <f>AH78</f>
        <v>E</v>
      </c>
      <c r="AI86" s="296" t="str">
        <f>Toernooigegevens!M38</f>
        <v>E3</v>
      </c>
      <c r="AQ86" s="364"/>
      <c r="AR86" s="364"/>
      <c r="AS86" s="364"/>
      <c r="AT86" s="364"/>
      <c r="AU86" s="364"/>
      <c r="AV86" s="364"/>
      <c r="AW86" s="364"/>
      <c r="AX86" s="364"/>
      <c r="AY86" s="364"/>
      <c r="AZ86" s="364"/>
      <c r="BA86" s="364"/>
      <c r="BB86" s="364"/>
      <c r="BC86" s="364"/>
    </row>
    <row r="87" spans="2:60" ht="12.75" hidden="1">
      <c r="AD87" s="296"/>
      <c r="AE87" s="296"/>
      <c r="AH87" s="297" t="str">
        <f>AH79</f>
        <v>E</v>
      </c>
      <c r="AI87" s="296" t="str">
        <f>Toernooigegevens!M39</f>
        <v>E4</v>
      </c>
      <c r="AQ87" s="364"/>
      <c r="AR87" s="364"/>
      <c r="AS87" s="364"/>
      <c r="AT87" s="364"/>
      <c r="AU87" s="364"/>
      <c r="AV87" s="364"/>
      <c r="AW87" s="364"/>
      <c r="AX87" s="364"/>
      <c r="AY87" s="364"/>
      <c r="AZ87" s="364"/>
      <c r="BA87" s="364"/>
      <c r="BB87" s="364"/>
      <c r="BC87" s="364"/>
    </row>
    <row r="89" spans="2:60"/>
    <row r="90" spans="2:60">
      <c r="Q90" s="284" t="s">
        <v>435</v>
      </c>
      <c r="R90" s="91"/>
      <c r="S90" s="91"/>
      <c r="V90" s="60" t="s">
        <v>417</v>
      </c>
      <c r="W90" s="60" t="s">
        <v>418</v>
      </c>
      <c r="X90" s="60" t="s">
        <v>419</v>
      </c>
    </row>
    <row r="91" spans="2:60">
      <c r="B91" s="285"/>
      <c r="C91" s="285" t="s">
        <v>35</v>
      </c>
      <c r="D91" s="285" t="s">
        <v>421</v>
      </c>
      <c r="E91" s="285" t="s">
        <v>23</v>
      </c>
      <c r="F91" s="285" t="s">
        <v>24</v>
      </c>
      <c r="G91" s="285" t="s">
        <v>25</v>
      </c>
      <c r="H91" s="285" t="s">
        <v>26</v>
      </c>
      <c r="I91" s="285" t="s">
        <v>27</v>
      </c>
      <c r="J91" s="285" t="s">
        <v>28</v>
      </c>
      <c r="M91" s="285" t="s">
        <v>422</v>
      </c>
      <c r="N91" s="285" t="s">
        <v>423</v>
      </c>
      <c r="Q91" s="285" t="str">
        <f>C91</f>
        <v>Groep F</v>
      </c>
      <c r="R91" s="286"/>
      <c r="S91" s="286"/>
      <c r="T91" s="286"/>
      <c r="U91" s="286"/>
      <c r="V91" s="285" t="s">
        <v>424</v>
      </c>
      <c r="W91" s="285" t="s">
        <v>28</v>
      </c>
      <c r="X91" s="285" t="s">
        <v>26</v>
      </c>
      <c r="Y91" s="285" t="s">
        <v>425</v>
      </c>
      <c r="AA91" s="285" t="s">
        <v>422</v>
      </c>
      <c r="AD91" s="287">
        <f>Invulblad!A51</f>
        <v>11</v>
      </c>
      <c r="AE91" s="288">
        <f>Invulblad!C51</f>
        <v>40343.854166666664</v>
      </c>
      <c r="AF91" s="289">
        <f>Invulblad!D51</f>
        <v>40343.854166666664</v>
      </c>
      <c r="AG91" s="290" t="s">
        <v>29</v>
      </c>
      <c r="AH91" s="290" t="str">
        <f>RIGHT($Q$91,1)</f>
        <v>F</v>
      </c>
      <c r="AI91" s="291" t="str">
        <f>Toernooigegevens!F44</f>
        <v>F1</v>
      </c>
      <c r="AJ91" s="290" t="s">
        <v>29</v>
      </c>
      <c r="AK91" s="291" t="str">
        <f>Toernooigegevens!J44</f>
        <v>F2</v>
      </c>
      <c r="AL91" s="290" t="s">
        <v>426</v>
      </c>
      <c r="AM91" s="287">
        <f>Invulblad!G51</f>
        <v>1</v>
      </c>
      <c r="AN91" s="290" t="s">
        <v>29</v>
      </c>
      <c r="AO91" s="287">
        <f>Invulblad!I51</f>
        <v>1</v>
      </c>
      <c r="AQ91" s="285" t="s">
        <v>427</v>
      </c>
      <c r="AR91" s="286" t="s">
        <v>428</v>
      </c>
      <c r="AS91" s="285" t="s">
        <v>21</v>
      </c>
      <c r="AT91" s="286" t="s">
        <v>23</v>
      </c>
      <c r="AU91" s="286" t="s">
        <v>24</v>
      </c>
      <c r="AV91" s="286" t="s">
        <v>25</v>
      </c>
      <c r="AW91" s="286" t="s">
        <v>429</v>
      </c>
      <c r="AX91" s="286" t="s">
        <v>430</v>
      </c>
      <c r="AY91" s="285" t="s">
        <v>431</v>
      </c>
      <c r="AZ91" s="285" t="s">
        <v>429</v>
      </c>
      <c r="BA91" s="285" t="s">
        <v>432</v>
      </c>
      <c r="BB91" s="285" t="s">
        <v>431</v>
      </c>
      <c r="BC91" s="285" t="s">
        <v>433</v>
      </c>
      <c r="BE91" s="285" t="s">
        <v>428</v>
      </c>
      <c r="BF91" s="285"/>
      <c r="BG91" s="285"/>
      <c r="BH91" s="285" t="s">
        <v>422</v>
      </c>
    </row>
    <row r="92" spans="2:60">
      <c r="B92" s="70" t="str">
        <f>Toernooigegevens!M44</f>
        <v>F1</v>
      </c>
      <c r="C92" s="70" t="str">
        <f>Toernooigegevens!N44</f>
        <v>Italië</v>
      </c>
      <c r="D92" s="70">
        <f>(E92*3)+(F92*1)</f>
        <v>2</v>
      </c>
      <c r="E92" s="70">
        <f>SUMPRODUCT((Invulblad!$F$51:$F$56=C92)*(Invulblad!$M$51:$M$56="1"))+SUMPRODUCT((Invulblad!$J$51:$J$56=C92)*(Invulblad!$M$51:$M$56=2))</f>
        <v>0</v>
      </c>
      <c r="F92" s="70">
        <f>SUMPRODUCT((Invulblad!$F$51:$F$56=C92)*(Invulblad!$M$51:$M$56=3))+SUMPRODUCT((Invulblad!$J$51:$J$56=C92)*(Invulblad!$M$51:$M$56=3))</f>
        <v>2</v>
      </c>
      <c r="G92" s="70">
        <f>SUMPRODUCT((Invulblad!$F$51:$F$56=C92)*(Invulblad!$M$51:$M$56=2))+SUMPRODUCT((Invulblad!$J$51:$J$56=C92)*(Invulblad!$M$51:$M$56="1"))</f>
        <v>1</v>
      </c>
      <c r="H92" s="70">
        <f>SUMIF(Invulblad!$J$51:$J$56,C92,Invulblad!$I$51:$I$56)+SUMIF(Invulblad!$F$51:$F$56,C92,Invulblad!$G$51:$G$56)</f>
        <v>4</v>
      </c>
      <c r="I92" s="70">
        <f>SUMIF(Invulblad!$J$51:$J$56,C92,Invulblad!$G$51:$G$56)+SUMIF(Invulblad!$F$51:$F$56,C92,Invulblad!$I$51:$I$56)</f>
        <v>5</v>
      </c>
      <c r="J92" s="70">
        <f>H92-I92</f>
        <v>-1</v>
      </c>
      <c r="M92" s="72">
        <f>AA92</f>
        <v>4</v>
      </c>
      <c r="N92" s="129"/>
      <c r="O92" s="293"/>
      <c r="Q92" s="70">
        <v>4</v>
      </c>
      <c r="R92" s="70" t="str">
        <f>IF(SUM(E92:G92)&gt;0,"Ja","Nee")</f>
        <v>Ja</v>
      </c>
      <c r="S92" s="70">
        <f>IF(COUNTIF(R92:R95,"Ja")=4,-Q92,"")</f>
        <v>-4</v>
      </c>
      <c r="T92" s="70">
        <f>IF(S92&lt;&gt;"",(SUMPRODUCT(--(C92&lt;C92:C95))+1),"")</f>
        <v>4</v>
      </c>
      <c r="U92" s="70" t="str">
        <f>IF(SUM(E92:G92)=3,"Ja","Nee")</f>
        <v>Ja</v>
      </c>
      <c r="V92" s="70">
        <f>D92*$AA$3</f>
        <v>200000</v>
      </c>
      <c r="W92" s="70">
        <f>J92*$AA$4</f>
        <v>-1000</v>
      </c>
      <c r="X92" s="70">
        <f>H92*$AA$5</f>
        <v>40</v>
      </c>
      <c r="Y92" s="70">
        <f>SUM(Q92:X92)</f>
        <v>199044</v>
      </c>
      <c r="AA92" s="72">
        <f>RANK(Y92,Y92:Y95)</f>
        <v>4</v>
      </c>
      <c r="AD92" s="287">
        <f>Invulblad!A52</f>
        <v>12</v>
      </c>
      <c r="AE92" s="288">
        <f>Invulblad!C52</f>
        <v>40344.5625</v>
      </c>
      <c r="AF92" s="289">
        <f>Invulblad!D52</f>
        <v>40344.5625</v>
      </c>
      <c r="AG92" s="290" t="s">
        <v>29</v>
      </c>
      <c r="AH92" s="290" t="str">
        <f>AH91</f>
        <v>F</v>
      </c>
      <c r="AI92" s="291" t="str">
        <f>Toernooigegevens!F45</f>
        <v>F3</v>
      </c>
      <c r="AJ92" s="290" t="s">
        <v>29</v>
      </c>
      <c r="AK92" s="291" t="str">
        <f>Toernooigegevens!J45</f>
        <v>F4</v>
      </c>
      <c r="AL92" s="290"/>
      <c r="AM92" s="287">
        <f>Invulblad!G52</f>
        <v>1</v>
      </c>
      <c r="AN92" s="290" t="s">
        <v>29</v>
      </c>
      <c r="AO92" s="287">
        <f>Invulblad!I52</f>
        <v>1</v>
      </c>
      <c r="AQ92" s="70" t="e">
        <f t="array" ref="AQ92:BC95">#N/A</f>
        <v>#N/A</v>
      </c>
      <c r="AR92" s="70" t="e">
        <v>#N/A</v>
      </c>
      <c r="AS92" s="70" t="e">
        <v>#N/A</v>
      </c>
      <c r="AT92" s="70" t="e">
        <v>#N/A</v>
      </c>
      <c r="AU92" s="70" t="e">
        <v>#N/A</v>
      </c>
      <c r="AV92" s="70" t="e">
        <v>#N/A</v>
      </c>
      <c r="AW92" s="70" t="e">
        <v>#N/A</v>
      </c>
      <c r="AX92" s="70" t="e">
        <v>#N/A</v>
      </c>
      <c r="AY92" s="70" t="e">
        <v>#N/A</v>
      </c>
      <c r="AZ92" s="70" t="e">
        <v>#N/A</v>
      </c>
      <c r="BA92" s="70" t="e">
        <v>#N/A</v>
      </c>
      <c r="BB92" s="70" t="e">
        <v>#N/A</v>
      </c>
      <c r="BC92" s="70" t="e">
        <v>#N/A</v>
      </c>
      <c r="BE92" s="72" t="str">
        <f t="shared" ref="BE92:BF95" si="5">B92</f>
        <v>F1</v>
      </c>
      <c r="BF92" s="294" t="str">
        <f t="shared" si="5"/>
        <v>Italië</v>
      </c>
      <c r="BG92" s="65" t="e">
        <f>VALUE(RIGHT(INDEX(AQ92:AQ95,MATCH(BE92,AR92:AR95)),1))</f>
        <v>#N/A</v>
      </c>
      <c r="BH92" s="65" t="str">
        <f>IF(ISERROR(BG92),"L",BG92)</f>
        <v>L</v>
      </c>
    </row>
    <row r="93" spans="2:60">
      <c r="B93" s="80" t="str">
        <f>Toernooigegevens!M45</f>
        <v>F2</v>
      </c>
      <c r="C93" s="80" t="str">
        <f>Toernooigegevens!N45</f>
        <v>Paraguay</v>
      </c>
      <c r="D93" s="80">
        <f>(E93*3)+(F93*1)</f>
        <v>5</v>
      </c>
      <c r="E93" s="80">
        <f>SUMPRODUCT((Invulblad!$F$51:$F$56=C93)*(Invulblad!$M$51:$M$56="1"))+SUMPRODUCT((Invulblad!$J$51:$J$56=C93)*(Invulblad!$M$51:$M$56=2))</f>
        <v>1</v>
      </c>
      <c r="F93" s="80">
        <f>SUMPRODUCT((Invulblad!$F$51:$F$56=C93)*(Invulblad!$M$51:$M$56=3))+SUMPRODUCT((Invulblad!$J$51:$J$56=C93)*(Invulblad!$M$51:$M$56=3))</f>
        <v>2</v>
      </c>
      <c r="G93" s="80">
        <f>SUMPRODUCT((Invulblad!$F$51:$F$56=C93)*(Invulblad!$M$51:$M$56=2))+SUMPRODUCT((Invulblad!$J$51:$J$56=C93)*(Invulblad!$M$51:$M$56="1"))</f>
        <v>0</v>
      </c>
      <c r="H93" s="80">
        <f>SUMIF(Invulblad!$J$51:$J$56,C93,Invulblad!$I$51:$I$56)+SUMIF(Invulblad!$F$51:$F$56,C93,Invulblad!$G$51:$G$56)</f>
        <v>3</v>
      </c>
      <c r="I93" s="80">
        <f>SUMIF(Invulblad!$J$51:$J$56,C93,Invulblad!$G$51:$G$56)+SUMIF(Invulblad!$F$51:$F$56,C93,Invulblad!$I$51:$I$56)</f>
        <v>1</v>
      </c>
      <c r="J93" s="80">
        <f>H93-I93</f>
        <v>2</v>
      </c>
      <c r="M93" s="72">
        <f>AA93</f>
        <v>1</v>
      </c>
      <c r="N93" s="136"/>
      <c r="O93" s="293"/>
      <c r="Q93" s="80">
        <v>3</v>
      </c>
      <c r="R93" s="80" t="str">
        <f>IF(SUM(E93:G93)&gt;0,"Ja","Nee")</f>
        <v>Ja</v>
      </c>
      <c r="S93" s="80">
        <f>IF(COUNTIF(R92:R95,"Ja")=4,-Q93,"")</f>
        <v>-3</v>
      </c>
      <c r="T93" s="80">
        <f>IF(S93&lt;&gt;"",(SUMPRODUCT(--(C93&lt;C92:C95))+1),"")</f>
        <v>2</v>
      </c>
      <c r="U93" s="80" t="str">
        <f>IF(SUM(E93:G93)=3,"Ja","Nee")</f>
        <v>Ja</v>
      </c>
      <c r="V93" s="80">
        <f>D93*$AA$3</f>
        <v>500000</v>
      </c>
      <c r="W93" s="80">
        <f>J93*$AA$4</f>
        <v>2000</v>
      </c>
      <c r="X93" s="80">
        <f>H93*$AA$5</f>
        <v>30</v>
      </c>
      <c r="Y93" s="80">
        <f>SUM(Q93:X93)</f>
        <v>502032</v>
      </c>
      <c r="AA93" s="82">
        <f>RANK(Y93,Y92:Y95)</f>
        <v>1</v>
      </c>
      <c r="AD93" s="287">
        <f>Invulblad!A53</f>
        <v>27</v>
      </c>
      <c r="AE93" s="288">
        <f>Invulblad!C53</f>
        <v>40349.5625</v>
      </c>
      <c r="AF93" s="289">
        <f>Invulblad!D53</f>
        <v>40349.5625</v>
      </c>
      <c r="AG93" s="290" t="s">
        <v>29</v>
      </c>
      <c r="AH93" s="290" t="str">
        <f>AH92</f>
        <v>F</v>
      </c>
      <c r="AI93" s="291" t="str">
        <f>Toernooigegevens!F46</f>
        <v>F4</v>
      </c>
      <c r="AJ93" s="290" t="s">
        <v>29</v>
      </c>
      <c r="AK93" s="291" t="str">
        <f>Toernooigegevens!J46</f>
        <v>F2</v>
      </c>
      <c r="AL93" s="290"/>
      <c r="AM93" s="287">
        <f>Invulblad!G53</f>
        <v>0</v>
      </c>
      <c r="AN93" s="290" t="s">
        <v>29</v>
      </c>
      <c r="AO93" s="287">
        <f>Invulblad!I53</f>
        <v>2</v>
      </c>
      <c r="AQ93" s="80" t="e">
        <v>#N/A</v>
      </c>
      <c r="AR93" s="80" t="e">
        <v>#N/A</v>
      </c>
      <c r="AS93" s="80" t="e">
        <v>#N/A</v>
      </c>
      <c r="AT93" s="80" t="e">
        <v>#N/A</v>
      </c>
      <c r="AU93" s="80" t="e">
        <v>#N/A</v>
      </c>
      <c r="AV93" s="80" t="e">
        <v>#N/A</v>
      </c>
      <c r="AW93" s="80" t="e">
        <v>#N/A</v>
      </c>
      <c r="AX93" s="80" t="e">
        <v>#N/A</v>
      </c>
      <c r="AY93" s="80" t="e">
        <v>#N/A</v>
      </c>
      <c r="AZ93" s="80" t="e">
        <v>#N/A</v>
      </c>
      <c r="BA93" s="80" t="e">
        <v>#N/A</v>
      </c>
      <c r="BB93" s="80" t="e">
        <v>#N/A</v>
      </c>
      <c r="BC93" s="80" t="e">
        <v>#N/A</v>
      </c>
      <c r="BE93" s="82" t="str">
        <f t="shared" si="5"/>
        <v>F2</v>
      </c>
      <c r="BF93" s="295" t="str">
        <f t="shared" si="5"/>
        <v>Paraguay</v>
      </c>
      <c r="BG93" s="75" t="e">
        <f>VALUE(RIGHT(INDEX(AQ92:AQ95,MATCH(BE93,AR92:AR95,0)),1))</f>
        <v>#N/A</v>
      </c>
      <c r="BH93" s="75" t="str">
        <f>IF(ISERROR(BG93),"L",BG93)</f>
        <v>L</v>
      </c>
    </row>
    <row r="94" spans="2:60">
      <c r="B94" s="70" t="str">
        <f>Toernooigegevens!M46</f>
        <v>F3</v>
      </c>
      <c r="C94" s="70" t="str">
        <f>Toernooigegevens!N46</f>
        <v>Nieuw-Zeeland</v>
      </c>
      <c r="D94" s="70">
        <f>(E94*3)+(F94*1)</f>
        <v>3</v>
      </c>
      <c r="E94" s="70">
        <f>SUMPRODUCT((Invulblad!$F$51:$F$56=C94)*(Invulblad!$M$51:$M$56="1"))+SUMPRODUCT((Invulblad!$J$51:$J$56=C94)*(Invulblad!$M$51:$M$56=2))</f>
        <v>0</v>
      </c>
      <c r="F94" s="70">
        <f>SUMPRODUCT((Invulblad!$F$51:$F$56=C94)*(Invulblad!$M$51:$M$56=3))+SUMPRODUCT((Invulblad!$J$51:$J$56=C94)*(Invulblad!$M$51:$M$56=3))</f>
        <v>3</v>
      </c>
      <c r="G94" s="70">
        <f>SUMPRODUCT((Invulblad!$F$51:$F$56=C94)*(Invulblad!$M$51:$M$56=2))+SUMPRODUCT((Invulblad!$J$51:$J$56=C94)*(Invulblad!$M$51:$M$56="1"))</f>
        <v>0</v>
      </c>
      <c r="H94" s="70">
        <f>SUMIF(Invulblad!$J$51:$J$56,C94,Invulblad!$I$51:$I$56)+SUMIF(Invulblad!$F$51:$F$56,C94,Invulblad!$G$51:$G$56)</f>
        <v>2</v>
      </c>
      <c r="I94" s="70">
        <f>SUMIF(Invulblad!$J$51:$J$56,C94,Invulblad!$G$51:$G$56)+SUMIF(Invulblad!$F$51:$F$56,C94,Invulblad!$I$51:$I$56)</f>
        <v>2</v>
      </c>
      <c r="J94" s="70">
        <f>H94-I94</f>
        <v>0</v>
      </c>
      <c r="M94" s="72">
        <f>AA94</f>
        <v>3</v>
      </c>
      <c r="N94" s="129"/>
      <c r="O94" s="293"/>
      <c r="Q94" s="70">
        <v>2</v>
      </c>
      <c r="R94" s="70" t="str">
        <f>IF(SUM(E94:G94)&gt;0,"Ja","Nee")</f>
        <v>Ja</v>
      </c>
      <c r="S94" s="70">
        <f>IF(COUNTIF(R92:R95,"Ja")=4,-Q94,"")</f>
        <v>-2</v>
      </c>
      <c r="T94" s="70">
        <f>IF(S94&lt;&gt;"",(SUMPRODUCT(--(C94&lt;C92:C95))+1),"")</f>
        <v>3</v>
      </c>
      <c r="U94" s="70" t="str">
        <f>IF(SUM(E94:G94)=3,"Ja","Nee")</f>
        <v>Ja</v>
      </c>
      <c r="V94" s="70">
        <f>D94*$AA$3</f>
        <v>300000</v>
      </c>
      <c r="W94" s="70">
        <f>J94*$AA$4</f>
        <v>0</v>
      </c>
      <c r="X94" s="70">
        <f>H94*$AA$5</f>
        <v>20</v>
      </c>
      <c r="Y94" s="70">
        <f>SUM(Q94:X94)</f>
        <v>300023</v>
      </c>
      <c r="AA94" s="72">
        <f>RANK(Y94,Y92:Y95)</f>
        <v>3</v>
      </c>
      <c r="AD94" s="287">
        <f>Invulblad!A54</f>
        <v>28</v>
      </c>
      <c r="AE94" s="288">
        <f>Invulblad!C54</f>
        <v>40349.666666666664</v>
      </c>
      <c r="AF94" s="289">
        <f>Invulblad!D54</f>
        <v>40349.666666666664</v>
      </c>
      <c r="AG94" s="290" t="s">
        <v>29</v>
      </c>
      <c r="AH94" s="290" t="str">
        <f>AH93</f>
        <v>F</v>
      </c>
      <c r="AI94" s="291" t="str">
        <f>Toernooigegevens!F47</f>
        <v>F1</v>
      </c>
      <c r="AJ94" s="290" t="s">
        <v>29</v>
      </c>
      <c r="AK94" s="291" t="str">
        <f>Toernooigegevens!J47</f>
        <v>F3</v>
      </c>
      <c r="AL94" s="290"/>
      <c r="AM94" s="287">
        <f>Invulblad!G54</f>
        <v>1</v>
      </c>
      <c r="AN94" s="290" t="s">
        <v>29</v>
      </c>
      <c r="AO94" s="287">
        <f>Invulblad!I54</f>
        <v>1</v>
      </c>
      <c r="AQ94" s="70" t="e">
        <v>#N/A</v>
      </c>
      <c r="AR94" s="70" t="e">
        <v>#N/A</v>
      </c>
      <c r="AS94" s="70" t="e">
        <v>#N/A</v>
      </c>
      <c r="AT94" s="70" t="e">
        <v>#N/A</v>
      </c>
      <c r="AU94" s="70" t="e">
        <v>#N/A</v>
      </c>
      <c r="AV94" s="70" t="e">
        <v>#N/A</v>
      </c>
      <c r="AW94" s="70" t="e">
        <v>#N/A</v>
      </c>
      <c r="AX94" s="70" t="e">
        <v>#N/A</v>
      </c>
      <c r="AY94" s="70" t="e">
        <v>#N/A</v>
      </c>
      <c r="AZ94" s="70" t="e">
        <v>#N/A</v>
      </c>
      <c r="BA94" s="70" t="e">
        <v>#N/A</v>
      </c>
      <c r="BB94" s="70" t="e">
        <v>#N/A</v>
      </c>
      <c r="BC94" s="70" t="e">
        <v>#N/A</v>
      </c>
      <c r="BE94" s="72" t="str">
        <f t="shared" si="5"/>
        <v>F3</v>
      </c>
      <c r="BF94" s="294" t="str">
        <f t="shared" si="5"/>
        <v>Nieuw-Zeeland</v>
      </c>
      <c r="BG94" s="65" t="e">
        <f>VALUE(RIGHT(INDEX(AQ92:AQ95,MATCH(BE94,AR92:AR95,0)),1))</f>
        <v>#N/A</v>
      </c>
      <c r="BH94" s="65" t="str">
        <f>IF(ISERROR(BG94),"L",BG94)</f>
        <v>L</v>
      </c>
    </row>
    <row r="95" spans="2:60">
      <c r="B95" s="80" t="str">
        <f>Toernooigegevens!M47</f>
        <v>F4</v>
      </c>
      <c r="C95" s="80" t="str">
        <f>Toernooigegevens!N47</f>
        <v>Slowakije</v>
      </c>
      <c r="D95" s="80">
        <f>(E95*3)+(F95*1)</f>
        <v>4</v>
      </c>
      <c r="E95" s="80">
        <f>SUMPRODUCT((Invulblad!$F$51:$F$56=C95)*(Invulblad!$M$51:$M$56="1"))+SUMPRODUCT((Invulblad!$J$51:$J$56=C95)*(Invulblad!$M$51:$M$56=2))</f>
        <v>1</v>
      </c>
      <c r="F95" s="80">
        <f>SUMPRODUCT((Invulblad!$F$51:$F$56=C95)*(Invulblad!$M$51:$M$56=3))+SUMPRODUCT((Invulblad!$J$51:$J$56=C95)*(Invulblad!$M$51:$M$56=3))</f>
        <v>1</v>
      </c>
      <c r="G95" s="80">
        <f>SUMPRODUCT((Invulblad!$F$51:$F$56=C95)*(Invulblad!$M$51:$M$56=2))+SUMPRODUCT((Invulblad!$J$51:$J$56=C95)*(Invulblad!$M$51:$M$56="1"))</f>
        <v>1</v>
      </c>
      <c r="H95" s="80">
        <f>SUMIF(Invulblad!$J$51:$J$56,C95,Invulblad!$I$51:$I$56)+SUMIF(Invulblad!$F$51:$F$56,C95,Invulblad!$G$51:$G$56)</f>
        <v>4</v>
      </c>
      <c r="I95" s="80">
        <f>SUMIF(Invulblad!$J$51:$J$56,C95,Invulblad!$G$51:$G$56)+SUMIF(Invulblad!$F$51:$F$56,C95,Invulblad!$I$51:$I$56)</f>
        <v>5</v>
      </c>
      <c r="J95" s="80">
        <f>H95-I95</f>
        <v>-1</v>
      </c>
      <c r="M95" s="72">
        <f>AA95</f>
        <v>2</v>
      </c>
      <c r="N95" s="136"/>
      <c r="O95" s="293"/>
      <c r="Q95" s="80">
        <v>1</v>
      </c>
      <c r="R95" s="80" t="str">
        <f>IF(SUM(E95:G95)&gt;0,"Ja","Nee")</f>
        <v>Ja</v>
      </c>
      <c r="S95" s="80">
        <f>IF(COUNTIF(R92:R95,"Ja")=4,-Q95,"")</f>
        <v>-1</v>
      </c>
      <c r="T95" s="80">
        <f>IF(S95&lt;&gt;"",(SUMPRODUCT(--(C95&lt;C92:C95))+1),"")</f>
        <v>1</v>
      </c>
      <c r="U95" s="80" t="str">
        <f>IF(SUM(E95:G95)=3,"Ja","Nee")</f>
        <v>Ja</v>
      </c>
      <c r="V95" s="80">
        <f>D95*$AA$3</f>
        <v>400000</v>
      </c>
      <c r="W95" s="80">
        <f>J95*$AA$4</f>
        <v>-1000</v>
      </c>
      <c r="X95" s="80">
        <f>H95*$AA$5</f>
        <v>40</v>
      </c>
      <c r="Y95" s="80">
        <f>SUM(Q95:X95)</f>
        <v>399041</v>
      </c>
      <c r="AA95" s="82">
        <f>RANK(Y95,Y92:Y95)</f>
        <v>2</v>
      </c>
      <c r="AD95" s="287">
        <f>Invulblad!A55</f>
        <v>41</v>
      </c>
      <c r="AE95" s="288">
        <f>Invulblad!C55</f>
        <v>40353.666666666664</v>
      </c>
      <c r="AF95" s="289">
        <f>Invulblad!D55</f>
        <v>40353.666666666664</v>
      </c>
      <c r="AG95" s="290" t="s">
        <v>29</v>
      </c>
      <c r="AH95" s="290" t="str">
        <f>AH94</f>
        <v>F</v>
      </c>
      <c r="AI95" s="291" t="str">
        <f>Toernooigegevens!F48</f>
        <v>F4</v>
      </c>
      <c r="AJ95" s="290" t="s">
        <v>29</v>
      </c>
      <c r="AK95" s="291" t="str">
        <f>Toernooigegevens!J48</f>
        <v>F1</v>
      </c>
      <c r="AL95" s="290"/>
      <c r="AM95" s="287">
        <f>Invulblad!G55</f>
        <v>3</v>
      </c>
      <c r="AN95" s="290" t="s">
        <v>29</v>
      </c>
      <c r="AO95" s="287">
        <f>Invulblad!I55</f>
        <v>2</v>
      </c>
      <c r="AQ95" s="80" t="e">
        <v>#N/A</v>
      </c>
      <c r="AR95" s="80" t="e">
        <v>#N/A</v>
      </c>
      <c r="AS95" s="80" t="e">
        <v>#N/A</v>
      </c>
      <c r="AT95" s="80" t="e">
        <v>#N/A</v>
      </c>
      <c r="AU95" s="80" t="e">
        <v>#N/A</v>
      </c>
      <c r="AV95" s="80" t="e">
        <v>#N/A</v>
      </c>
      <c r="AW95" s="80" t="e">
        <v>#N/A</v>
      </c>
      <c r="AX95" s="80" t="e">
        <v>#N/A</v>
      </c>
      <c r="AY95" s="80" t="e">
        <v>#N/A</v>
      </c>
      <c r="AZ95" s="80" t="e">
        <v>#N/A</v>
      </c>
      <c r="BA95" s="80" t="e">
        <v>#N/A</v>
      </c>
      <c r="BB95" s="80" t="e">
        <v>#N/A</v>
      </c>
      <c r="BC95" s="80" t="e">
        <v>#N/A</v>
      </c>
      <c r="BE95" s="82" t="str">
        <f t="shared" si="5"/>
        <v>F4</v>
      </c>
      <c r="BF95" s="295" t="str">
        <f t="shared" si="5"/>
        <v>Slowakije</v>
      </c>
      <c r="BG95" s="75" t="e">
        <f>VALUE(RIGHT(INDEX(AQ92:AQ95,MATCH(BE95,AR92:AR95,0)),1))</f>
        <v>#N/A</v>
      </c>
      <c r="BH95" s="75" t="str">
        <f>IF(ISERROR(BG95),"L",BG95)</f>
        <v>L</v>
      </c>
    </row>
    <row r="96" spans="2:60">
      <c r="AD96" s="287">
        <f>Invulblad!A56</f>
        <v>42</v>
      </c>
      <c r="AE96" s="288">
        <f>Invulblad!C56</f>
        <v>40353.666666666664</v>
      </c>
      <c r="AF96" s="289">
        <f>Invulblad!D56</f>
        <v>40353.666666666664</v>
      </c>
      <c r="AG96" s="290" t="s">
        <v>29</v>
      </c>
      <c r="AH96" s="290" t="str">
        <f>AH95</f>
        <v>F</v>
      </c>
      <c r="AI96" s="291" t="str">
        <f>Toernooigegevens!F49</f>
        <v>F2</v>
      </c>
      <c r="AJ96" s="290" t="s">
        <v>29</v>
      </c>
      <c r="AK96" s="291" t="str">
        <f>Toernooigegevens!J49</f>
        <v>F3</v>
      </c>
      <c r="AL96" s="290"/>
      <c r="AM96" s="287">
        <f>Invulblad!G56</f>
        <v>0</v>
      </c>
      <c r="AN96" s="290" t="s">
        <v>29</v>
      </c>
      <c r="AO96" s="287">
        <f>Invulblad!I56</f>
        <v>0</v>
      </c>
    </row>
    <row r="97" spans="2:60"/>
    <row r="98" spans="2:60" ht="12.75" hidden="1">
      <c r="AD98" s="296"/>
      <c r="AE98" s="296"/>
      <c r="AH98" s="296"/>
      <c r="AI98" s="296" t="s">
        <v>434</v>
      </c>
      <c r="AJ98" s="297"/>
      <c r="AQ98" s="297"/>
      <c r="AR98" s="297"/>
      <c r="AS98" s="297"/>
      <c r="AT98" s="297"/>
      <c r="AU98" s="297"/>
      <c r="AV98" s="297"/>
      <c r="AW98" s="297"/>
      <c r="AX98" s="297"/>
      <c r="AY98" s="297"/>
      <c r="AZ98" s="297"/>
      <c r="BA98" s="297"/>
      <c r="BB98" s="297"/>
      <c r="BC98" s="297"/>
    </row>
    <row r="99" spans="2:60" ht="12.75" hidden="1">
      <c r="AD99" s="296"/>
      <c r="AE99" s="296"/>
      <c r="AH99" s="297" t="str">
        <f>AH91</f>
        <v>F</v>
      </c>
      <c r="AI99" s="296" t="str">
        <f>Toernooigegevens!M44</f>
        <v>F1</v>
      </c>
      <c r="AQ99" s="297"/>
      <c r="AR99" s="297"/>
      <c r="AS99" s="297"/>
      <c r="AT99" s="297"/>
      <c r="AU99" s="297"/>
      <c r="AV99" s="297"/>
      <c r="AW99" s="297"/>
      <c r="AX99" s="297"/>
      <c r="AY99" s="297"/>
      <c r="AZ99" s="297"/>
      <c r="BA99" s="297"/>
      <c r="BB99" s="297"/>
      <c r="BC99" s="297"/>
    </row>
    <row r="100" spans="2:60" ht="12.75" hidden="1">
      <c r="AD100" s="296"/>
      <c r="AE100" s="296"/>
      <c r="AH100" s="297" t="str">
        <f>AH92</f>
        <v>F</v>
      </c>
      <c r="AI100" s="296" t="str">
        <f>Toernooigegevens!M45</f>
        <v>F2</v>
      </c>
      <c r="AQ100" s="297"/>
      <c r="AR100" s="297"/>
      <c r="AS100" s="297"/>
      <c r="AT100" s="297"/>
      <c r="AU100" s="297"/>
      <c r="AV100" s="297"/>
      <c r="AW100" s="297"/>
      <c r="AX100" s="297"/>
      <c r="AY100" s="297"/>
      <c r="AZ100" s="297"/>
      <c r="BA100" s="297"/>
      <c r="BB100" s="297"/>
      <c r="BC100" s="297"/>
    </row>
    <row r="101" spans="2:60" ht="12.75" hidden="1">
      <c r="AD101" s="296"/>
      <c r="AE101" s="296"/>
      <c r="AH101" s="297" t="str">
        <f>AH93</f>
        <v>F</v>
      </c>
      <c r="AI101" s="296" t="str">
        <f>Toernooigegevens!M46</f>
        <v>F3</v>
      </c>
      <c r="AQ101" s="364"/>
      <c r="AR101" s="364"/>
      <c r="AS101" s="364"/>
      <c r="AT101" s="364"/>
      <c r="AU101" s="364"/>
      <c r="AV101" s="364"/>
      <c r="AW101" s="364"/>
      <c r="AX101" s="364"/>
      <c r="AY101" s="364"/>
      <c r="AZ101" s="364"/>
      <c r="BA101" s="364"/>
      <c r="BB101" s="364"/>
      <c r="BC101" s="364"/>
    </row>
    <row r="102" spans="2:60" ht="12.75" hidden="1">
      <c r="AD102" s="296"/>
      <c r="AE102" s="296"/>
      <c r="AH102" s="297" t="str">
        <f>AH94</f>
        <v>F</v>
      </c>
      <c r="AI102" s="296" t="str">
        <f>Toernooigegevens!M47</f>
        <v>F4</v>
      </c>
      <c r="AQ102" s="364"/>
      <c r="AR102" s="364"/>
      <c r="AS102" s="364"/>
      <c r="AT102" s="364"/>
      <c r="AU102" s="364"/>
      <c r="AV102" s="364"/>
      <c r="AW102" s="364"/>
      <c r="AX102" s="364"/>
      <c r="AY102" s="364"/>
      <c r="AZ102" s="364"/>
      <c r="BA102" s="364"/>
      <c r="BB102" s="364"/>
      <c r="BC102" s="364"/>
    </row>
    <row r="104" spans="2:60"/>
    <row r="105" spans="2:60">
      <c r="Q105" s="284" t="s">
        <v>435</v>
      </c>
      <c r="R105" s="91"/>
      <c r="S105" s="91"/>
      <c r="V105" s="60" t="s">
        <v>417</v>
      </c>
      <c r="W105" s="60" t="s">
        <v>418</v>
      </c>
      <c r="X105" s="60" t="s">
        <v>419</v>
      </c>
    </row>
    <row r="106" spans="2:60">
      <c r="B106" s="285"/>
      <c r="C106" s="285" t="s">
        <v>36</v>
      </c>
      <c r="D106" s="285" t="s">
        <v>421</v>
      </c>
      <c r="E106" s="285" t="s">
        <v>23</v>
      </c>
      <c r="F106" s="285" t="s">
        <v>24</v>
      </c>
      <c r="G106" s="285" t="s">
        <v>25</v>
      </c>
      <c r="H106" s="285" t="s">
        <v>26</v>
      </c>
      <c r="I106" s="285" t="s">
        <v>27</v>
      </c>
      <c r="J106" s="285" t="s">
        <v>28</v>
      </c>
      <c r="M106" s="285" t="s">
        <v>422</v>
      </c>
      <c r="N106" s="298" t="s">
        <v>423</v>
      </c>
      <c r="Q106" s="285" t="str">
        <f>C106</f>
        <v>Groep G</v>
      </c>
      <c r="R106" s="286"/>
      <c r="S106" s="286"/>
      <c r="T106" s="286"/>
      <c r="U106" s="286"/>
      <c r="V106" s="285" t="s">
        <v>424</v>
      </c>
      <c r="W106" s="285" t="s">
        <v>28</v>
      </c>
      <c r="X106" s="285" t="s">
        <v>26</v>
      </c>
      <c r="Y106" s="285" t="s">
        <v>425</v>
      </c>
      <c r="AA106" s="285" t="s">
        <v>422</v>
      </c>
      <c r="AD106" s="287">
        <f>Invulblad!A59</f>
        <v>13</v>
      </c>
      <c r="AE106" s="288">
        <f>Invulblad!C59</f>
        <v>40344.666666666664</v>
      </c>
      <c r="AF106" s="289">
        <f>Invulblad!D59</f>
        <v>40344.666666666664</v>
      </c>
      <c r="AG106" s="290" t="s">
        <v>29</v>
      </c>
      <c r="AH106" s="290" t="str">
        <f>RIGHT($Q$106,1)</f>
        <v>G</v>
      </c>
      <c r="AI106" s="291" t="str">
        <f>Toernooigegevens!F52</f>
        <v>G3</v>
      </c>
      <c r="AJ106" s="290" t="s">
        <v>29</v>
      </c>
      <c r="AK106" s="291" t="str">
        <f>Toernooigegevens!J52</f>
        <v>G4</v>
      </c>
      <c r="AL106" s="290" t="s">
        <v>426</v>
      </c>
      <c r="AM106" s="287">
        <f>Invulblad!G59</f>
        <v>0</v>
      </c>
      <c r="AN106" s="290" t="s">
        <v>29</v>
      </c>
      <c r="AO106" s="287">
        <f>Invulblad!I59</f>
        <v>0</v>
      </c>
      <c r="AQ106" s="285" t="s">
        <v>427</v>
      </c>
      <c r="AR106" s="286" t="s">
        <v>428</v>
      </c>
      <c r="AS106" s="285" t="s">
        <v>21</v>
      </c>
      <c r="AT106" s="286" t="s">
        <v>23</v>
      </c>
      <c r="AU106" s="286" t="s">
        <v>24</v>
      </c>
      <c r="AV106" s="286" t="s">
        <v>25</v>
      </c>
      <c r="AW106" s="286" t="s">
        <v>429</v>
      </c>
      <c r="AX106" s="286" t="s">
        <v>430</v>
      </c>
      <c r="AY106" s="285" t="s">
        <v>431</v>
      </c>
      <c r="AZ106" s="285" t="s">
        <v>429</v>
      </c>
      <c r="BA106" s="285" t="s">
        <v>432</v>
      </c>
      <c r="BB106" s="285" t="s">
        <v>431</v>
      </c>
      <c r="BC106" s="285" t="s">
        <v>433</v>
      </c>
      <c r="BE106" s="285" t="s">
        <v>428</v>
      </c>
      <c r="BF106" s="285"/>
      <c r="BG106" s="285"/>
      <c r="BH106" s="285" t="s">
        <v>422</v>
      </c>
    </row>
    <row r="107" spans="2:60">
      <c r="B107" s="70" t="str">
        <f>Toernooigegevens!M52</f>
        <v>G1</v>
      </c>
      <c r="C107" s="70" t="str">
        <f>Toernooigegevens!N52</f>
        <v>Brazilië</v>
      </c>
      <c r="D107" s="70">
        <f>(E107*3)+(F107*1)</f>
        <v>7</v>
      </c>
      <c r="E107" s="70">
        <f>SUMPRODUCT((Invulblad!$F$59:$F$64=C107)*(Invulblad!$M$59:$M$64="1"))+SUMPRODUCT((Invulblad!$J$59:$J$64=C107)*(Invulblad!$M$59:$M$64=2))</f>
        <v>2</v>
      </c>
      <c r="F107" s="70">
        <f>SUMPRODUCT((Invulblad!$F$59:$F$64=C107)*(Invulblad!$M$59:$M$64=3))+SUMPRODUCT((Invulblad!$J$59:$J$64=C107)*(Invulblad!$M$59:$M$64=3))</f>
        <v>1</v>
      </c>
      <c r="G107" s="70">
        <f>SUMPRODUCT((Invulblad!$F$59:$F$64=C107)*(Invulblad!$M$59:$M$64=2))+SUMPRODUCT((Invulblad!$J$59:$J$64=C107)*(Invulblad!$M$59:$M$64="1"))</f>
        <v>0</v>
      </c>
      <c r="H107" s="70">
        <f>SUMIF(Invulblad!$J$59:$J$64,C107,Invulblad!$I$59:$I$64)+SUMIF(Invulblad!$F$59:$F$64,C107,Invulblad!$G$59:$G$64)</f>
        <v>5</v>
      </c>
      <c r="I107" s="70">
        <f>SUMIF(Invulblad!$J$59:$J$64,C107,Invulblad!$G$59:$G$64)+SUMIF(Invulblad!$F$59:$F$64,C107,Invulblad!$I$59:$I$64)</f>
        <v>2</v>
      </c>
      <c r="J107" s="70">
        <f>H107-I107</f>
        <v>3</v>
      </c>
      <c r="M107" s="72">
        <f>AA107</f>
        <v>1</v>
      </c>
      <c r="N107" s="129"/>
      <c r="O107" s="293"/>
      <c r="Q107" s="70">
        <v>4</v>
      </c>
      <c r="R107" s="70" t="str">
        <f>IF(SUM(E107:G107)&gt;0,"Ja","Nee")</f>
        <v>Ja</v>
      </c>
      <c r="S107" s="70">
        <f>IF(COUNTIF(R107:R110,"Ja")=4,-Q107,"")</f>
        <v>-4</v>
      </c>
      <c r="T107" s="70">
        <f>IF(S107&lt;&gt;"",(SUMPRODUCT(--(C107&lt;C107:C110))+1),"")</f>
        <v>4</v>
      </c>
      <c r="U107" s="70" t="str">
        <f>IF(SUM(E107:G107)=3,"Ja","Nee")</f>
        <v>Ja</v>
      </c>
      <c r="V107" s="70">
        <f>D107*$AA$3</f>
        <v>700000</v>
      </c>
      <c r="W107" s="70">
        <f>J107*$AA$4</f>
        <v>3000</v>
      </c>
      <c r="X107" s="70">
        <f>H107*$AA$5</f>
        <v>50</v>
      </c>
      <c r="Y107" s="70">
        <f>SUM(Q107:X107)</f>
        <v>703054</v>
      </c>
      <c r="AA107" s="72">
        <f>RANK(Y107,Y107:Y110)</f>
        <v>1</v>
      </c>
      <c r="AD107" s="287">
        <f>Invulblad!A60</f>
        <v>14</v>
      </c>
      <c r="AE107" s="288">
        <f>Invulblad!C60</f>
        <v>40344.854166666664</v>
      </c>
      <c r="AF107" s="289">
        <f>Invulblad!D60</f>
        <v>40344.854166666664</v>
      </c>
      <c r="AG107" s="290" t="s">
        <v>29</v>
      </c>
      <c r="AH107" s="290" t="str">
        <f>AH106</f>
        <v>G</v>
      </c>
      <c r="AI107" s="291" t="str">
        <f>Toernooigegevens!F53</f>
        <v>G1</v>
      </c>
      <c r="AJ107" s="290" t="s">
        <v>29</v>
      </c>
      <c r="AK107" s="291" t="str">
        <f>Toernooigegevens!J53</f>
        <v>G2</v>
      </c>
      <c r="AL107" s="290"/>
      <c r="AM107" s="287">
        <f>Invulblad!G60</f>
        <v>2</v>
      </c>
      <c r="AN107" s="290" t="s">
        <v>29</v>
      </c>
      <c r="AO107" s="287">
        <f>Invulblad!I60</f>
        <v>1</v>
      </c>
      <c r="AQ107" s="70" t="e">
        <f t="array" ref="AQ107:BC110">#N/A</f>
        <v>#N/A</v>
      </c>
      <c r="AR107" s="70" t="e">
        <v>#N/A</v>
      </c>
      <c r="AS107" s="70" t="e">
        <v>#N/A</v>
      </c>
      <c r="AT107" s="70" t="e">
        <v>#N/A</v>
      </c>
      <c r="AU107" s="70" t="e">
        <v>#N/A</v>
      </c>
      <c r="AV107" s="70" t="e">
        <v>#N/A</v>
      </c>
      <c r="AW107" s="70" t="e">
        <v>#N/A</v>
      </c>
      <c r="AX107" s="70" t="e">
        <v>#N/A</v>
      </c>
      <c r="AY107" s="70" t="e">
        <v>#N/A</v>
      </c>
      <c r="AZ107" s="70" t="e">
        <v>#N/A</v>
      </c>
      <c r="BA107" s="70" t="e">
        <v>#N/A</v>
      </c>
      <c r="BB107" s="70" t="e">
        <v>#N/A</v>
      </c>
      <c r="BC107" s="70" t="e">
        <v>#N/A</v>
      </c>
      <c r="BE107" s="72" t="str">
        <f t="shared" ref="BE107:BF110" si="6">B107</f>
        <v>G1</v>
      </c>
      <c r="BF107" s="294" t="str">
        <f t="shared" si="6"/>
        <v>Brazilië</v>
      </c>
      <c r="BG107" s="65" t="e">
        <f>VALUE(RIGHT(INDEX(AQ107:AQ110,MATCH(BE107,AR107:AR110)),1))</f>
        <v>#N/A</v>
      </c>
      <c r="BH107" s="65" t="str">
        <f>IF(ISERROR(BG107),"L",BG107)</f>
        <v>L</v>
      </c>
    </row>
    <row r="108" spans="2:60">
      <c r="B108" s="80" t="str">
        <f>Toernooigegevens!M53</f>
        <v>G2</v>
      </c>
      <c r="C108" s="80" t="str">
        <f>Toernooigegevens!N53</f>
        <v>Noord-Korea</v>
      </c>
      <c r="D108" s="80">
        <f>(E108*3)+(F108*1)</f>
        <v>0</v>
      </c>
      <c r="E108" s="80">
        <f>SUMPRODUCT((Invulblad!$F$59:$F$64=C108)*(Invulblad!$M$59:$M$64="1"))+SUMPRODUCT((Invulblad!$J$59:$J$64=C108)*(Invulblad!$M$59:$M$64=2))</f>
        <v>0</v>
      </c>
      <c r="F108" s="80">
        <f>SUMPRODUCT((Invulblad!$F$59:$F$64=C108)*(Invulblad!$M$59:$M$64=3))+SUMPRODUCT((Invulblad!$J$59:$J$64=C108)*(Invulblad!$M$59:$M$64=3))</f>
        <v>0</v>
      </c>
      <c r="G108" s="80">
        <f>SUMPRODUCT((Invulblad!$F$59:$F$64=C108)*(Invulblad!$M$59:$M$64=2))+SUMPRODUCT((Invulblad!$J$59:$J$64=C108)*(Invulblad!$M$59:$M$64="1"))</f>
        <v>3</v>
      </c>
      <c r="H108" s="80">
        <f>SUMIF(Invulblad!$J$59:$J$64,C108,Invulblad!$I$59:$I$64)+SUMIF(Invulblad!$F$59:$F$64,C108,Invulblad!$G$59:$G$64)</f>
        <v>1</v>
      </c>
      <c r="I108" s="80">
        <f>SUMIF(Invulblad!$J$59:$J$64,C108,Invulblad!$G$59:$G$64)+SUMIF(Invulblad!$F$59:$F$64,C108,Invulblad!$I$59:$I$64)</f>
        <v>12</v>
      </c>
      <c r="J108" s="80">
        <f>H108-I108</f>
        <v>-11</v>
      </c>
      <c r="M108" s="72">
        <f>AA108</f>
        <v>4</v>
      </c>
      <c r="N108" s="136"/>
      <c r="O108" s="293"/>
      <c r="Q108" s="80">
        <v>3</v>
      </c>
      <c r="R108" s="80" t="str">
        <f>IF(SUM(E108:G108)&gt;0,"Ja","Nee")</f>
        <v>Ja</v>
      </c>
      <c r="S108" s="80">
        <f>IF(COUNTIF(R107:R110,"Ja")=4,-Q108,"")</f>
        <v>-3</v>
      </c>
      <c r="T108" s="80">
        <f>IF(S108&lt;&gt;"",(SUMPRODUCT(--(C108&lt;C107:C110))+1),"")</f>
        <v>2</v>
      </c>
      <c r="U108" s="80" t="str">
        <f>IF(SUM(E108:G108)=3,"Ja","Nee")</f>
        <v>Ja</v>
      </c>
      <c r="V108" s="80">
        <f>D108*$AA$3</f>
        <v>0</v>
      </c>
      <c r="W108" s="80">
        <f>J108*$AA$4</f>
        <v>-11000</v>
      </c>
      <c r="X108" s="80">
        <f>H108*$AA$5</f>
        <v>10</v>
      </c>
      <c r="Y108" s="80">
        <f>SUM(Q108:X108)</f>
        <v>-10988</v>
      </c>
      <c r="AA108" s="82">
        <f>RANK(Y108,Y107:Y110)</f>
        <v>4</v>
      </c>
      <c r="AD108" s="287">
        <f>Invulblad!A61</f>
        <v>29</v>
      </c>
      <c r="AE108" s="288">
        <f>Invulblad!C61</f>
        <v>40349.854166666664</v>
      </c>
      <c r="AF108" s="289">
        <f>Invulblad!D61</f>
        <v>40349.854166666664</v>
      </c>
      <c r="AG108" s="290" t="s">
        <v>29</v>
      </c>
      <c r="AH108" s="290" t="str">
        <f>AH107</f>
        <v>G</v>
      </c>
      <c r="AI108" s="291" t="str">
        <f>Toernooigegevens!F54</f>
        <v>G1</v>
      </c>
      <c r="AJ108" s="290" t="s">
        <v>29</v>
      </c>
      <c r="AK108" s="291" t="str">
        <f>Toernooigegevens!J54</f>
        <v>G3</v>
      </c>
      <c r="AL108" s="290"/>
      <c r="AM108" s="287">
        <f>Invulblad!G61</f>
        <v>3</v>
      </c>
      <c r="AN108" s="290" t="s">
        <v>29</v>
      </c>
      <c r="AO108" s="287">
        <f>Invulblad!I61</f>
        <v>1</v>
      </c>
      <c r="AQ108" s="80" t="e">
        <v>#N/A</v>
      </c>
      <c r="AR108" s="80" t="e">
        <v>#N/A</v>
      </c>
      <c r="AS108" s="80" t="e">
        <v>#N/A</v>
      </c>
      <c r="AT108" s="80" t="e">
        <v>#N/A</v>
      </c>
      <c r="AU108" s="80" t="e">
        <v>#N/A</v>
      </c>
      <c r="AV108" s="80" t="e">
        <v>#N/A</v>
      </c>
      <c r="AW108" s="80" t="e">
        <v>#N/A</v>
      </c>
      <c r="AX108" s="80" t="e">
        <v>#N/A</v>
      </c>
      <c r="AY108" s="80" t="e">
        <v>#N/A</v>
      </c>
      <c r="AZ108" s="80" t="e">
        <v>#N/A</v>
      </c>
      <c r="BA108" s="80" t="e">
        <v>#N/A</v>
      </c>
      <c r="BB108" s="80" t="e">
        <v>#N/A</v>
      </c>
      <c r="BC108" s="80" t="e">
        <v>#N/A</v>
      </c>
      <c r="BE108" s="82" t="str">
        <f t="shared" si="6"/>
        <v>G2</v>
      </c>
      <c r="BF108" s="295" t="str">
        <f t="shared" si="6"/>
        <v>Noord-Korea</v>
      </c>
      <c r="BG108" s="75" t="e">
        <f>VALUE(RIGHT(INDEX(AQ107:AQ110,MATCH(BE108,AR107:AR110,0)),1))</f>
        <v>#N/A</v>
      </c>
      <c r="BH108" s="75" t="str">
        <f>IF(ISERROR(BG108),"L",BG108)</f>
        <v>L</v>
      </c>
    </row>
    <row r="109" spans="2:60">
      <c r="B109" s="70" t="str">
        <f>Toernooigegevens!M54</f>
        <v>G3</v>
      </c>
      <c r="C109" s="70" t="str">
        <f>Toernooigegevens!N54</f>
        <v>Ivoorkust</v>
      </c>
      <c r="D109" s="70">
        <f>(E109*3)+(F109*1)</f>
        <v>4</v>
      </c>
      <c r="E109" s="70">
        <f>SUMPRODUCT((Invulblad!$F$59:$F$64=C109)*(Invulblad!$M$59:$M$64="1"))+SUMPRODUCT((Invulblad!$J$59:$J$64=C109)*(Invulblad!$M$59:$M$64=2))</f>
        <v>1</v>
      </c>
      <c r="F109" s="70">
        <f>SUMPRODUCT((Invulblad!$F$59:$F$64=C109)*(Invulblad!$M$59:$M$64=3))+SUMPRODUCT((Invulblad!$J$59:$J$64=C109)*(Invulblad!$M$59:$M$64=3))</f>
        <v>1</v>
      </c>
      <c r="G109" s="70">
        <f>SUMPRODUCT((Invulblad!$F$59:$F$64=C109)*(Invulblad!$M$59:$M$64=2))+SUMPRODUCT((Invulblad!$J$59:$J$64=C109)*(Invulblad!$M$59:$M$64="1"))</f>
        <v>1</v>
      </c>
      <c r="H109" s="70">
        <f>SUMIF(Invulblad!$J$59:$J$64,C109,Invulblad!$I$59:$I$64)+SUMIF(Invulblad!$F$59:$F$64,C109,Invulblad!$G$59:$G$64)</f>
        <v>4</v>
      </c>
      <c r="I109" s="70">
        <f>SUMIF(Invulblad!$J$59:$J$64,C109,Invulblad!$G$59:$G$64)+SUMIF(Invulblad!$F$59:$F$64,C109,Invulblad!$I$59:$I$64)</f>
        <v>3</v>
      </c>
      <c r="J109" s="70">
        <f>H109-I109</f>
        <v>1</v>
      </c>
      <c r="M109" s="72">
        <f>AA109</f>
        <v>3</v>
      </c>
      <c r="N109" s="129"/>
      <c r="O109" s="293"/>
      <c r="Q109" s="70">
        <v>2</v>
      </c>
      <c r="R109" s="70" t="str">
        <f>IF(SUM(E109:G109)&gt;0,"Ja","Nee")</f>
        <v>Ja</v>
      </c>
      <c r="S109" s="70">
        <f>IF(COUNTIF(R107:R110,"Ja")=4,-Q109,"")</f>
        <v>-2</v>
      </c>
      <c r="T109" s="70">
        <f>IF(S109&lt;&gt;"",(SUMPRODUCT(--(C109&lt;C107:C110))+1),"")</f>
        <v>3</v>
      </c>
      <c r="U109" s="70" t="str">
        <f>IF(SUM(E109:G109)=3,"Ja","Nee")</f>
        <v>Ja</v>
      </c>
      <c r="V109" s="70">
        <f>D109*$AA$3</f>
        <v>400000</v>
      </c>
      <c r="W109" s="70">
        <f>J109*$AA$4</f>
        <v>1000</v>
      </c>
      <c r="X109" s="70">
        <f>H109*$AA$5</f>
        <v>40</v>
      </c>
      <c r="Y109" s="70">
        <f>SUM(Q109:X109)</f>
        <v>401043</v>
      </c>
      <c r="AA109" s="72">
        <f>RANK(Y109,Y107:Y110)</f>
        <v>3</v>
      </c>
      <c r="AD109" s="287">
        <f>Invulblad!A62</f>
        <v>30</v>
      </c>
      <c r="AE109" s="288">
        <f>Invulblad!C62</f>
        <v>40350.5625</v>
      </c>
      <c r="AF109" s="289">
        <f>Invulblad!D62</f>
        <v>40350.5625</v>
      </c>
      <c r="AG109" s="290" t="s">
        <v>29</v>
      </c>
      <c r="AH109" s="290" t="str">
        <f>AH108</f>
        <v>G</v>
      </c>
      <c r="AI109" s="291" t="str">
        <f>Toernooigegevens!F55</f>
        <v>G4</v>
      </c>
      <c r="AJ109" s="290" t="s">
        <v>29</v>
      </c>
      <c r="AK109" s="291" t="str">
        <f>Toernooigegevens!J55</f>
        <v>G2</v>
      </c>
      <c r="AL109" s="290"/>
      <c r="AM109" s="287">
        <f>Invulblad!G62</f>
        <v>7</v>
      </c>
      <c r="AN109" s="290" t="s">
        <v>29</v>
      </c>
      <c r="AO109" s="287">
        <f>Invulblad!I62</f>
        <v>0</v>
      </c>
      <c r="AQ109" s="70" t="e">
        <v>#N/A</v>
      </c>
      <c r="AR109" s="70" t="e">
        <v>#N/A</v>
      </c>
      <c r="AS109" s="70" t="e">
        <v>#N/A</v>
      </c>
      <c r="AT109" s="70" t="e">
        <v>#N/A</v>
      </c>
      <c r="AU109" s="70" t="e">
        <v>#N/A</v>
      </c>
      <c r="AV109" s="70" t="e">
        <v>#N/A</v>
      </c>
      <c r="AW109" s="70" t="e">
        <v>#N/A</v>
      </c>
      <c r="AX109" s="70" t="e">
        <v>#N/A</v>
      </c>
      <c r="AY109" s="70" t="e">
        <v>#N/A</v>
      </c>
      <c r="AZ109" s="70" t="e">
        <v>#N/A</v>
      </c>
      <c r="BA109" s="70" t="e">
        <v>#N/A</v>
      </c>
      <c r="BB109" s="70" t="e">
        <v>#N/A</v>
      </c>
      <c r="BC109" s="70" t="e">
        <v>#N/A</v>
      </c>
      <c r="BE109" s="72" t="str">
        <f t="shared" si="6"/>
        <v>G3</v>
      </c>
      <c r="BF109" s="294" t="str">
        <f t="shared" si="6"/>
        <v>Ivoorkust</v>
      </c>
      <c r="BG109" s="65" t="e">
        <f>VALUE(RIGHT(INDEX(AQ107:AQ110,MATCH(BE109,AR107:AR110,0)),1))</f>
        <v>#N/A</v>
      </c>
      <c r="BH109" s="65" t="str">
        <f>IF(ISERROR(BG109),"L",BG109)</f>
        <v>L</v>
      </c>
    </row>
    <row r="110" spans="2:60">
      <c r="B110" s="80" t="str">
        <f>Toernooigegevens!M55</f>
        <v>G4</v>
      </c>
      <c r="C110" s="80" t="str">
        <f>Toernooigegevens!N55</f>
        <v>Portugal</v>
      </c>
      <c r="D110" s="80">
        <f>(E110*3)+(F110*1)</f>
        <v>5</v>
      </c>
      <c r="E110" s="80">
        <f>SUMPRODUCT((Invulblad!$F$59:$F$64=C110)*(Invulblad!$M$59:$M$64="1"))+SUMPRODUCT((Invulblad!$J$59:$J$64=C110)*(Invulblad!$M$59:$M$64=2))</f>
        <v>1</v>
      </c>
      <c r="F110" s="80">
        <f>SUMPRODUCT((Invulblad!$F$59:$F$64=C110)*(Invulblad!$M$59:$M$64=3))+SUMPRODUCT((Invulblad!$J$59:$J$64=C110)*(Invulblad!$M$59:$M$64=3))</f>
        <v>2</v>
      </c>
      <c r="G110" s="80">
        <f>SUMPRODUCT((Invulblad!$F$59:$F$64=C110)*(Invulblad!$M$59:$M$64=2))+SUMPRODUCT((Invulblad!$J$59:$J$64=C110)*(Invulblad!$M$59:$M$64="1"))</f>
        <v>0</v>
      </c>
      <c r="H110" s="80">
        <f>SUMIF(Invulblad!$J$59:$J$64,C110,Invulblad!$I$59:$I$64)+SUMIF(Invulblad!$F$59:$F$64,C110,Invulblad!$G$59:$G$64)</f>
        <v>7</v>
      </c>
      <c r="I110" s="80">
        <f>SUMIF(Invulblad!$J$59:$J$64,C110,Invulblad!$G$59:$G$64)+SUMIF(Invulblad!$F$59:$F$64,C110,Invulblad!$I$59:$I$64)</f>
        <v>0</v>
      </c>
      <c r="J110" s="80">
        <f>H110-I110</f>
        <v>7</v>
      </c>
      <c r="M110" s="72">
        <f>AA110</f>
        <v>2</v>
      </c>
      <c r="N110" s="136"/>
      <c r="O110" s="293"/>
      <c r="Q110" s="80">
        <v>1</v>
      </c>
      <c r="R110" s="80" t="str">
        <f>IF(SUM(E110:G110)&gt;0,"Ja","Nee")</f>
        <v>Ja</v>
      </c>
      <c r="S110" s="80">
        <f>IF(COUNTIF(R107:R110,"Ja")=4,-Q110,"")</f>
        <v>-1</v>
      </c>
      <c r="T110" s="80">
        <f>IF(S110&lt;&gt;"",(SUMPRODUCT(--(C110&lt;C107:C110))+1),"")</f>
        <v>1</v>
      </c>
      <c r="U110" s="80" t="str">
        <f>IF(SUM(E110:G110)=3,"Ja","Nee")</f>
        <v>Ja</v>
      </c>
      <c r="V110" s="80">
        <f>D110*$AA$3</f>
        <v>500000</v>
      </c>
      <c r="W110" s="80">
        <f>J110*$AA$4</f>
        <v>7000</v>
      </c>
      <c r="X110" s="80">
        <f>H110*$AA$5</f>
        <v>70</v>
      </c>
      <c r="Y110" s="80">
        <f>SUM(Q110:X110)</f>
        <v>507071</v>
      </c>
      <c r="AA110" s="82">
        <f>RANK(Y110,Y107:Y110)</f>
        <v>2</v>
      </c>
      <c r="AD110" s="287">
        <f>Invulblad!A63</f>
        <v>45</v>
      </c>
      <c r="AE110" s="288">
        <f>Invulblad!C63</f>
        <v>40354.666666666664</v>
      </c>
      <c r="AF110" s="289">
        <f>Invulblad!D63</f>
        <v>40354.666666666664</v>
      </c>
      <c r="AG110" s="290" t="s">
        <v>29</v>
      </c>
      <c r="AH110" s="290" t="str">
        <f>AH109</f>
        <v>G</v>
      </c>
      <c r="AI110" s="291" t="str">
        <f>Toernooigegevens!F56</f>
        <v>G4</v>
      </c>
      <c r="AJ110" s="290" t="s">
        <v>29</v>
      </c>
      <c r="AK110" s="291" t="str">
        <f>Toernooigegevens!J56</f>
        <v>G1</v>
      </c>
      <c r="AL110" s="290"/>
      <c r="AM110" s="287">
        <f>Invulblad!G63</f>
        <v>0</v>
      </c>
      <c r="AN110" s="290" t="s">
        <v>29</v>
      </c>
      <c r="AO110" s="287">
        <f>Invulblad!I63</f>
        <v>0</v>
      </c>
      <c r="AQ110" s="80" t="e">
        <v>#N/A</v>
      </c>
      <c r="AR110" s="80" t="e">
        <v>#N/A</v>
      </c>
      <c r="AS110" s="80" t="e">
        <v>#N/A</v>
      </c>
      <c r="AT110" s="80" t="e">
        <v>#N/A</v>
      </c>
      <c r="AU110" s="80" t="e">
        <v>#N/A</v>
      </c>
      <c r="AV110" s="80" t="e">
        <v>#N/A</v>
      </c>
      <c r="AW110" s="80" t="e">
        <v>#N/A</v>
      </c>
      <c r="AX110" s="80" t="e">
        <v>#N/A</v>
      </c>
      <c r="AY110" s="80" t="e">
        <v>#N/A</v>
      </c>
      <c r="AZ110" s="80" t="e">
        <v>#N/A</v>
      </c>
      <c r="BA110" s="80" t="e">
        <v>#N/A</v>
      </c>
      <c r="BB110" s="80" t="e">
        <v>#N/A</v>
      </c>
      <c r="BC110" s="80" t="e">
        <v>#N/A</v>
      </c>
      <c r="BE110" s="82" t="str">
        <f t="shared" si="6"/>
        <v>G4</v>
      </c>
      <c r="BF110" s="295" t="str">
        <f t="shared" si="6"/>
        <v>Portugal</v>
      </c>
      <c r="BG110" s="75" t="e">
        <f>VALUE(RIGHT(INDEX(AQ107:AQ110,MATCH(BE110,AR107:AR110,0)),1))</f>
        <v>#N/A</v>
      </c>
      <c r="BH110" s="75" t="str">
        <f>IF(ISERROR(BG110),"L",BG110)</f>
        <v>L</v>
      </c>
    </row>
    <row r="111" spans="2:60">
      <c r="AD111" s="287">
        <f>Invulblad!A64</f>
        <v>46</v>
      </c>
      <c r="AE111" s="288">
        <f>Invulblad!C64</f>
        <v>40354.666666666664</v>
      </c>
      <c r="AF111" s="289">
        <f>Invulblad!D64</f>
        <v>40354.666666666664</v>
      </c>
      <c r="AG111" s="290" t="s">
        <v>29</v>
      </c>
      <c r="AH111" s="290" t="str">
        <f>AH110</f>
        <v>G</v>
      </c>
      <c r="AI111" s="291" t="str">
        <f>Toernooigegevens!F57</f>
        <v>G2</v>
      </c>
      <c r="AJ111" s="290" t="s">
        <v>29</v>
      </c>
      <c r="AK111" s="291" t="str">
        <f>Toernooigegevens!J57</f>
        <v>G3</v>
      </c>
      <c r="AL111" s="290"/>
      <c r="AM111" s="287">
        <f>Invulblad!G64</f>
        <v>0</v>
      </c>
      <c r="AN111" s="290" t="s">
        <v>29</v>
      </c>
      <c r="AO111" s="287">
        <f>Invulblad!I64</f>
        <v>3</v>
      </c>
    </row>
    <row r="113" spans="2:60" ht="12.75" hidden="1">
      <c r="AD113" s="296"/>
      <c r="AE113" s="296"/>
      <c r="AH113" s="296"/>
      <c r="AI113" s="296" t="s">
        <v>434</v>
      </c>
      <c r="AJ113" s="297"/>
      <c r="AQ113" s="297"/>
      <c r="AR113" s="297"/>
      <c r="AS113" s="297"/>
      <c r="AT113" s="297"/>
      <c r="AU113" s="297"/>
      <c r="AV113" s="297"/>
      <c r="AW113" s="297"/>
      <c r="AX113" s="297"/>
      <c r="AY113" s="297"/>
      <c r="AZ113" s="297"/>
      <c r="BA113" s="297"/>
      <c r="BB113" s="297"/>
      <c r="BC113" s="297"/>
    </row>
    <row r="114" spans="2:60" ht="12.75" hidden="1">
      <c r="AD114" s="296"/>
      <c r="AE114" s="296"/>
      <c r="AH114" s="297" t="str">
        <f>AH106</f>
        <v>G</v>
      </c>
      <c r="AI114" s="296" t="str">
        <f>Toernooigegevens!M52</f>
        <v>G1</v>
      </c>
      <c r="AQ114" s="297"/>
      <c r="AR114" s="297"/>
      <c r="AS114" s="297"/>
      <c r="AT114" s="297"/>
      <c r="AU114" s="297"/>
      <c r="AV114" s="297"/>
      <c r="AW114" s="297"/>
      <c r="AX114" s="297"/>
      <c r="AY114" s="297"/>
      <c r="AZ114" s="297"/>
      <c r="BA114" s="297"/>
      <c r="BB114" s="297"/>
      <c r="BC114" s="297"/>
    </row>
    <row r="115" spans="2:60" ht="12.75" hidden="1">
      <c r="AD115" s="296"/>
      <c r="AE115" s="296"/>
      <c r="AH115" s="297" t="str">
        <f>AH107</f>
        <v>G</v>
      </c>
      <c r="AI115" s="296" t="str">
        <f>Toernooigegevens!M53</f>
        <v>G2</v>
      </c>
      <c r="AQ115" s="297"/>
      <c r="AR115" s="297"/>
      <c r="AS115" s="297"/>
      <c r="AT115" s="297"/>
      <c r="AU115" s="297"/>
      <c r="AV115" s="297"/>
      <c r="AW115" s="297"/>
      <c r="AX115" s="297"/>
      <c r="AY115" s="297"/>
      <c r="AZ115" s="297"/>
      <c r="BA115" s="297"/>
      <c r="BB115" s="297"/>
      <c r="BC115" s="297"/>
    </row>
    <row r="116" spans="2:60" ht="12.75" hidden="1">
      <c r="AD116" s="296"/>
      <c r="AE116" s="296"/>
      <c r="AH116" s="297" t="str">
        <f>AH108</f>
        <v>G</v>
      </c>
      <c r="AI116" s="296" t="str">
        <f>Toernooigegevens!M54</f>
        <v>G3</v>
      </c>
      <c r="AQ116" s="364"/>
      <c r="AR116" s="364"/>
      <c r="AS116" s="364"/>
      <c r="AT116" s="364"/>
      <c r="AU116" s="364"/>
      <c r="AV116" s="364"/>
      <c r="AW116" s="364"/>
      <c r="AX116" s="364"/>
      <c r="AY116" s="364"/>
      <c r="AZ116" s="364"/>
      <c r="BA116" s="364"/>
      <c r="BB116" s="364"/>
      <c r="BC116" s="364"/>
    </row>
    <row r="117" spans="2:60" ht="12.75" hidden="1">
      <c r="AD117" s="296"/>
      <c r="AE117" s="296"/>
      <c r="AH117" s="297" t="str">
        <f>AH109</f>
        <v>G</v>
      </c>
      <c r="AI117" s="296" t="str">
        <f>Toernooigegevens!M55</f>
        <v>G4</v>
      </c>
      <c r="AQ117" s="364"/>
      <c r="AR117" s="364"/>
      <c r="AS117" s="364"/>
      <c r="AT117" s="364"/>
      <c r="AU117" s="364"/>
      <c r="AV117" s="364"/>
      <c r="AW117" s="364"/>
      <c r="AX117" s="364"/>
      <c r="AY117" s="364"/>
      <c r="AZ117" s="364"/>
      <c r="BA117" s="364"/>
      <c r="BB117" s="364"/>
      <c r="BC117" s="364"/>
    </row>
    <row r="118" spans="2:60"/>
    <row r="119" spans="2:60"/>
    <row r="120" spans="2:60">
      <c r="Q120" s="284" t="s">
        <v>435</v>
      </c>
      <c r="R120" s="91"/>
      <c r="S120" s="91"/>
      <c r="V120" s="60" t="s">
        <v>417</v>
      </c>
      <c r="W120" s="60" t="s">
        <v>418</v>
      </c>
      <c r="X120" s="60" t="s">
        <v>419</v>
      </c>
    </row>
    <row r="121" spans="2:60">
      <c r="B121" s="285"/>
      <c r="C121" s="285" t="s">
        <v>37</v>
      </c>
      <c r="D121" s="285" t="s">
        <v>421</v>
      </c>
      <c r="E121" s="285" t="s">
        <v>23</v>
      </c>
      <c r="F121" s="285" t="s">
        <v>24</v>
      </c>
      <c r="G121" s="285" t="s">
        <v>25</v>
      </c>
      <c r="H121" s="285" t="s">
        <v>26</v>
      </c>
      <c r="I121" s="285" t="s">
        <v>27</v>
      </c>
      <c r="J121" s="285" t="s">
        <v>28</v>
      </c>
      <c r="M121" s="285" t="s">
        <v>422</v>
      </c>
      <c r="N121" s="285" t="s">
        <v>423</v>
      </c>
      <c r="Q121" s="285" t="str">
        <f>C121</f>
        <v>Groep H</v>
      </c>
      <c r="R121" s="286"/>
      <c r="S121" s="286"/>
      <c r="T121" s="286"/>
      <c r="U121" s="286"/>
      <c r="V121" s="285" t="s">
        <v>424</v>
      </c>
      <c r="W121" s="285" t="s">
        <v>28</v>
      </c>
      <c r="X121" s="285" t="s">
        <v>26</v>
      </c>
      <c r="Y121" s="285" t="s">
        <v>425</v>
      </c>
      <c r="AA121" s="285" t="s">
        <v>422</v>
      </c>
      <c r="AD121" s="287">
        <f>Invulblad!A67</f>
        <v>15</v>
      </c>
      <c r="AE121" s="288">
        <f>Invulblad!C67</f>
        <v>40345.5625</v>
      </c>
      <c r="AF121" s="289">
        <f>Invulblad!D67</f>
        <v>40345.5625</v>
      </c>
      <c r="AG121" s="290" t="s">
        <v>29</v>
      </c>
      <c r="AH121" s="290" t="str">
        <f>RIGHT($Q$121,1)</f>
        <v>H</v>
      </c>
      <c r="AI121" s="291" t="str">
        <f>Toernooigegevens!F60</f>
        <v>H3</v>
      </c>
      <c r="AJ121" s="290" t="s">
        <v>29</v>
      </c>
      <c r="AK121" s="291" t="str">
        <f>Toernooigegevens!J60</f>
        <v>H4</v>
      </c>
      <c r="AL121" s="290" t="s">
        <v>426</v>
      </c>
      <c r="AM121" s="287">
        <f>Invulblad!G67</f>
        <v>0</v>
      </c>
      <c r="AN121" s="290" t="s">
        <v>29</v>
      </c>
      <c r="AO121" s="287">
        <f>Invulblad!I67</f>
        <v>1</v>
      </c>
      <c r="AQ121" s="285" t="s">
        <v>427</v>
      </c>
      <c r="AR121" s="286" t="s">
        <v>428</v>
      </c>
      <c r="AS121" s="285" t="s">
        <v>21</v>
      </c>
      <c r="AT121" s="286" t="s">
        <v>23</v>
      </c>
      <c r="AU121" s="286" t="s">
        <v>24</v>
      </c>
      <c r="AV121" s="286" t="s">
        <v>25</v>
      </c>
      <c r="AW121" s="286" t="s">
        <v>429</v>
      </c>
      <c r="AX121" s="286" t="s">
        <v>430</v>
      </c>
      <c r="AY121" s="285" t="s">
        <v>431</v>
      </c>
      <c r="AZ121" s="285" t="s">
        <v>429</v>
      </c>
      <c r="BA121" s="285" t="s">
        <v>432</v>
      </c>
      <c r="BB121" s="285" t="s">
        <v>431</v>
      </c>
      <c r="BC121" s="285" t="s">
        <v>433</v>
      </c>
      <c r="BE121" s="285" t="s">
        <v>428</v>
      </c>
      <c r="BF121" s="285"/>
      <c r="BG121" s="285"/>
      <c r="BH121" s="285" t="s">
        <v>422</v>
      </c>
    </row>
    <row r="122" spans="2:60">
      <c r="B122" s="70" t="str">
        <f>Toernooigegevens!M60</f>
        <v>H1</v>
      </c>
      <c r="C122" s="70" t="str">
        <f>Toernooigegevens!N60</f>
        <v>Spanje</v>
      </c>
      <c r="D122" s="70">
        <f>(E122*3)+(F122*1)</f>
        <v>6</v>
      </c>
      <c r="E122" s="70">
        <f>SUMPRODUCT((Invulblad!$F$67:$F$72=C122)*(Invulblad!$M$67:$M$72="1"))+SUMPRODUCT((Invulblad!$J$67:$J$72=C122)*(Invulblad!$M$67:$M$72=2))</f>
        <v>2</v>
      </c>
      <c r="F122" s="70">
        <f>SUMPRODUCT((Invulblad!$F$67:$F$72=C122)*(Invulblad!$M$67:$M$72=3))+SUMPRODUCT((Invulblad!$J$67:$J$72=C122)*(Invulblad!$M$67:$M$72=3))</f>
        <v>0</v>
      </c>
      <c r="G122" s="70">
        <f>SUMPRODUCT((Invulblad!$F$67:$F$72=C122)*(Invulblad!$M$67:$M$72=2))+SUMPRODUCT((Invulblad!$J$67:$J$72=C122)*(Invulblad!$M$67:$M$72="1"))</f>
        <v>1</v>
      </c>
      <c r="H122" s="70">
        <f>SUMIF(Invulblad!$J$67:$J$72,C122,Invulblad!$I$67:$I$72)+SUMIF(Invulblad!$F$67:$F$72,C122,Invulblad!$G$67:$G$72)</f>
        <v>4</v>
      </c>
      <c r="I122" s="70">
        <f>SUMIF(Invulblad!$J$67:$J$72,C122,Invulblad!$G$67:$G$72)+SUMIF(Invulblad!$F$67:$F$72,C122,Invulblad!$I$67:$I$72)</f>
        <v>2</v>
      </c>
      <c r="J122" s="70">
        <f>H122-I122</f>
        <v>2</v>
      </c>
      <c r="M122" s="72">
        <f>AA122</f>
        <v>1</v>
      </c>
      <c r="N122" s="129"/>
      <c r="O122" s="293"/>
      <c r="Q122" s="70">
        <v>4</v>
      </c>
      <c r="R122" s="70" t="str">
        <f>IF(SUM(E122:G122)&gt;0,"Ja","Nee")</f>
        <v>Ja</v>
      </c>
      <c r="S122" s="70">
        <f>IF(COUNTIF(R122:R125,"Ja")=4,-Q122,"")</f>
        <v>-4</v>
      </c>
      <c r="T122" s="70">
        <f>IF(S122&lt;&gt;"",(SUMPRODUCT(--(C122&lt;C122:C125))+1),"")</f>
        <v>2</v>
      </c>
      <c r="U122" s="70" t="str">
        <f>IF(SUM(E122:G122)=3,"Ja","Nee")</f>
        <v>Ja</v>
      </c>
      <c r="V122" s="70">
        <f>D122*$AA$3</f>
        <v>600000</v>
      </c>
      <c r="W122" s="70">
        <f>J122*$AA$4</f>
        <v>2000</v>
      </c>
      <c r="X122" s="70">
        <f>H122*$AA$5</f>
        <v>40</v>
      </c>
      <c r="Y122" s="70">
        <f>SUM(Q122:X122)</f>
        <v>602042</v>
      </c>
      <c r="AA122" s="72">
        <f>RANK(Y122,Y122:Y125)</f>
        <v>1</v>
      </c>
      <c r="AD122" s="287">
        <f>Invulblad!A68</f>
        <v>16</v>
      </c>
      <c r="AE122" s="288">
        <f>Invulblad!C68</f>
        <v>40345.666666666664</v>
      </c>
      <c r="AF122" s="289">
        <f>Invulblad!D68</f>
        <v>40345.666666666664</v>
      </c>
      <c r="AG122" s="290" t="s">
        <v>29</v>
      </c>
      <c r="AH122" s="290" t="str">
        <f>AH121</f>
        <v>H</v>
      </c>
      <c r="AI122" s="291" t="str">
        <f>Toernooigegevens!F61</f>
        <v>H1</v>
      </c>
      <c r="AJ122" s="290" t="s">
        <v>29</v>
      </c>
      <c r="AK122" s="291" t="str">
        <f>Toernooigegevens!J61</f>
        <v>H2</v>
      </c>
      <c r="AL122" s="290"/>
      <c r="AM122" s="287">
        <f>Invulblad!G68</f>
        <v>0</v>
      </c>
      <c r="AN122" s="290" t="s">
        <v>29</v>
      </c>
      <c r="AO122" s="287">
        <f>Invulblad!I68</f>
        <v>1</v>
      </c>
      <c r="AQ122" s="70" t="e">
        <f t="array" ref="AQ122:BC125">#N/A</f>
        <v>#N/A</v>
      </c>
      <c r="AR122" s="70" t="e">
        <v>#N/A</v>
      </c>
      <c r="AS122" s="70" t="e">
        <v>#N/A</v>
      </c>
      <c r="AT122" s="70" t="e">
        <v>#N/A</v>
      </c>
      <c r="AU122" s="70" t="e">
        <v>#N/A</v>
      </c>
      <c r="AV122" s="70" t="e">
        <v>#N/A</v>
      </c>
      <c r="AW122" s="70" t="e">
        <v>#N/A</v>
      </c>
      <c r="AX122" s="70" t="e">
        <v>#N/A</v>
      </c>
      <c r="AY122" s="70" t="e">
        <v>#N/A</v>
      </c>
      <c r="AZ122" s="70" t="e">
        <v>#N/A</v>
      </c>
      <c r="BA122" s="70" t="e">
        <v>#N/A</v>
      </c>
      <c r="BB122" s="70" t="e">
        <v>#N/A</v>
      </c>
      <c r="BC122" s="70" t="e">
        <v>#N/A</v>
      </c>
      <c r="BE122" s="72" t="str">
        <f t="shared" ref="BE122:BF125" si="7">B122</f>
        <v>H1</v>
      </c>
      <c r="BF122" s="294" t="str">
        <f t="shared" si="7"/>
        <v>Spanje</v>
      </c>
      <c r="BG122" s="65" t="e">
        <f>VALUE(RIGHT(INDEX(AQ122:AQ125,MATCH(BE122,AR122:AR125)),1))</f>
        <v>#N/A</v>
      </c>
      <c r="BH122" s="65" t="str">
        <f>IF(ISERROR(BG122),"L",BG122)</f>
        <v>L</v>
      </c>
    </row>
    <row r="123" spans="2:60">
      <c r="B123" s="80" t="str">
        <f>Toernooigegevens!M61</f>
        <v>H2</v>
      </c>
      <c r="C123" s="80" t="str">
        <f>Toernooigegevens!N61</f>
        <v>Zwitserland</v>
      </c>
      <c r="D123" s="80">
        <f>(E123*3)+(F123*1)</f>
        <v>4</v>
      </c>
      <c r="E123" s="80">
        <f>SUMPRODUCT((Invulblad!$F$67:$F$72=C123)*(Invulblad!$M$67:$M$72="1"))+SUMPRODUCT((Invulblad!$J$67:$J$72=C123)*(Invulblad!$M$67:$M$72=2))</f>
        <v>1</v>
      </c>
      <c r="F123" s="80">
        <f>SUMPRODUCT((Invulblad!$F$67:$F$72=C123)*(Invulblad!$M$67:$M$72=3))+SUMPRODUCT((Invulblad!$J$67:$J$72=C123)*(Invulblad!$M$67:$M$72=3))</f>
        <v>1</v>
      </c>
      <c r="G123" s="80">
        <f>SUMPRODUCT((Invulblad!$F$67:$F$72=C123)*(Invulblad!$M$67:$M$72=2))+SUMPRODUCT((Invulblad!$J$67:$J$72=C123)*(Invulblad!$M$67:$M$72="1"))</f>
        <v>1</v>
      </c>
      <c r="H123" s="80">
        <f>SUMIF(Invulblad!$J$67:$J$72,C123,Invulblad!$I$67:$I$72)+SUMIF(Invulblad!$F$67:$F$72,C123,Invulblad!$G$67:$G$72)</f>
        <v>1</v>
      </c>
      <c r="I123" s="80">
        <f>SUMIF(Invulblad!$J$67:$J$72,C123,Invulblad!$G$67:$G$72)+SUMIF(Invulblad!$F$67:$F$72,C123,Invulblad!$I$67:$I$72)</f>
        <v>1</v>
      </c>
      <c r="J123" s="80">
        <f>H123-I123</f>
        <v>0</v>
      </c>
      <c r="M123" s="72">
        <f>AA123</f>
        <v>3</v>
      </c>
      <c r="N123" s="136"/>
      <c r="O123" s="293"/>
      <c r="Q123" s="80">
        <v>3</v>
      </c>
      <c r="R123" s="80" t="str">
        <f>IF(SUM(E123:G123)&gt;0,"Ja","Nee")</f>
        <v>Ja</v>
      </c>
      <c r="S123" s="80">
        <f>IF(COUNTIF(R122:R125,"Ja")=4,-Q123,"")</f>
        <v>-3</v>
      </c>
      <c r="T123" s="80">
        <f>IF(S123&lt;&gt;"",(SUMPRODUCT(--(C123&lt;C122:C125))+1),"")</f>
        <v>1</v>
      </c>
      <c r="U123" s="80" t="str">
        <f>IF(SUM(E123:G123)=3,"Ja","Nee")</f>
        <v>Ja</v>
      </c>
      <c r="V123" s="80">
        <f>D123*$AA$3</f>
        <v>400000</v>
      </c>
      <c r="W123" s="80">
        <f>J123*$AA$4</f>
        <v>0</v>
      </c>
      <c r="X123" s="80">
        <f>H123*$AA$5</f>
        <v>10</v>
      </c>
      <c r="Y123" s="80">
        <f>SUM(Q123:X123)</f>
        <v>400011</v>
      </c>
      <c r="AA123" s="82">
        <f>RANK(Y123,Y122:Y125)</f>
        <v>3</v>
      </c>
      <c r="AD123" s="287">
        <f>Invulblad!A69</f>
        <v>31</v>
      </c>
      <c r="AE123" s="288">
        <f>Invulblad!C69</f>
        <v>40350.666666666664</v>
      </c>
      <c r="AF123" s="289">
        <f>Invulblad!D69</f>
        <v>40350.666666666664</v>
      </c>
      <c r="AG123" s="290" t="s">
        <v>29</v>
      </c>
      <c r="AH123" s="290" t="str">
        <f>AH122</f>
        <v>H</v>
      </c>
      <c r="AI123" s="291" t="str">
        <f>Toernooigegevens!F62</f>
        <v>H4</v>
      </c>
      <c r="AJ123" s="290" t="s">
        <v>29</v>
      </c>
      <c r="AK123" s="291" t="str">
        <f>Toernooigegevens!J62</f>
        <v>H2</v>
      </c>
      <c r="AL123" s="290"/>
      <c r="AM123" s="287">
        <f>Invulblad!G69</f>
        <v>1</v>
      </c>
      <c r="AN123" s="290" t="s">
        <v>29</v>
      </c>
      <c r="AO123" s="287">
        <f>Invulblad!I69</f>
        <v>0</v>
      </c>
      <c r="AQ123" s="80" t="e">
        <v>#N/A</v>
      </c>
      <c r="AR123" s="80" t="e">
        <v>#N/A</v>
      </c>
      <c r="AS123" s="80" t="e">
        <v>#N/A</v>
      </c>
      <c r="AT123" s="80" t="e">
        <v>#N/A</v>
      </c>
      <c r="AU123" s="80" t="e">
        <v>#N/A</v>
      </c>
      <c r="AV123" s="80" t="e">
        <v>#N/A</v>
      </c>
      <c r="AW123" s="80" t="e">
        <v>#N/A</v>
      </c>
      <c r="AX123" s="80" t="e">
        <v>#N/A</v>
      </c>
      <c r="AY123" s="80" t="e">
        <v>#N/A</v>
      </c>
      <c r="AZ123" s="80" t="e">
        <v>#N/A</v>
      </c>
      <c r="BA123" s="80" t="e">
        <v>#N/A</v>
      </c>
      <c r="BB123" s="80" t="e">
        <v>#N/A</v>
      </c>
      <c r="BC123" s="80" t="e">
        <v>#N/A</v>
      </c>
      <c r="BE123" s="82" t="str">
        <f t="shared" si="7"/>
        <v>H2</v>
      </c>
      <c r="BF123" s="295" t="str">
        <f t="shared" si="7"/>
        <v>Zwitserland</v>
      </c>
      <c r="BG123" s="75" t="e">
        <f>VALUE(RIGHT(INDEX(AQ122:AQ125,MATCH(BE123,AR122:AR125,0)),1))</f>
        <v>#N/A</v>
      </c>
      <c r="BH123" s="75" t="str">
        <f>IF(ISERROR(BG123),"L",BG123)</f>
        <v>L</v>
      </c>
    </row>
    <row r="124" spans="2:60">
      <c r="B124" s="70" t="str">
        <f>Toernooigegevens!M62</f>
        <v>H3</v>
      </c>
      <c r="C124" s="70" t="str">
        <f>Toernooigegevens!N62</f>
        <v>Honduras</v>
      </c>
      <c r="D124" s="70">
        <f>(E124*3)+(F124*1)</f>
        <v>1</v>
      </c>
      <c r="E124" s="70">
        <f>SUMPRODUCT((Invulblad!$F$67:$F$72=C124)*(Invulblad!$M$67:$M$72="1"))+SUMPRODUCT((Invulblad!$J$67:$J$72=C124)*(Invulblad!$M$67:$M$72=2))</f>
        <v>0</v>
      </c>
      <c r="F124" s="70">
        <f>SUMPRODUCT((Invulblad!$F$67:$F$72=C124)*(Invulblad!$M$67:$M$72=3))+SUMPRODUCT((Invulblad!$J$67:$J$72=C124)*(Invulblad!$M$67:$M$72=3))</f>
        <v>1</v>
      </c>
      <c r="G124" s="70">
        <f>SUMPRODUCT((Invulblad!$F$67:$F$72=C124)*(Invulblad!$M$67:$M$72=2))+SUMPRODUCT((Invulblad!$J$67:$J$72=C124)*(Invulblad!$M$67:$M$72="1"))</f>
        <v>2</v>
      </c>
      <c r="H124" s="70">
        <f>SUMIF(Invulblad!$J$67:$J$72,C124,Invulblad!$I$67:$I$72)+SUMIF(Invulblad!$F$67:$F$72,C124,Invulblad!$G$67:$G$72)</f>
        <v>0</v>
      </c>
      <c r="I124" s="70">
        <f>SUMIF(Invulblad!$J$67:$J$72,C124,Invulblad!$G$67:$G$72)+SUMIF(Invulblad!$F$67:$F$72,C124,Invulblad!$I$67:$I$72)</f>
        <v>3</v>
      </c>
      <c r="J124" s="70">
        <f>H124-I124</f>
        <v>-3</v>
      </c>
      <c r="M124" s="72">
        <f>AA124</f>
        <v>4</v>
      </c>
      <c r="N124" s="129"/>
      <c r="O124" s="293"/>
      <c r="Q124" s="70">
        <v>2</v>
      </c>
      <c r="R124" s="70" t="str">
        <f>IF(SUM(E124:G124)&gt;0,"Ja","Nee")</f>
        <v>Ja</v>
      </c>
      <c r="S124" s="70">
        <f>IF(COUNTIF(R122:R125,"Ja")=4,-Q124,"")</f>
        <v>-2</v>
      </c>
      <c r="T124" s="70">
        <f>IF(S124&lt;&gt;"",(SUMPRODUCT(--(C124&lt;C122:C125))+1),"")</f>
        <v>3</v>
      </c>
      <c r="U124" s="70" t="str">
        <f>IF(SUM(E124:G124)=3,"Ja","Nee")</f>
        <v>Ja</v>
      </c>
      <c r="V124" s="70">
        <f>D124*$AA$3</f>
        <v>100000</v>
      </c>
      <c r="W124" s="70">
        <f>J124*$AA$4</f>
        <v>-3000</v>
      </c>
      <c r="X124" s="70">
        <f>H124*$AA$5</f>
        <v>0</v>
      </c>
      <c r="Y124" s="70">
        <f>SUM(Q124:X124)</f>
        <v>97003</v>
      </c>
      <c r="AA124" s="72">
        <f>RANK(Y124,Y122:Y125)</f>
        <v>4</v>
      </c>
      <c r="AD124" s="287">
        <f>Invulblad!A70</f>
        <v>32</v>
      </c>
      <c r="AE124" s="288">
        <f>Invulblad!C70</f>
        <v>40350.854166666664</v>
      </c>
      <c r="AF124" s="289">
        <f>Invulblad!D70</f>
        <v>40350.854166666664</v>
      </c>
      <c r="AG124" s="290" t="s">
        <v>29</v>
      </c>
      <c r="AH124" s="290" t="str">
        <f>AH123</f>
        <v>H</v>
      </c>
      <c r="AI124" s="291" t="str">
        <f>Toernooigegevens!F63</f>
        <v>H1</v>
      </c>
      <c r="AJ124" s="290" t="s">
        <v>29</v>
      </c>
      <c r="AK124" s="291" t="str">
        <f>Toernooigegevens!J63</f>
        <v>H3</v>
      </c>
      <c r="AL124" s="290"/>
      <c r="AM124" s="287">
        <f>Invulblad!G70</f>
        <v>2</v>
      </c>
      <c r="AN124" s="290" t="s">
        <v>29</v>
      </c>
      <c r="AO124" s="287">
        <f>Invulblad!I70</f>
        <v>0</v>
      </c>
      <c r="AQ124" s="70" t="e">
        <v>#N/A</v>
      </c>
      <c r="AR124" s="70" t="e">
        <v>#N/A</v>
      </c>
      <c r="AS124" s="70" t="e">
        <v>#N/A</v>
      </c>
      <c r="AT124" s="70" t="e">
        <v>#N/A</v>
      </c>
      <c r="AU124" s="70" t="e">
        <v>#N/A</v>
      </c>
      <c r="AV124" s="70" t="e">
        <v>#N/A</v>
      </c>
      <c r="AW124" s="70" t="e">
        <v>#N/A</v>
      </c>
      <c r="AX124" s="70" t="e">
        <v>#N/A</v>
      </c>
      <c r="AY124" s="70" t="e">
        <v>#N/A</v>
      </c>
      <c r="AZ124" s="70" t="e">
        <v>#N/A</v>
      </c>
      <c r="BA124" s="70" t="e">
        <v>#N/A</v>
      </c>
      <c r="BB124" s="70" t="e">
        <v>#N/A</v>
      </c>
      <c r="BC124" s="70" t="e">
        <v>#N/A</v>
      </c>
      <c r="BE124" s="72" t="str">
        <f t="shared" si="7"/>
        <v>H3</v>
      </c>
      <c r="BF124" s="294" t="str">
        <f t="shared" si="7"/>
        <v>Honduras</v>
      </c>
      <c r="BG124" s="65" t="e">
        <f>VALUE(RIGHT(INDEX(AQ122:AQ125,MATCH(BE124,AR122:AR125,0)),1))</f>
        <v>#N/A</v>
      </c>
      <c r="BH124" s="65" t="str">
        <f>IF(ISERROR(BG124),"L",BG124)</f>
        <v>L</v>
      </c>
    </row>
    <row r="125" spans="2:60">
      <c r="B125" s="80" t="str">
        <f>Toernooigegevens!M63</f>
        <v>H4</v>
      </c>
      <c r="C125" s="80" t="str">
        <f>Toernooigegevens!N63</f>
        <v>Chili</v>
      </c>
      <c r="D125" s="80">
        <f>(E125*3)+(F125*1)</f>
        <v>6</v>
      </c>
      <c r="E125" s="80">
        <f>SUMPRODUCT((Invulblad!$F$67:$F$72=C125)*(Invulblad!$M$67:$M$72="1"))+SUMPRODUCT((Invulblad!$J$67:$J$72=C125)*(Invulblad!$M$67:$M$72=2))</f>
        <v>2</v>
      </c>
      <c r="F125" s="80">
        <f>SUMPRODUCT((Invulblad!$F$67:$F$72=C125)*(Invulblad!$M$67:$M$72=3))+SUMPRODUCT((Invulblad!$J$67:$J$72=C125)*(Invulblad!$M$67:$M$72=3))</f>
        <v>0</v>
      </c>
      <c r="G125" s="80">
        <f>SUMPRODUCT((Invulblad!$F$67:$F$72=C125)*(Invulblad!$M$67:$M$72=2))+SUMPRODUCT((Invulblad!$J$67:$J$72=C125)*(Invulblad!$M$67:$M$72="1"))</f>
        <v>1</v>
      </c>
      <c r="H125" s="80">
        <f>SUMIF(Invulblad!$J$67:$J$72,C125,Invulblad!$I$67:$I$72)+SUMIF(Invulblad!$F$67:$F$72,C125,Invulblad!$G$67:$G$72)</f>
        <v>3</v>
      </c>
      <c r="I125" s="80">
        <f>SUMIF(Invulblad!$J$67:$J$72,C125,Invulblad!$G$67:$G$72)+SUMIF(Invulblad!$F$67:$F$72,C125,Invulblad!$I$67:$I$72)</f>
        <v>2</v>
      </c>
      <c r="J125" s="80">
        <f>H125-I125</f>
        <v>1</v>
      </c>
      <c r="M125" s="72">
        <f>AA125</f>
        <v>2</v>
      </c>
      <c r="N125" s="136"/>
      <c r="O125" s="293"/>
      <c r="Q125" s="80">
        <v>1</v>
      </c>
      <c r="R125" s="80" t="str">
        <f>IF(SUM(E125:G125)&gt;0,"Ja","Nee")</f>
        <v>Ja</v>
      </c>
      <c r="S125" s="80">
        <f>IF(COUNTIF(R122:R125,"Ja")=4,-Q125,"")</f>
        <v>-1</v>
      </c>
      <c r="T125" s="80">
        <f>IF(S125&lt;&gt;"",(SUMPRODUCT(--(C125&lt;C122:C125))+1),"")</f>
        <v>4</v>
      </c>
      <c r="U125" s="80" t="str">
        <f>IF(SUM(E125:G125)=3,"Ja","Nee")</f>
        <v>Ja</v>
      </c>
      <c r="V125" s="80">
        <f>D125*$AA$3</f>
        <v>600000</v>
      </c>
      <c r="W125" s="80">
        <f>J125*$AA$4</f>
        <v>1000</v>
      </c>
      <c r="X125" s="80">
        <f>H125*$AA$5</f>
        <v>30</v>
      </c>
      <c r="Y125" s="80">
        <f>SUM(Q125:X125)</f>
        <v>601034</v>
      </c>
      <c r="AA125" s="82">
        <f>RANK(Y125,Y122:Y125)</f>
        <v>2</v>
      </c>
      <c r="AD125" s="287">
        <f>Invulblad!A71</f>
        <v>47</v>
      </c>
      <c r="AE125" s="288">
        <f>Invulblad!C71</f>
        <v>40354.854166666664</v>
      </c>
      <c r="AF125" s="289">
        <f>Invulblad!D71</f>
        <v>40354.854166666664</v>
      </c>
      <c r="AG125" s="290" t="s">
        <v>29</v>
      </c>
      <c r="AH125" s="290" t="str">
        <f>AH124</f>
        <v>H</v>
      </c>
      <c r="AI125" s="291" t="str">
        <f>Toernooigegevens!F64</f>
        <v>H4</v>
      </c>
      <c r="AJ125" s="290" t="s">
        <v>29</v>
      </c>
      <c r="AK125" s="291" t="str">
        <f>Toernooigegevens!J64</f>
        <v>H1</v>
      </c>
      <c r="AL125" s="290"/>
      <c r="AM125" s="287">
        <f>Invulblad!G71</f>
        <v>1</v>
      </c>
      <c r="AN125" s="290" t="s">
        <v>29</v>
      </c>
      <c r="AO125" s="287">
        <f>Invulblad!I71</f>
        <v>2</v>
      </c>
      <c r="AQ125" s="80" t="e">
        <v>#N/A</v>
      </c>
      <c r="AR125" s="80" t="e">
        <v>#N/A</v>
      </c>
      <c r="AS125" s="80" t="e">
        <v>#N/A</v>
      </c>
      <c r="AT125" s="80" t="e">
        <v>#N/A</v>
      </c>
      <c r="AU125" s="80" t="e">
        <v>#N/A</v>
      </c>
      <c r="AV125" s="80" t="e">
        <v>#N/A</v>
      </c>
      <c r="AW125" s="80" t="e">
        <v>#N/A</v>
      </c>
      <c r="AX125" s="80" t="e">
        <v>#N/A</v>
      </c>
      <c r="AY125" s="80" t="e">
        <v>#N/A</v>
      </c>
      <c r="AZ125" s="80" t="e">
        <v>#N/A</v>
      </c>
      <c r="BA125" s="80" t="e">
        <v>#N/A</v>
      </c>
      <c r="BB125" s="80" t="e">
        <v>#N/A</v>
      </c>
      <c r="BC125" s="80" t="e">
        <v>#N/A</v>
      </c>
      <c r="BE125" s="82" t="str">
        <f t="shared" si="7"/>
        <v>H4</v>
      </c>
      <c r="BF125" s="295" t="str">
        <f t="shared" si="7"/>
        <v>Chili</v>
      </c>
      <c r="BG125" s="75" t="e">
        <f>VALUE(RIGHT(INDEX(AQ122:AQ125,MATCH(BE125,AR122:AR125,0)),1))</f>
        <v>#N/A</v>
      </c>
      <c r="BH125" s="75" t="str">
        <f>IF(ISERROR(BG125),"L",BG125)</f>
        <v>L</v>
      </c>
    </row>
    <row r="126" spans="2:60">
      <c r="AD126" s="287">
        <f>Invulblad!A72</f>
        <v>48</v>
      </c>
      <c r="AE126" s="288">
        <f>Invulblad!C72</f>
        <v>40354.854166666664</v>
      </c>
      <c r="AF126" s="289">
        <f>Invulblad!D72</f>
        <v>40354.854166666664</v>
      </c>
      <c r="AG126" s="290" t="s">
        <v>29</v>
      </c>
      <c r="AH126" s="290" t="str">
        <f>AH125</f>
        <v>H</v>
      </c>
      <c r="AI126" s="291" t="str">
        <f>Toernooigegevens!F65</f>
        <v>H2</v>
      </c>
      <c r="AJ126" s="290" t="s">
        <v>29</v>
      </c>
      <c r="AK126" s="291" t="str">
        <f>Toernooigegevens!J65</f>
        <v>H3</v>
      </c>
      <c r="AL126" s="290"/>
      <c r="AM126" s="287">
        <f>Invulblad!G72</f>
        <v>0</v>
      </c>
      <c r="AN126" s="290" t="s">
        <v>29</v>
      </c>
      <c r="AO126" s="287">
        <f>Invulblad!I72</f>
        <v>0</v>
      </c>
    </row>
    <row r="127" spans="2:60" hidden="1">
      <c r="AD127" s="287"/>
      <c r="AE127" s="288"/>
      <c r="AF127" s="289"/>
      <c r="AG127" s="290"/>
      <c r="AH127" s="290"/>
      <c r="AI127" s="291"/>
      <c r="AJ127" s="290"/>
      <c r="AK127" s="291"/>
      <c r="AL127" s="290"/>
      <c r="AM127" s="287"/>
      <c r="AN127" s="290"/>
      <c r="AO127" s="287"/>
    </row>
    <row r="128" spans="2:60" ht="12.75" hidden="1">
      <c r="AD128" s="296"/>
      <c r="AE128" s="296"/>
      <c r="AH128" s="296"/>
      <c r="AI128" s="296" t="s">
        <v>434</v>
      </c>
      <c r="AJ128" s="297"/>
      <c r="AQ128" s="297"/>
      <c r="AR128" s="297"/>
      <c r="AS128" s="297"/>
      <c r="AT128" s="297"/>
      <c r="AU128" s="297"/>
      <c r="AV128" s="297"/>
      <c r="AW128" s="297"/>
      <c r="AX128" s="297"/>
      <c r="AY128" s="297"/>
      <c r="AZ128" s="297"/>
      <c r="BA128" s="297"/>
      <c r="BB128" s="297"/>
      <c r="BC128" s="297"/>
    </row>
    <row r="129" spans="30:55" ht="12.75" hidden="1">
      <c r="AD129" s="296"/>
      <c r="AE129" s="296"/>
      <c r="AH129" s="297" t="str">
        <f>AH121</f>
        <v>H</v>
      </c>
      <c r="AI129" s="296" t="str">
        <f>Toernooigegevens!M60</f>
        <v>H1</v>
      </c>
      <c r="AQ129" s="297"/>
      <c r="AR129" s="297"/>
      <c r="AS129" s="297"/>
      <c r="AT129" s="297"/>
      <c r="AU129" s="297"/>
      <c r="AV129" s="297"/>
      <c r="AW129" s="297"/>
      <c r="AX129" s="297"/>
      <c r="AY129" s="297"/>
      <c r="AZ129" s="297"/>
      <c r="BA129" s="297"/>
      <c r="BB129" s="297"/>
      <c r="BC129" s="297"/>
    </row>
    <row r="130" spans="30:55" ht="12.75" hidden="1">
      <c r="AD130" s="296"/>
      <c r="AE130" s="296"/>
      <c r="AH130" s="297" t="str">
        <f>AH122</f>
        <v>H</v>
      </c>
      <c r="AI130" s="296" t="str">
        <f>Toernooigegevens!M61</f>
        <v>H2</v>
      </c>
      <c r="AQ130" s="297"/>
      <c r="AR130" s="297"/>
      <c r="AS130" s="297"/>
      <c r="AT130" s="297"/>
      <c r="AU130" s="297"/>
      <c r="AV130" s="297"/>
      <c r="AW130" s="297"/>
      <c r="AX130" s="297"/>
      <c r="AY130" s="297"/>
      <c r="AZ130" s="297"/>
      <c r="BA130" s="297"/>
      <c r="BB130" s="297"/>
      <c r="BC130" s="297"/>
    </row>
    <row r="131" spans="30:55" ht="12.75" hidden="1">
      <c r="AD131" s="296"/>
      <c r="AE131" s="296"/>
      <c r="AH131" s="297" t="str">
        <f>AH123</f>
        <v>H</v>
      </c>
      <c r="AI131" s="296" t="str">
        <f>Toernooigegevens!M62</f>
        <v>H3</v>
      </c>
      <c r="AQ131" s="364"/>
      <c r="AR131" s="364"/>
      <c r="AS131" s="364"/>
      <c r="AT131" s="364"/>
      <c r="AU131" s="364"/>
      <c r="AV131" s="364"/>
      <c r="AW131" s="364"/>
      <c r="AX131" s="364"/>
      <c r="AY131" s="364"/>
      <c r="AZ131" s="364"/>
      <c r="BA131" s="364"/>
      <c r="BB131" s="364"/>
      <c r="BC131" s="364"/>
    </row>
    <row r="132" spans="30:55" ht="12.75" hidden="1">
      <c r="AD132" s="296"/>
      <c r="AE132" s="296"/>
      <c r="AH132" s="297" t="str">
        <f>AH124</f>
        <v>H</v>
      </c>
      <c r="AI132" s="296" t="str">
        <f>Toernooigegevens!M63</f>
        <v>H4</v>
      </c>
      <c r="AQ132" s="364"/>
      <c r="AR132" s="364"/>
      <c r="AS132" s="364"/>
      <c r="AT132" s="364"/>
      <c r="AU132" s="364"/>
      <c r="AV132" s="364"/>
      <c r="AW132" s="364"/>
      <c r="AX132" s="364"/>
      <c r="AY132" s="364"/>
      <c r="AZ132" s="364"/>
      <c r="BA132" s="364"/>
      <c r="BB132" s="364"/>
      <c r="BC132" s="364"/>
    </row>
  </sheetData>
  <sheetProtection selectLockedCells="1" selectUnlockedCells="1"/>
  <mergeCells count="17">
    <mergeCell ref="AQ102:BC102"/>
    <mergeCell ref="AQ116:BC116"/>
    <mergeCell ref="AQ117:BC117"/>
    <mergeCell ref="AQ131:BC131"/>
    <mergeCell ref="AQ132:BC132"/>
    <mergeCell ref="AQ101:BC101"/>
    <mergeCell ref="Z2:AA2"/>
    <mergeCell ref="AQ26:BC26"/>
    <mergeCell ref="AQ27:BC27"/>
    <mergeCell ref="AQ41:BC41"/>
    <mergeCell ref="AQ42:BC42"/>
    <mergeCell ref="AQ56:BC56"/>
    <mergeCell ref="AQ57:BC57"/>
    <mergeCell ref="AQ71:BC71"/>
    <mergeCell ref="AQ72:BC72"/>
    <mergeCell ref="AQ86:BC86"/>
    <mergeCell ref="AQ87:BC87"/>
  </mergeCells>
  <conditionalFormatting sqref="M17:M20 M32:M35 M47:M50 M62:M65 M77:M80 M92:M95 M107:M110 M122:M125">
    <cfRule type="cellIs" dxfId="1" priority="1" stopIfTrue="1" operator="equal">
      <formula>"L"</formula>
    </cfRule>
  </conditionalFormatting>
  <pageMargins left="0.75" right="0.75" top="1" bottom="1" header="0.51180555555555551" footer="0.51180555555555551"/>
  <pageSetup paperSize="9" firstPageNumber="0" orientation="portrait" horizontalDpi="300" verticalDpi="300"/>
  <headerFooter alignWithMargins="0"/>
  <drawing r:id="rId1"/>
  <legacyDrawing r:id="rId2"/>
</worksheet>
</file>

<file path=xl/worksheets/sheet32.xml><?xml version="1.0" encoding="utf-8"?>
<worksheet xmlns="http://schemas.openxmlformats.org/spreadsheetml/2006/main" xmlns:r="http://schemas.openxmlformats.org/officeDocument/2006/relationships">
  <dimension ref="A1:W97"/>
  <sheetViews>
    <sheetView workbookViewId="0">
      <selection activeCell="M14" sqref="M14"/>
    </sheetView>
  </sheetViews>
  <sheetFormatPr defaultColWidth="0" defaultRowHeight="12.75" zeroHeight="1"/>
  <cols>
    <col min="1" max="1" width="1.5703125" style="10" customWidth="1"/>
    <col min="2" max="2" width="3" style="53" customWidth="1"/>
    <col min="3" max="3" width="3.28515625" style="50" customWidth="1"/>
    <col min="4" max="4" width="5.42578125" style="49" customWidth="1"/>
    <col min="5" max="5" width="4.85546875" style="50" customWidth="1"/>
    <col min="6" max="6" width="4.140625" style="50" customWidth="1"/>
    <col min="7" max="7" width="13.140625" style="50" customWidth="1"/>
    <col min="8" max="8" width="1.5703125" style="50" customWidth="1"/>
    <col min="9" max="9" width="13.140625" style="50" customWidth="1"/>
    <col min="10" max="10" width="4.140625" style="50" customWidth="1"/>
    <col min="11" max="11" width="1.5703125" style="50" customWidth="1"/>
    <col min="12" max="12" width="1.5703125" style="32" customWidth="1"/>
    <col min="13" max="13" width="3" style="10" customWidth="1"/>
    <col min="14" max="14" width="13.140625" style="10" customWidth="1"/>
    <col min="15" max="15" width="1.5703125" style="9" customWidth="1"/>
    <col min="16" max="16384" width="0" style="4" hidden="1"/>
  </cols>
  <sheetData>
    <row r="1" spans="1:23" ht="18">
      <c r="A1" s="9"/>
      <c r="B1" s="299" t="s">
        <v>436</v>
      </c>
      <c r="C1" s="300"/>
      <c r="D1" s="160"/>
      <c r="E1" s="159"/>
      <c r="F1" s="301"/>
      <c r="G1" s="159"/>
      <c r="H1" s="159"/>
      <c r="I1" s="159"/>
      <c r="J1" s="159"/>
      <c r="K1" s="159"/>
      <c r="L1" s="302"/>
      <c r="M1" s="9"/>
      <c r="N1" s="303"/>
      <c r="O1" s="304"/>
    </row>
    <row r="2" spans="1:23">
      <c r="A2" s="9"/>
      <c r="D2" s="160"/>
      <c r="E2" s="159"/>
      <c r="F2" s="301"/>
      <c r="G2" s="159"/>
      <c r="H2" s="159"/>
      <c r="I2" s="159"/>
      <c r="J2" s="159"/>
      <c r="K2" s="159"/>
      <c r="L2" s="302"/>
      <c r="M2" s="9"/>
      <c r="N2" s="9"/>
    </row>
    <row r="3" spans="1:23" s="309" customFormat="1" ht="11.25">
      <c r="A3" s="305"/>
      <c r="B3" s="366" t="s">
        <v>19</v>
      </c>
      <c r="C3" s="366"/>
      <c r="D3" s="366"/>
      <c r="E3" s="366"/>
      <c r="F3" s="366"/>
      <c r="G3" s="366"/>
      <c r="H3" s="366"/>
      <c r="I3" s="366"/>
      <c r="J3" s="366"/>
      <c r="K3" s="305"/>
      <c r="L3" s="306"/>
      <c r="M3" s="365" t="s">
        <v>19</v>
      </c>
      <c r="N3" s="365"/>
      <c r="O3" s="307"/>
      <c r="P3" s="308"/>
      <c r="Q3" s="308"/>
      <c r="R3" s="308"/>
      <c r="S3" s="308"/>
      <c r="T3" s="308"/>
      <c r="U3" s="308"/>
      <c r="V3" s="308"/>
      <c r="W3" s="309" t="s">
        <v>124</v>
      </c>
    </row>
    <row r="4" spans="1:23" s="309" customFormat="1" ht="11.25">
      <c r="A4" s="305"/>
      <c r="B4" s="275">
        <v>1</v>
      </c>
      <c r="C4" s="310">
        <v>40340.666666666664</v>
      </c>
      <c r="D4" s="311">
        <v>40340.666666666664</v>
      </c>
      <c r="E4" s="312">
        <v>40340.666666666664</v>
      </c>
      <c r="F4" s="313" t="s">
        <v>73</v>
      </c>
      <c r="G4" s="74" t="str">
        <f>VLOOKUP(F4,M4:N7,2,0)</f>
        <v>Zuid-Afrika</v>
      </c>
      <c r="H4" s="74" t="s">
        <v>29</v>
      </c>
      <c r="I4" s="74" t="str">
        <f>VLOOKUP(J4,M4:N7,2,0)</f>
        <v>Mexico</v>
      </c>
      <c r="J4" s="313" t="s">
        <v>74</v>
      </c>
      <c r="K4" s="305"/>
      <c r="L4" s="314"/>
      <c r="M4" s="74" t="s">
        <v>73</v>
      </c>
      <c r="N4" s="315" t="s">
        <v>107</v>
      </c>
      <c r="O4" s="305"/>
      <c r="W4" s="309" t="s">
        <v>126</v>
      </c>
    </row>
    <row r="5" spans="1:23" s="309" customFormat="1" ht="11.25">
      <c r="A5" s="305"/>
      <c r="B5" s="274">
        <v>2</v>
      </c>
      <c r="C5" s="316">
        <v>40340.854166666664</v>
      </c>
      <c r="D5" s="317">
        <v>40340.854166666664</v>
      </c>
      <c r="E5" s="318">
        <v>40340.854166666664</v>
      </c>
      <c r="F5" s="319" t="s">
        <v>437</v>
      </c>
      <c r="G5" s="84" t="str">
        <f>VLOOKUP(F5,M4:N7,2,0)</f>
        <v>Uruguay</v>
      </c>
      <c r="H5" s="84" t="s">
        <v>29</v>
      </c>
      <c r="I5" s="84" t="str">
        <f>VLOOKUP(J5,M4:N7,2,0)</f>
        <v>Frankrijk</v>
      </c>
      <c r="J5" s="319" t="s">
        <v>438</v>
      </c>
      <c r="K5" s="305"/>
      <c r="L5" s="314"/>
      <c r="M5" s="84" t="s">
        <v>74</v>
      </c>
      <c r="N5" s="320" t="s">
        <v>214</v>
      </c>
      <c r="O5" s="305"/>
      <c r="W5" s="309" t="s">
        <v>128</v>
      </c>
    </row>
    <row r="6" spans="1:23" s="309" customFormat="1" ht="11.25">
      <c r="A6" s="305"/>
      <c r="B6" s="275">
        <v>17</v>
      </c>
      <c r="C6" s="310">
        <v>40345.854166666664</v>
      </c>
      <c r="D6" s="311">
        <v>40345.854166666664</v>
      </c>
      <c r="E6" s="312">
        <v>40345.854166666664</v>
      </c>
      <c r="F6" s="313" t="s">
        <v>73</v>
      </c>
      <c r="G6" s="74" t="str">
        <f>VLOOKUP(F6,M4:N7,2,0)</f>
        <v>Zuid-Afrika</v>
      </c>
      <c r="H6" s="74" t="s">
        <v>29</v>
      </c>
      <c r="I6" s="74" t="str">
        <f>VLOOKUP(J6,M4:N7,2,0)</f>
        <v>Uruguay</v>
      </c>
      <c r="J6" s="313" t="s">
        <v>437</v>
      </c>
      <c r="K6" s="305"/>
      <c r="L6" s="314"/>
      <c r="M6" s="74" t="s">
        <v>437</v>
      </c>
      <c r="N6" s="315" t="s">
        <v>109</v>
      </c>
      <c r="O6" s="305"/>
      <c r="W6" s="309" t="s">
        <v>32</v>
      </c>
    </row>
    <row r="7" spans="1:23" s="309" customFormat="1" ht="11.25">
      <c r="A7" s="305"/>
      <c r="B7" s="274">
        <v>18</v>
      </c>
      <c r="C7" s="316">
        <v>40346.854166666664</v>
      </c>
      <c r="D7" s="317">
        <v>40346.854166666664</v>
      </c>
      <c r="E7" s="318">
        <v>40346.854166666664</v>
      </c>
      <c r="F7" s="319" t="s">
        <v>438</v>
      </c>
      <c r="G7" s="84" t="str">
        <f>VLOOKUP(F7,M4:N7,2,0)</f>
        <v>Frankrijk</v>
      </c>
      <c r="H7" s="84" t="s">
        <v>29</v>
      </c>
      <c r="I7" s="84" t="str">
        <f>VLOOKUP(J7,M4:N7,2,0)</f>
        <v>Mexico</v>
      </c>
      <c r="J7" s="319" t="s">
        <v>74</v>
      </c>
      <c r="K7" s="305"/>
      <c r="L7" s="314"/>
      <c r="M7" s="84" t="s">
        <v>438</v>
      </c>
      <c r="N7" s="320" t="s">
        <v>205</v>
      </c>
      <c r="O7" s="305"/>
      <c r="W7" s="309" t="s">
        <v>239</v>
      </c>
    </row>
    <row r="8" spans="1:23" s="309" customFormat="1" ht="11.25">
      <c r="A8" s="305"/>
      <c r="B8" s="275">
        <v>33</v>
      </c>
      <c r="C8" s="310">
        <v>40351.666666666664</v>
      </c>
      <c r="D8" s="311">
        <v>40351.666666666664</v>
      </c>
      <c r="E8" s="312">
        <v>40351.666666666664</v>
      </c>
      <c r="F8" s="313" t="s">
        <v>74</v>
      </c>
      <c r="G8" s="74" t="str">
        <f>VLOOKUP(F8,M4:N7,2,0)</f>
        <v>Mexico</v>
      </c>
      <c r="H8" s="74" t="s">
        <v>29</v>
      </c>
      <c r="I8" s="74" t="str">
        <f>VLOOKUP(J8,M4:N7,2,0)</f>
        <v>Uruguay</v>
      </c>
      <c r="J8" s="313" t="s">
        <v>437</v>
      </c>
      <c r="K8" s="305"/>
      <c r="L8" s="314"/>
      <c r="M8" s="305"/>
      <c r="N8" s="305"/>
      <c r="O8" s="305"/>
      <c r="W8" s="309" t="s">
        <v>240</v>
      </c>
    </row>
    <row r="9" spans="1:23" s="309" customFormat="1" ht="11.25">
      <c r="A9" s="305"/>
      <c r="B9" s="274">
        <v>34</v>
      </c>
      <c r="C9" s="316">
        <v>40351.666666666664</v>
      </c>
      <c r="D9" s="317">
        <v>40351.666666666664</v>
      </c>
      <c r="E9" s="318">
        <v>40351.666666666664</v>
      </c>
      <c r="F9" s="319" t="s">
        <v>438</v>
      </c>
      <c r="G9" s="84" t="str">
        <f>VLOOKUP(F9,M4:N7,2,0)</f>
        <v>Frankrijk</v>
      </c>
      <c r="H9" s="84" t="s">
        <v>29</v>
      </c>
      <c r="I9" s="84" t="str">
        <f>VLOOKUP(J9,M4:N7,2,0)</f>
        <v>Zuid-Afrika</v>
      </c>
      <c r="J9" s="319" t="s">
        <v>73</v>
      </c>
      <c r="K9" s="305"/>
      <c r="L9" s="314"/>
      <c r="M9" s="305"/>
      <c r="N9" s="305"/>
      <c r="O9" s="305"/>
      <c r="W9" s="309" t="s">
        <v>244</v>
      </c>
    </row>
    <row r="10" spans="1:23" s="309" customFormat="1" ht="11.25">
      <c r="A10" s="305"/>
      <c r="B10" s="321"/>
      <c r="C10" s="322"/>
      <c r="D10" s="323"/>
      <c r="E10" s="324"/>
      <c r="F10" s="131"/>
      <c r="G10" s="322"/>
      <c r="H10" s="322"/>
      <c r="I10" s="322"/>
      <c r="J10" s="131"/>
      <c r="K10" s="305"/>
      <c r="L10" s="314"/>
      <c r="M10" s="305"/>
      <c r="N10" s="305"/>
      <c r="O10" s="305"/>
      <c r="W10" s="309" t="s">
        <v>242</v>
      </c>
    </row>
    <row r="11" spans="1:23" s="309" customFormat="1" ht="11.25">
      <c r="A11" s="305"/>
      <c r="B11" s="366" t="s">
        <v>30</v>
      </c>
      <c r="C11" s="366"/>
      <c r="D11" s="366"/>
      <c r="E11" s="366"/>
      <c r="F11" s="366"/>
      <c r="G11" s="366"/>
      <c r="H11" s="366"/>
      <c r="I11" s="366"/>
      <c r="J11" s="366"/>
      <c r="K11" s="305"/>
      <c r="L11" s="306"/>
      <c r="M11" s="365" t="s">
        <v>30</v>
      </c>
      <c r="N11" s="365"/>
      <c r="O11" s="305"/>
      <c r="P11" s="308"/>
      <c r="Q11" s="308"/>
      <c r="R11" s="308"/>
      <c r="S11" s="308"/>
      <c r="T11" s="308"/>
      <c r="U11" s="308"/>
      <c r="V11" s="308"/>
      <c r="W11" s="309" t="s">
        <v>122</v>
      </c>
    </row>
    <row r="12" spans="1:23" s="309" customFormat="1" ht="11.25">
      <c r="A12" s="305"/>
      <c r="B12" s="275">
        <v>3</v>
      </c>
      <c r="C12" s="310">
        <v>40341.666666666664</v>
      </c>
      <c r="D12" s="311">
        <v>40341.666666666664</v>
      </c>
      <c r="E12" s="312">
        <v>40341.666666666664</v>
      </c>
      <c r="F12" s="313" t="s">
        <v>75</v>
      </c>
      <c r="G12" s="74" t="str">
        <f>VLOOKUP(F12,M12:N15,2,0)</f>
        <v>Argentinië</v>
      </c>
      <c r="H12" s="74" t="s">
        <v>29</v>
      </c>
      <c r="I12" s="74" t="str">
        <f>VLOOKUP(J12,M12:N15,2,0)</f>
        <v>Nigeria</v>
      </c>
      <c r="J12" s="313" t="s">
        <v>76</v>
      </c>
      <c r="K12" s="305"/>
      <c r="L12" s="314"/>
      <c r="M12" s="74" t="s">
        <v>75</v>
      </c>
      <c r="N12" s="315" t="s">
        <v>116</v>
      </c>
      <c r="O12" s="305"/>
      <c r="W12" s="309" t="s">
        <v>120</v>
      </c>
    </row>
    <row r="13" spans="1:23" s="309" customFormat="1" ht="11.25">
      <c r="A13" s="305"/>
      <c r="B13" s="274">
        <v>4</v>
      </c>
      <c r="C13" s="316">
        <v>40341.5625</v>
      </c>
      <c r="D13" s="317">
        <v>40341.5625</v>
      </c>
      <c r="E13" s="318">
        <v>40341.5625</v>
      </c>
      <c r="F13" s="319" t="s">
        <v>439</v>
      </c>
      <c r="G13" s="84" t="str">
        <f>VLOOKUP(F13,M12:N15,2,0)</f>
        <v>Zuid-Korea</v>
      </c>
      <c r="H13" s="84" t="s">
        <v>29</v>
      </c>
      <c r="I13" s="84" t="str">
        <f>VLOOKUP(J13,M12:N15,2,0)</f>
        <v>Griekenland</v>
      </c>
      <c r="J13" s="319" t="s">
        <v>440</v>
      </c>
      <c r="K13" s="305"/>
      <c r="L13" s="314"/>
      <c r="M13" s="84" t="s">
        <v>76</v>
      </c>
      <c r="N13" s="320" t="s">
        <v>122</v>
      </c>
      <c r="O13" s="305"/>
      <c r="W13" s="309" t="s">
        <v>118</v>
      </c>
    </row>
    <row r="14" spans="1:23" s="309" customFormat="1" ht="11.25">
      <c r="A14" s="305"/>
      <c r="B14" s="275">
        <v>19</v>
      </c>
      <c r="C14" s="310">
        <v>40346.666666666664</v>
      </c>
      <c r="D14" s="311">
        <v>40346.666666666664</v>
      </c>
      <c r="E14" s="312">
        <v>40346.666666666664</v>
      </c>
      <c r="F14" s="313" t="s">
        <v>440</v>
      </c>
      <c r="G14" s="74" t="str">
        <f>VLOOKUP(F14,M12:N15,2,0)</f>
        <v>Griekenland</v>
      </c>
      <c r="H14" s="74" t="s">
        <v>29</v>
      </c>
      <c r="I14" s="74" t="str">
        <f>VLOOKUP(J14,M12:N15,2,0)</f>
        <v>Nigeria</v>
      </c>
      <c r="J14" s="313" t="s">
        <v>76</v>
      </c>
      <c r="K14" s="305"/>
      <c r="L14" s="314"/>
      <c r="M14" s="74" t="s">
        <v>439</v>
      </c>
      <c r="N14" s="315" t="s">
        <v>118</v>
      </c>
      <c r="O14" s="305"/>
      <c r="W14" s="309" t="s">
        <v>116</v>
      </c>
    </row>
    <row r="15" spans="1:23" s="309" customFormat="1" ht="11.25">
      <c r="A15" s="305"/>
      <c r="B15" s="274">
        <v>20</v>
      </c>
      <c r="C15" s="316">
        <v>40346.5625</v>
      </c>
      <c r="D15" s="317">
        <v>40346.5625</v>
      </c>
      <c r="E15" s="318">
        <v>40346.5625</v>
      </c>
      <c r="F15" s="319" t="s">
        <v>75</v>
      </c>
      <c r="G15" s="84" t="str">
        <f>VLOOKUP(F15,M12:N15,2,0)</f>
        <v>Argentinië</v>
      </c>
      <c r="H15" s="84" t="s">
        <v>29</v>
      </c>
      <c r="I15" s="84" t="str">
        <f>VLOOKUP(J15,M12:N15,2,0)</f>
        <v>Zuid-Korea</v>
      </c>
      <c r="J15" s="319" t="s">
        <v>439</v>
      </c>
      <c r="K15" s="305"/>
      <c r="L15" s="314"/>
      <c r="M15" s="84" t="s">
        <v>440</v>
      </c>
      <c r="N15" s="320" t="s">
        <v>120</v>
      </c>
      <c r="O15" s="305"/>
      <c r="W15" s="309" t="s">
        <v>214</v>
      </c>
    </row>
    <row r="16" spans="1:23" s="309" customFormat="1" ht="11.25">
      <c r="A16" s="305"/>
      <c r="B16" s="275">
        <v>35</v>
      </c>
      <c r="C16" s="310">
        <v>40351.854166666664</v>
      </c>
      <c r="D16" s="311">
        <v>40351.854166666664</v>
      </c>
      <c r="E16" s="312">
        <v>40351.854166666664</v>
      </c>
      <c r="F16" s="313" t="s">
        <v>76</v>
      </c>
      <c r="G16" s="74" t="str">
        <f>VLOOKUP(F16,M12:N15,2,0)</f>
        <v>Nigeria</v>
      </c>
      <c r="H16" s="74" t="s">
        <v>29</v>
      </c>
      <c r="I16" s="74" t="str">
        <f>VLOOKUP(J16,M12:N15,2,0)</f>
        <v>Zuid-Korea</v>
      </c>
      <c r="J16" s="313" t="s">
        <v>439</v>
      </c>
      <c r="K16" s="305"/>
      <c r="L16" s="314"/>
      <c r="M16" s="305"/>
      <c r="N16" s="305"/>
      <c r="O16" s="305"/>
      <c r="W16" s="309" t="s">
        <v>205</v>
      </c>
    </row>
    <row r="17" spans="1:23" s="309" customFormat="1" ht="11.25">
      <c r="A17" s="305"/>
      <c r="B17" s="274">
        <v>36</v>
      </c>
      <c r="C17" s="316">
        <v>40351.854166666664</v>
      </c>
      <c r="D17" s="317">
        <v>40351.854166666664</v>
      </c>
      <c r="E17" s="318">
        <v>40351.854166666664</v>
      </c>
      <c r="F17" s="319" t="s">
        <v>440</v>
      </c>
      <c r="G17" s="84" t="str">
        <f>VLOOKUP(F17,M12:N15,2,0)</f>
        <v>Griekenland</v>
      </c>
      <c r="H17" s="84" t="s">
        <v>29</v>
      </c>
      <c r="I17" s="84" t="str">
        <f>VLOOKUP(J17,M12:N15,2,0)</f>
        <v>Argentinië</v>
      </c>
      <c r="J17" s="319" t="s">
        <v>75</v>
      </c>
      <c r="K17" s="305"/>
      <c r="L17" s="314"/>
      <c r="M17" s="305"/>
      <c r="N17" s="305"/>
      <c r="O17" s="305"/>
      <c r="W17" s="309" t="s">
        <v>109</v>
      </c>
    </row>
    <row r="18" spans="1:23" s="309" customFormat="1" ht="11.25">
      <c r="A18" s="305"/>
      <c r="B18" s="321"/>
      <c r="C18" s="322"/>
      <c r="D18" s="323"/>
      <c r="E18" s="324"/>
      <c r="F18" s="131"/>
      <c r="G18" s="322"/>
      <c r="H18" s="322"/>
      <c r="I18" s="322"/>
      <c r="J18" s="131"/>
      <c r="K18" s="305"/>
      <c r="L18" s="314"/>
      <c r="M18" s="305"/>
      <c r="N18" s="305"/>
      <c r="O18" s="305"/>
      <c r="W18" s="309" t="s">
        <v>107</v>
      </c>
    </row>
    <row r="19" spans="1:23" s="309" customFormat="1" ht="11.25">
      <c r="A19" s="305"/>
      <c r="B19" s="366" t="s">
        <v>31</v>
      </c>
      <c r="C19" s="366"/>
      <c r="D19" s="366"/>
      <c r="E19" s="366"/>
      <c r="F19" s="366"/>
      <c r="G19" s="366"/>
      <c r="H19" s="366"/>
      <c r="I19" s="366"/>
      <c r="J19" s="366"/>
      <c r="K19" s="305"/>
      <c r="L19" s="306"/>
      <c r="M19" s="365" t="s">
        <v>31</v>
      </c>
      <c r="N19" s="365"/>
      <c r="O19" s="305"/>
      <c r="P19" s="308"/>
      <c r="Q19" s="308"/>
      <c r="R19" s="308"/>
      <c r="S19" s="308"/>
      <c r="T19" s="308"/>
      <c r="U19" s="308"/>
      <c r="V19" s="308"/>
      <c r="W19" s="309" t="s">
        <v>182</v>
      </c>
    </row>
    <row r="20" spans="1:23" s="309" customFormat="1" ht="11.25">
      <c r="A20" s="305"/>
      <c r="B20" s="275">
        <v>5</v>
      </c>
      <c r="C20" s="310">
        <v>40341.854166666664</v>
      </c>
      <c r="D20" s="311">
        <v>40341.854166666664</v>
      </c>
      <c r="E20" s="312">
        <v>40341.854166666664</v>
      </c>
      <c r="F20" s="313" t="s">
        <v>77</v>
      </c>
      <c r="G20" s="74" t="str">
        <f>VLOOKUP(F20,M20:N23,2,0)</f>
        <v>Engeland</v>
      </c>
      <c r="H20" s="74" t="s">
        <v>29</v>
      </c>
      <c r="I20" s="74" t="s">
        <v>32</v>
      </c>
      <c r="J20" s="313" t="s">
        <v>78</v>
      </c>
      <c r="K20" s="305"/>
      <c r="L20" s="314"/>
      <c r="M20" s="74" t="s">
        <v>77</v>
      </c>
      <c r="N20" s="315" t="s">
        <v>124</v>
      </c>
      <c r="O20" s="305"/>
      <c r="W20" s="309" t="s">
        <v>260</v>
      </c>
    </row>
    <row r="21" spans="1:23" s="309" customFormat="1" ht="11.25">
      <c r="A21" s="305"/>
      <c r="B21" s="274">
        <v>6</v>
      </c>
      <c r="C21" s="316">
        <v>40342.5625</v>
      </c>
      <c r="D21" s="317">
        <v>40342.5625</v>
      </c>
      <c r="E21" s="318">
        <v>40342.5625</v>
      </c>
      <c r="F21" s="319" t="s">
        <v>441</v>
      </c>
      <c r="G21" s="84" t="str">
        <f>VLOOKUP(F21,M20:N23,2,0)</f>
        <v>Algerije</v>
      </c>
      <c r="H21" s="84" t="s">
        <v>29</v>
      </c>
      <c r="I21" s="84" t="str">
        <f>VLOOKUP(J21,M20:N23,2,0)</f>
        <v>Slovenië</v>
      </c>
      <c r="J21" s="319" t="s">
        <v>442</v>
      </c>
      <c r="K21" s="305"/>
      <c r="L21" s="314"/>
      <c r="M21" s="84" t="s">
        <v>78</v>
      </c>
      <c r="N21" s="320" t="s">
        <v>32</v>
      </c>
      <c r="O21" s="305"/>
      <c r="W21" s="309" t="s">
        <v>259</v>
      </c>
    </row>
    <row r="22" spans="1:23" s="309" customFormat="1" ht="11.25">
      <c r="A22" s="305"/>
      <c r="B22" s="275">
        <v>22</v>
      </c>
      <c r="C22" s="310">
        <v>40347.666666666664</v>
      </c>
      <c r="D22" s="311">
        <v>40347.666666666664</v>
      </c>
      <c r="E22" s="312">
        <v>40347.666666666664</v>
      </c>
      <c r="F22" s="313" t="s">
        <v>442</v>
      </c>
      <c r="G22" s="74" t="str">
        <f>VLOOKUP(F22,M20:N23,2,0)</f>
        <v>Slovenië</v>
      </c>
      <c r="H22" s="74" t="s">
        <v>29</v>
      </c>
      <c r="I22" s="74" t="s">
        <v>32</v>
      </c>
      <c r="J22" s="313" t="s">
        <v>78</v>
      </c>
      <c r="K22" s="305"/>
      <c r="L22" s="314"/>
      <c r="M22" s="74" t="s">
        <v>441</v>
      </c>
      <c r="N22" s="315" t="s">
        <v>126</v>
      </c>
      <c r="O22" s="305"/>
      <c r="W22" s="309" t="s">
        <v>257</v>
      </c>
    </row>
    <row r="23" spans="1:23" s="309" customFormat="1" ht="11.25">
      <c r="A23" s="305"/>
      <c r="B23" s="274">
        <v>23</v>
      </c>
      <c r="C23" s="316">
        <v>40347.854166666664</v>
      </c>
      <c r="D23" s="317">
        <v>40347.854166666664</v>
      </c>
      <c r="E23" s="318">
        <v>40347.854166666664</v>
      </c>
      <c r="F23" s="319" t="s">
        <v>77</v>
      </c>
      <c r="G23" s="84" t="str">
        <f>VLOOKUP(F23,M20:N23,2,0)</f>
        <v>Engeland</v>
      </c>
      <c r="H23" s="84" t="s">
        <v>29</v>
      </c>
      <c r="I23" s="84" t="str">
        <f>VLOOKUP(J23,M20:N23,2,0)</f>
        <v>Algerije</v>
      </c>
      <c r="J23" s="319" t="s">
        <v>441</v>
      </c>
      <c r="K23" s="305"/>
      <c r="L23" s="314"/>
      <c r="M23" s="84" t="s">
        <v>442</v>
      </c>
      <c r="N23" s="320" t="s">
        <v>128</v>
      </c>
      <c r="O23" s="305"/>
      <c r="W23" s="309" t="s">
        <v>250</v>
      </c>
    </row>
    <row r="24" spans="1:23" s="309" customFormat="1" ht="11.25">
      <c r="A24" s="305"/>
      <c r="B24" s="275">
        <v>37</v>
      </c>
      <c r="C24" s="310">
        <v>40352.666666666664</v>
      </c>
      <c r="D24" s="311">
        <v>40352.666666666664</v>
      </c>
      <c r="E24" s="312">
        <v>40352.666666666664</v>
      </c>
      <c r="F24" s="313" t="s">
        <v>442</v>
      </c>
      <c r="G24" s="74" t="str">
        <f>VLOOKUP(F24,M20:N23,2,0)</f>
        <v>Slovenië</v>
      </c>
      <c r="H24" s="74" t="s">
        <v>29</v>
      </c>
      <c r="I24" s="74" t="str">
        <f>VLOOKUP(J24,M20:N23,2,0)</f>
        <v>Engeland</v>
      </c>
      <c r="J24" s="313" t="s">
        <v>77</v>
      </c>
      <c r="K24" s="305"/>
      <c r="L24" s="314"/>
      <c r="M24" s="305"/>
      <c r="N24" s="305"/>
      <c r="O24" s="305"/>
      <c r="W24" s="309" t="s">
        <v>248</v>
      </c>
    </row>
    <row r="25" spans="1:23" s="309" customFormat="1" ht="11.25">
      <c r="A25" s="305"/>
      <c r="B25" s="274">
        <v>38</v>
      </c>
      <c r="C25" s="316">
        <v>40352.666666666664</v>
      </c>
      <c r="D25" s="317">
        <v>40352.666666666664</v>
      </c>
      <c r="E25" s="318">
        <v>40352.666666666664</v>
      </c>
      <c r="F25" s="319" t="s">
        <v>78</v>
      </c>
      <c r="G25" s="84" t="s">
        <v>32</v>
      </c>
      <c r="H25" s="84" t="s">
        <v>29</v>
      </c>
      <c r="I25" s="84" t="str">
        <f>VLOOKUP(J25,M20:N23,2,0)</f>
        <v>Algerije</v>
      </c>
      <c r="J25" s="319" t="s">
        <v>441</v>
      </c>
      <c r="K25" s="305"/>
      <c r="L25" s="314"/>
      <c r="M25" s="305"/>
      <c r="N25" s="305"/>
      <c r="O25" s="305"/>
      <c r="W25" s="309" t="s">
        <v>251</v>
      </c>
    </row>
    <row r="26" spans="1:23" s="309" customFormat="1" ht="11.25">
      <c r="A26" s="305"/>
      <c r="B26" s="321"/>
      <c r="C26" s="322"/>
      <c r="D26" s="323"/>
      <c r="E26" s="324"/>
      <c r="F26" s="131"/>
      <c r="G26" s="322"/>
      <c r="H26" s="322"/>
      <c r="I26" s="322"/>
      <c r="J26" s="131"/>
      <c r="K26" s="305"/>
      <c r="L26" s="314"/>
      <c r="M26" s="305"/>
      <c r="N26" s="305"/>
      <c r="O26" s="305"/>
      <c r="W26" s="309" t="s">
        <v>178</v>
      </c>
    </row>
    <row r="27" spans="1:23" s="309" customFormat="1" ht="11.25">
      <c r="A27" s="305"/>
      <c r="B27" s="366" t="s">
        <v>33</v>
      </c>
      <c r="C27" s="366"/>
      <c r="D27" s="366"/>
      <c r="E27" s="366"/>
      <c r="F27" s="366"/>
      <c r="G27" s="366"/>
      <c r="H27" s="366"/>
      <c r="I27" s="366"/>
      <c r="J27" s="366"/>
      <c r="K27" s="305"/>
      <c r="L27" s="306"/>
      <c r="M27" s="365" t="s">
        <v>33</v>
      </c>
      <c r="N27" s="365"/>
      <c r="O27" s="305"/>
      <c r="P27" s="308"/>
      <c r="Q27" s="308"/>
      <c r="R27" s="308"/>
      <c r="S27" s="308"/>
      <c r="T27" s="308"/>
      <c r="U27" s="308"/>
      <c r="V27" s="308"/>
      <c r="W27" s="309" t="s">
        <v>276</v>
      </c>
    </row>
    <row r="28" spans="1:23" s="309" customFormat="1" ht="11.25">
      <c r="A28" s="305"/>
      <c r="B28" s="275">
        <v>7</v>
      </c>
      <c r="C28" s="310">
        <v>40342.854166666664</v>
      </c>
      <c r="D28" s="311">
        <v>40342.854166666664</v>
      </c>
      <c r="E28" s="312">
        <v>40342.854166666664</v>
      </c>
      <c r="F28" s="313" t="s">
        <v>79</v>
      </c>
      <c r="G28" s="74" t="str">
        <f>VLOOKUP(F28,M28:N31,2,0)</f>
        <v>Duitsland</v>
      </c>
      <c r="H28" s="74" t="s">
        <v>29</v>
      </c>
      <c r="I28" s="74" t="str">
        <f>VLOOKUP(J28,M28:N31,2,0)</f>
        <v>Australië</v>
      </c>
      <c r="J28" s="313" t="s">
        <v>80</v>
      </c>
      <c r="K28" s="305"/>
      <c r="L28" s="314"/>
      <c r="M28" s="74" t="s">
        <v>79</v>
      </c>
      <c r="N28" s="315" t="s">
        <v>239</v>
      </c>
      <c r="O28" s="305"/>
      <c r="W28" s="309" t="s">
        <v>274</v>
      </c>
    </row>
    <row r="29" spans="1:23" s="309" customFormat="1" ht="11.25">
      <c r="A29" s="305"/>
      <c r="B29" s="274">
        <v>8</v>
      </c>
      <c r="C29" s="316">
        <v>40342.666666666664</v>
      </c>
      <c r="D29" s="317">
        <v>40342.666666666664</v>
      </c>
      <c r="E29" s="318">
        <v>40342.666666666664</v>
      </c>
      <c r="F29" s="319" t="s">
        <v>443</v>
      </c>
      <c r="G29" s="84" t="str">
        <f>VLOOKUP(F29,M28:N31,2,0)</f>
        <v>Servië</v>
      </c>
      <c r="H29" s="84" t="s">
        <v>29</v>
      </c>
      <c r="I29" s="84" t="str">
        <f>VLOOKUP(J29,M28:N31,2,0)</f>
        <v>Ghana</v>
      </c>
      <c r="J29" s="319" t="s">
        <v>444</v>
      </c>
      <c r="K29" s="305"/>
      <c r="L29" s="314"/>
      <c r="M29" s="84" t="s">
        <v>80</v>
      </c>
      <c r="N29" s="320" t="s">
        <v>242</v>
      </c>
      <c r="O29" s="305"/>
      <c r="W29" s="309" t="s">
        <v>200</v>
      </c>
    </row>
    <row r="30" spans="1:23" s="309" customFormat="1" ht="11.25">
      <c r="A30" s="305"/>
      <c r="B30" s="275">
        <v>21</v>
      </c>
      <c r="C30" s="310">
        <v>40347.5625</v>
      </c>
      <c r="D30" s="311">
        <v>40347.5625</v>
      </c>
      <c r="E30" s="312">
        <v>40347.5625</v>
      </c>
      <c r="F30" s="313" t="s">
        <v>79</v>
      </c>
      <c r="G30" s="74" t="str">
        <f>VLOOKUP(F30,M28:N31,2,0)</f>
        <v>Duitsland</v>
      </c>
      <c r="H30" s="74" t="s">
        <v>29</v>
      </c>
      <c r="I30" s="74" t="str">
        <f>VLOOKUP(J30,M28:N31,2,0)</f>
        <v>Servië</v>
      </c>
      <c r="J30" s="313" t="s">
        <v>443</v>
      </c>
      <c r="K30" s="305"/>
      <c r="L30" s="314"/>
      <c r="M30" s="74" t="s">
        <v>443</v>
      </c>
      <c r="N30" s="315" t="s">
        <v>240</v>
      </c>
      <c r="O30" s="305"/>
      <c r="W30" s="309" t="s">
        <v>277</v>
      </c>
    </row>
    <row r="31" spans="1:23" s="309" customFormat="1" ht="11.25">
      <c r="A31" s="305"/>
      <c r="B31" s="274">
        <v>24</v>
      </c>
      <c r="C31" s="316">
        <v>40348.666666666664</v>
      </c>
      <c r="D31" s="317">
        <v>40348.666666666664</v>
      </c>
      <c r="E31" s="318">
        <v>40348.666666666664</v>
      </c>
      <c r="F31" s="319" t="s">
        <v>444</v>
      </c>
      <c r="G31" s="84" t="str">
        <f>VLOOKUP(F31,M28:N31,2,0)</f>
        <v>Ghana</v>
      </c>
      <c r="H31" s="84" t="s">
        <v>29</v>
      </c>
      <c r="I31" s="84" t="str">
        <f>VLOOKUP(J31,M28:N31,2,0)</f>
        <v>Australië</v>
      </c>
      <c r="J31" s="319" t="s">
        <v>80</v>
      </c>
      <c r="K31" s="305"/>
      <c r="L31" s="314"/>
      <c r="M31" s="84" t="s">
        <v>444</v>
      </c>
      <c r="N31" s="320" t="s">
        <v>244</v>
      </c>
      <c r="O31" s="305"/>
      <c r="W31" s="309" t="s">
        <v>269</v>
      </c>
    </row>
    <row r="32" spans="1:23" s="309" customFormat="1" ht="11.25">
      <c r="A32" s="305"/>
      <c r="B32" s="275">
        <v>39</v>
      </c>
      <c r="C32" s="310">
        <v>40352.854166666664</v>
      </c>
      <c r="D32" s="311">
        <v>40352.854166666664</v>
      </c>
      <c r="E32" s="312">
        <v>40352.854166666664</v>
      </c>
      <c r="F32" s="313" t="s">
        <v>444</v>
      </c>
      <c r="G32" s="74" t="str">
        <f>VLOOKUP(F32,M28:N31,2,0)</f>
        <v>Ghana</v>
      </c>
      <c r="H32" s="74" t="s">
        <v>29</v>
      </c>
      <c r="I32" s="74" t="str">
        <f>VLOOKUP(J32,M28:N31,2,0)</f>
        <v>Duitsland</v>
      </c>
      <c r="J32" s="313" t="s">
        <v>79</v>
      </c>
      <c r="K32" s="305"/>
      <c r="L32" s="314"/>
      <c r="M32" s="305"/>
      <c r="N32" s="305"/>
      <c r="O32" s="305"/>
      <c r="W32" s="309" t="s">
        <v>268</v>
      </c>
    </row>
    <row r="33" spans="1:23" s="309" customFormat="1" ht="11.25">
      <c r="A33" s="305"/>
      <c r="B33" s="274">
        <v>40</v>
      </c>
      <c r="C33" s="316">
        <v>40352.854166666664</v>
      </c>
      <c r="D33" s="317">
        <v>40352.854166666664</v>
      </c>
      <c r="E33" s="318">
        <v>40352.854166666664</v>
      </c>
      <c r="F33" s="319" t="s">
        <v>80</v>
      </c>
      <c r="G33" s="84" t="str">
        <f>VLOOKUP(F33,M28:N31,2,0)</f>
        <v>Australië</v>
      </c>
      <c r="H33" s="84" t="s">
        <v>29</v>
      </c>
      <c r="I33" s="84" t="str">
        <f>VLOOKUP(J33,M28:N31,2,0)</f>
        <v>Servië</v>
      </c>
      <c r="J33" s="319" t="s">
        <v>443</v>
      </c>
      <c r="K33" s="305"/>
      <c r="L33" s="314"/>
      <c r="M33" s="305"/>
      <c r="N33" s="305"/>
      <c r="O33" s="305"/>
      <c r="W33" s="309" t="s">
        <v>265</v>
      </c>
    </row>
    <row r="34" spans="1:23" s="309" customFormat="1" ht="11.25">
      <c r="A34" s="305"/>
      <c r="B34" s="321"/>
      <c r="C34" s="322"/>
      <c r="D34" s="325"/>
      <c r="E34" s="324"/>
      <c r="F34" s="131"/>
      <c r="G34" s="322"/>
      <c r="H34" s="322"/>
      <c r="I34" s="322"/>
      <c r="J34" s="131"/>
      <c r="K34" s="305"/>
      <c r="L34" s="314"/>
      <c r="M34" s="305"/>
      <c r="N34" s="305"/>
      <c r="O34" s="305"/>
      <c r="W34" s="309" t="s">
        <v>266</v>
      </c>
    </row>
    <row r="35" spans="1:23" s="309" customFormat="1" ht="11.25">
      <c r="A35" s="305"/>
      <c r="B35" s="366" t="s">
        <v>34</v>
      </c>
      <c r="C35" s="366"/>
      <c r="D35" s="366"/>
      <c r="E35" s="366"/>
      <c r="F35" s="366"/>
      <c r="G35" s="366"/>
      <c r="H35" s="366"/>
      <c r="I35" s="366"/>
      <c r="J35" s="366"/>
      <c r="K35" s="305"/>
      <c r="L35" s="306"/>
      <c r="M35" s="365" t="s">
        <v>34</v>
      </c>
      <c r="N35" s="365"/>
      <c r="O35" s="305"/>
      <c r="P35" s="308"/>
      <c r="Q35" s="308"/>
      <c r="R35" s="308"/>
      <c r="S35" s="308"/>
      <c r="T35" s="308"/>
      <c r="U35" s="308"/>
      <c r="V35" s="308"/>
    </row>
    <row r="36" spans="1:23" s="309" customFormat="1" ht="11.25">
      <c r="A36" s="305"/>
      <c r="B36" s="275">
        <v>9</v>
      </c>
      <c r="C36" s="310">
        <v>40343.5625</v>
      </c>
      <c r="D36" s="311">
        <v>40343.5625</v>
      </c>
      <c r="E36" s="312">
        <v>40343.5625</v>
      </c>
      <c r="F36" s="313" t="s">
        <v>81</v>
      </c>
      <c r="G36" s="74" t="str">
        <f>VLOOKUP(F36,M36:N39,2,0)</f>
        <v>Nederland</v>
      </c>
      <c r="H36" s="74" t="s">
        <v>29</v>
      </c>
      <c r="I36" s="74" t="str">
        <f>VLOOKUP(J36,M36:N39,2,0)</f>
        <v>Denemarken</v>
      </c>
      <c r="J36" s="313" t="s">
        <v>445</v>
      </c>
      <c r="K36" s="305"/>
      <c r="L36" s="314"/>
      <c r="M36" s="74" t="s">
        <v>81</v>
      </c>
      <c r="N36" s="315" t="s">
        <v>178</v>
      </c>
      <c r="O36" s="305"/>
    </row>
    <row r="37" spans="1:23" s="309" customFormat="1" ht="11.25">
      <c r="A37" s="305"/>
      <c r="B37" s="274">
        <v>10</v>
      </c>
      <c r="C37" s="316">
        <v>40343.666666666664</v>
      </c>
      <c r="D37" s="317">
        <v>40343.666666666664</v>
      </c>
      <c r="E37" s="318">
        <v>40343.666666666664</v>
      </c>
      <c r="F37" s="319" t="s">
        <v>82</v>
      </c>
      <c r="G37" s="84" t="str">
        <f>VLOOKUP(F37,M36:N39,2,0)</f>
        <v>Japan</v>
      </c>
      <c r="H37" s="84" t="s">
        <v>29</v>
      </c>
      <c r="I37" s="84" t="str">
        <f>VLOOKUP(J37,M36:N39,2,0)</f>
        <v>Kameroen</v>
      </c>
      <c r="J37" s="319" t="s">
        <v>446</v>
      </c>
      <c r="K37" s="305"/>
      <c r="L37" s="314"/>
      <c r="M37" s="84" t="s">
        <v>82</v>
      </c>
      <c r="N37" s="320" t="s">
        <v>251</v>
      </c>
      <c r="O37" s="305"/>
    </row>
    <row r="38" spans="1:23" s="309" customFormat="1" ht="11.25">
      <c r="A38" s="305"/>
      <c r="B38" s="275">
        <v>25</v>
      </c>
      <c r="C38" s="310">
        <v>40348.5625</v>
      </c>
      <c r="D38" s="311">
        <v>40348.5625</v>
      </c>
      <c r="E38" s="312">
        <v>40348.5625</v>
      </c>
      <c r="F38" s="313" t="s">
        <v>81</v>
      </c>
      <c r="G38" s="74" t="str">
        <f>VLOOKUP(F38,M36:N39,2,0)</f>
        <v>Nederland</v>
      </c>
      <c r="H38" s="74" t="s">
        <v>29</v>
      </c>
      <c r="I38" s="74" t="str">
        <f>VLOOKUP(J38,M36:N39,2,0)</f>
        <v>Japan</v>
      </c>
      <c r="J38" s="313" t="s">
        <v>82</v>
      </c>
      <c r="K38" s="305"/>
      <c r="L38" s="314"/>
      <c r="M38" s="74" t="s">
        <v>446</v>
      </c>
      <c r="N38" s="315" t="s">
        <v>248</v>
      </c>
      <c r="O38" s="305"/>
    </row>
    <row r="39" spans="1:23" s="309" customFormat="1" ht="11.25">
      <c r="A39" s="305"/>
      <c r="B39" s="274">
        <v>26</v>
      </c>
      <c r="C39" s="316">
        <v>40348.854166666664</v>
      </c>
      <c r="D39" s="317">
        <v>40348.854166666664</v>
      </c>
      <c r="E39" s="318">
        <v>40348.854166666664</v>
      </c>
      <c r="F39" s="319" t="s">
        <v>446</v>
      </c>
      <c r="G39" s="84" t="str">
        <f>VLOOKUP(F39,M36:N39,2,0)</f>
        <v>Kameroen</v>
      </c>
      <c r="H39" s="84" t="s">
        <v>29</v>
      </c>
      <c r="I39" s="84" t="str">
        <f>VLOOKUP(J39,M36:N39,2,0)</f>
        <v>Denemarken</v>
      </c>
      <c r="J39" s="319" t="s">
        <v>445</v>
      </c>
      <c r="K39" s="305"/>
      <c r="L39" s="314"/>
      <c r="M39" s="84" t="s">
        <v>445</v>
      </c>
      <c r="N39" s="320" t="s">
        <v>250</v>
      </c>
      <c r="O39" s="305"/>
    </row>
    <row r="40" spans="1:23" s="309" customFormat="1" ht="11.25">
      <c r="A40" s="305"/>
      <c r="B40" s="275">
        <v>43</v>
      </c>
      <c r="C40" s="310">
        <v>40353.854166666664</v>
      </c>
      <c r="D40" s="311">
        <v>40353.854166666664</v>
      </c>
      <c r="E40" s="312">
        <v>40353.854166666664</v>
      </c>
      <c r="F40" s="313" t="s">
        <v>445</v>
      </c>
      <c r="G40" s="74" t="str">
        <f>VLOOKUP(F40,M36:N39,2,0)</f>
        <v>Denemarken</v>
      </c>
      <c r="H40" s="74" t="s">
        <v>29</v>
      </c>
      <c r="I40" s="74" t="str">
        <f>VLOOKUP(J40,M36:N39,2,0)</f>
        <v>Japan</v>
      </c>
      <c r="J40" s="313" t="s">
        <v>82</v>
      </c>
      <c r="K40" s="305"/>
      <c r="L40" s="314"/>
      <c r="M40" s="305"/>
      <c r="N40" s="305"/>
      <c r="O40" s="305"/>
    </row>
    <row r="41" spans="1:23" s="309" customFormat="1" ht="11.25">
      <c r="A41" s="305"/>
      <c r="B41" s="274">
        <v>44</v>
      </c>
      <c r="C41" s="316">
        <v>40353.854166666664</v>
      </c>
      <c r="D41" s="317">
        <v>40353.854166666664</v>
      </c>
      <c r="E41" s="318">
        <v>40353.854166666664</v>
      </c>
      <c r="F41" s="319" t="s">
        <v>446</v>
      </c>
      <c r="G41" s="84" t="str">
        <f>VLOOKUP(F41,M36:N39,2,0)</f>
        <v>Kameroen</v>
      </c>
      <c r="H41" s="84" t="s">
        <v>29</v>
      </c>
      <c r="I41" s="84" t="str">
        <f>VLOOKUP(J41,M36:N39,2,0)</f>
        <v>Nederland</v>
      </c>
      <c r="J41" s="319" t="s">
        <v>81</v>
      </c>
      <c r="K41" s="305"/>
      <c r="L41" s="314"/>
      <c r="M41" s="305"/>
      <c r="N41" s="305"/>
      <c r="O41" s="305"/>
    </row>
    <row r="42" spans="1:23" s="309" customFormat="1" ht="11.25">
      <c r="A42" s="305"/>
      <c r="B42" s="321"/>
      <c r="C42" s="322"/>
      <c r="D42" s="323"/>
      <c r="E42" s="324"/>
      <c r="F42" s="131"/>
      <c r="G42" s="322"/>
      <c r="H42" s="322"/>
      <c r="I42" s="322"/>
      <c r="J42" s="131"/>
      <c r="K42" s="305"/>
      <c r="L42" s="314"/>
      <c r="M42" s="305"/>
      <c r="N42" s="305"/>
      <c r="O42" s="305"/>
    </row>
    <row r="43" spans="1:23" s="309" customFormat="1" ht="11.25">
      <c r="A43" s="305"/>
      <c r="B43" s="366" t="s">
        <v>35</v>
      </c>
      <c r="C43" s="366"/>
      <c r="D43" s="366"/>
      <c r="E43" s="366"/>
      <c r="F43" s="366"/>
      <c r="G43" s="366"/>
      <c r="H43" s="366"/>
      <c r="I43" s="366"/>
      <c r="J43" s="366"/>
      <c r="K43" s="305"/>
      <c r="L43" s="306"/>
      <c r="M43" s="365" t="s">
        <v>35</v>
      </c>
      <c r="N43" s="365"/>
      <c r="O43" s="305"/>
      <c r="P43" s="308"/>
      <c r="Q43" s="308"/>
      <c r="R43" s="308"/>
      <c r="S43" s="308"/>
      <c r="T43" s="308"/>
      <c r="U43" s="308"/>
      <c r="V43" s="308"/>
    </row>
    <row r="44" spans="1:23" s="309" customFormat="1" ht="11.25">
      <c r="A44" s="305"/>
      <c r="B44" s="275">
        <v>11</v>
      </c>
      <c r="C44" s="310">
        <v>40343.854166666664</v>
      </c>
      <c r="D44" s="311">
        <v>40343.854166666664</v>
      </c>
      <c r="E44" s="312">
        <v>40343.854166666664</v>
      </c>
      <c r="F44" s="313" t="s">
        <v>83</v>
      </c>
      <c r="G44" s="74" t="str">
        <f>VLOOKUP(F44,M44:N47,2,0)</f>
        <v>Italië</v>
      </c>
      <c r="H44" s="74" t="s">
        <v>29</v>
      </c>
      <c r="I44" s="74" t="str">
        <f>VLOOKUP(J44,M44:N47,2,0)</f>
        <v>Paraguay</v>
      </c>
      <c r="J44" s="313" t="s">
        <v>84</v>
      </c>
      <c r="K44" s="305"/>
      <c r="L44" s="314"/>
      <c r="M44" s="74" t="s">
        <v>83</v>
      </c>
      <c r="N44" s="315" t="s">
        <v>257</v>
      </c>
      <c r="O44" s="305"/>
    </row>
    <row r="45" spans="1:23" s="309" customFormat="1" ht="11.25">
      <c r="A45" s="305"/>
      <c r="B45" s="274">
        <v>12</v>
      </c>
      <c r="C45" s="316">
        <v>40344.5625</v>
      </c>
      <c r="D45" s="317">
        <v>40344.5625</v>
      </c>
      <c r="E45" s="318">
        <v>40344.5625</v>
      </c>
      <c r="F45" s="319" t="s">
        <v>447</v>
      </c>
      <c r="G45" s="84" t="str">
        <f>VLOOKUP(F45,M44:N47,2,0)</f>
        <v>Nieuw-Zeeland</v>
      </c>
      <c r="H45" s="84" t="s">
        <v>29</v>
      </c>
      <c r="I45" s="84" t="str">
        <f>VLOOKUP(J45,M44:N47,2,0)</f>
        <v>Slowakije</v>
      </c>
      <c r="J45" s="319" t="s">
        <v>448</v>
      </c>
      <c r="K45" s="305"/>
      <c r="L45" s="314"/>
      <c r="M45" s="84" t="s">
        <v>84</v>
      </c>
      <c r="N45" s="320" t="s">
        <v>182</v>
      </c>
      <c r="O45" s="305"/>
    </row>
    <row r="46" spans="1:23" s="309" customFormat="1" ht="11.25">
      <c r="A46" s="305"/>
      <c r="B46" s="275">
        <v>27</v>
      </c>
      <c r="C46" s="310">
        <v>40349.5625</v>
      </c>
      <c r="D46" s="311">
        <v>40349.5625</v>
      </c>
      <c r="E46" s="312">
        <v>40349.5625</v>
      </c>
      <c r="F46" s="313" t="s">
        <v>448</v>
      </c>
      <c r="G46" s="74" t="str">
        <f>VLOOKUP(F46,M44:N47,2,0)</f>
        <v>Slowakije</v>
      </c>
      <c r="H46" s="74" t="s">
        <v>29</v>
      </c>
      <c r="I46" s="74" t="str">
        <f>VLOOKUP(J46,M44:N47,2,0)</f>
        <v>Paraguay</v>
      </c>
      <c r="J46" s="313" t="s">
        <v>84</v>
      </c>
      <c r="K46" s="305"/>
      <c r="L46" s="314"/>
      <c r="M46" s="74" t="s">
        <v>447</v>
      </c>
      <c r="N46" s="315" t="s">
        <v>259</v>
      </c>
      <c r="O46" s="305"/>
    </row>
    <row r="47" spans="1:23" s="309" customFormat="1" ht="11.25">
      <c r="A47" s="305"/>
      <c r="B47" s="274">
        <v>28</v>
      </c>
      <c r="C47" s="316">
        <v>40349.666666666664</v>
      </c>
      <c r="D47" s="317">
        <v>40349.666666666664</v>
      </c>
      <c r="E47" s="318">
        <v>40349.666666666664</v>
      </c>
      <c r="F47" s="319" t="s">
        <v>83</v>
      </c>
      <c r="G47" s="84" t="str">
        <f>VLOOKUP(F47,M44:N47,2,0)</f>
        <v>Italië</v>
      </c>
      <c r="H47" s="84" t="s">
        <v>29</v>
      </c>
      <c r="I47" s="84" t="str">
        <f>VLOOKUP(J47,M44:N47,2,0)</f>
        <v>Nieuw-Zeeland</v>
      </c>
      <c r="J47" s="319" t="s">
        <v>447</v>
      </c>
      <c r="K47" s="305"/>
      <c r="L47" s="314"/>
      <c r="M47" s="84" t="s">
        <v>448</v>
      </c>
      <c r="N47" s="320" t="s">
        <v>260</v>
      </c>
      <c r="O47" s="305"/>
    </row>
    <row r="48" spans="1:23" s="309" customFormat="1" ht="11.25">
      <c r="A48" s="305"/>
      <c r="B48" s="275">
        <v>41</v>
      </c>
      <c r="C48" s="310">
        <v>40353.666666666664</v>
      </c>
      <c r="D48" s="311">
        <v>40353.666666666664</v>
      </c>
      <c r="E48" s="312">
        <v>40353.666666666664</v>
      </c>
      <c r="F48" s="313" t="s">
        <v>448</v>
      </c>
      <c r="G48" s="74" t="str">
        <f>VLOOKUP(F48,M44:N47,2,0)</f>
        <v>Slowakije</v>
      </c>
      <c r="H48" s="74" t="s">
        <v>29</v>
      </c>
      <c r="I48" s="74" t="str">
        <f>VLOOKUP(J48,M44:N47,2,0)</f>
        <v>Italië</v>
      </c>
      <c r="J48" s="313" t="s">
        <v>83</v>
      </c>
      <c r="K48" s="305"/>
      <c r="L48" s="314"/>
      <c r="M48" s="305"/>
      <c r="N48" s="305"/>
      <c r="O48" s="305"/>
    </row>
    <row r="49" spans="1:22" s="309" customFormat="1" ht="11.25">
      <c r="A49" s="305"/>
      <c r="B49" s="274">
        <v>42</v>
      </c>
      <c r="C49" s="316">
        <v>40353.666666666664</v>
      </c>
      <c r="D49" s="317">
        <v>40353.666666666664</v>
      </c>
      <c r="E49" s="318">
        <v>40353.666666666664</v>
      </c>
      <c r="F49" s="319" t="s">
        <v>84</v>
      </c>
      <c r="G49" s="84" t="str">
        <f>VLOOKUP(F49,M44:N47,2,0)</f>
        <v>Paraguay</v>
      </c>
      <c r="H49" s="84" t="s">
        <v>29</v>
      </c>
      <c r="I49" s="84" t="str">
        <f>VLOOKUP(J49,M44:N47,2,0)</f>
        <v>Nieuw-Zeeland</v>
      </c>
      <c r="J49" s="319" t="s">
        <v>447</v>
      </c>
      <c r="K49" s="305"/>
      <c r="L49" s="314"/>
      <c r="M49" s="305"/>
      <c r="N49" s="305"/>
      <c r="O49" s="305"/>
    </row>
    <row r="50" spans="1:22" s="309" customFormat="1" ht="11.25">
      <c r="A50" s="305"/>
      <c r="B50" s="321"/>
      <c r="C50" s="322"/>
      <c r="D50" s="323"/>
      <c r="E50" s="324"/>
      <c r="F50" s="131"/>
      <c r="G50" s="322"/>
      <c r="H50" s="322"/>
      <c r="I50" s="322"/>
      <c r="J50" s="131"/>
      <c r="K50" s="305"/>
      <c r="L50" s="314"/>
      <c r="M50" s="305"/>
      <c r="N50" s="305"/>
      <c r="O50" s="305"/>
    </row>
    <row r="51" spans="1:22" s="309" customFormat="1" ht="11.25">
      <c r="A51" s="305"/>
      <c r="B51" s="366" t="s">
        <v>36</v>
      </c>
      <c r="C51" s="366"/>
      <c r="D51" s="366"/>
      <c r="E51" s="366"/>
      <c r="F51" s="366"/>
      <c r="G51" s="366"/>
      <c r="H51" s="366"/>
      <c r="I51" s="366"/>
      <c r="J51" s="366"/>
      <c r="K51" s="305"/>
      <c r="L51" s="306"/>
      <c r="M51" s="365" t="s">
        <v>36</v>
      </c>
      <c r="N51" s="365"/>
      <c r="O51" s="305"/>
      <c r="P51" s="308"/>
      <c r="Q51" s="308"/>
      <c r="R51" s="308"/>
      <c r="S51" s="308"/>
      <c r="T51" s="308"/>
      <c r="U51" s="308"/>
      <c r="V51" s="308"/>
    </row>
    <row r="52" spans="1:22" s="309" customFormat="1" ht="11.25">
      <c r="A52" s="305"/>
      <c r="B52" s="275">
        <v>13</v>
      </c>
      <c r="C52" s="310">
        <v>40344.666666666664</v>
      </c>
      <c r="D52" s="311">
        <v>40344.666666666664</v>
      </c>
      <c r="E52" s="312">
        <v>40344.666666666664</v>
      </c>
      <c r="F52" s="313" t="s">
        <v>449</v>
      </c>
      <c r="G52" s="74" t="str">
        <f>VLOOKUP(F52,M52:N55,2,0)</f>
        <v>Ivoorkust</v>
      </c>
      <c r="H52" s="74" t="s">
        <v>29</v>
      </c>
      <c r="I52" s="74" t="str">
        <f>VLOOKUP(J52,M52:N55,2,0)</f>
        <v>Portugal</v>
      </c>
      <c r="J52" s="313" t="s">
        <v>450</v>
      </c>
      <c r="K52" s="305"/>
      <c r="L52" s="314"/>
      <c r="M52" s="74" t="s">
        <v>85</v>
      </c>
      <c r="N52" s="315" t="s">
        <v>265</v>
      </c>
      <c r="O52" s="305"/>
    </row>
    <row r="53" spans="1:22" s="309" customFormat="1" ht="11.25">
      <c r="A53" s="305"/>
      <c r="B53" s="274">
        <v>14</v>
      </c>
      <c r="C53" s="316">
        <v>40344.854166666664</v>
      </c>
      <c r="D53" s="317">
        <v>40344.854166666664</v>
      </c>
      <c r="E53" s="318">
        <v>40344.854166666664</v>
      </c>
      <c r="F53" s="319" t="s">
        <v>85</v>
      </c>
      <c r="G53" s="84" t="str">
        <f>VLOOKUP(F53,M52:N55,2,0)</f>
        <v>Brazilië</v>
      </c>
      <c r="H53" s="84" t="s">
        <v>29</v>
      </c>
      <c r="I53" s="84" t="str">
        <f>VLOOKUP(J53,M52:N55,2,0)</f>
        <v>Noord-Korea</v>
      </c>
      <c r="J53" s="319" t="s">
        <v>86</v>
      </c>
      <c r="K53" s="305"/>
      <c r="L53" s="314"/>
      <c r="M53" s="84" t="s">
        <v>86</v>
      </c>
      <c r="N53" s="320" t="s">
        <v>269</v>
      </c>
      <c r="O53" s="305"/>
    </row>
    <row r="54" spans="1:22" s="309" customFormat="1" ht="11.25">
      <c r="A54" s="305"/>
      <c r="B54" s="275">
        <v>29</v>
      </c>
      <c r="C54" s="310">
        <v>40349.854166666664</v>
      </c>
      <c r="D54" s="311">
        <v>40349.854166666664</v>
      </c>
      <c r="E54" s="312">
        <v>40349.854166666664</v>
      </c>
      <c r="F54" s="313" t="s">
        <v>85</v>
      </c>
      <c r="G54" s="74" t="str">
        <f>VLOOKUP(F54,M52:N55,2,0)</f>
        <v>Brazilië</v>
      </c>
      <c r="H54" s="74" t="s">
        <v>29</v>
      </c>
      <c r="I54" s="74" t="str">
        <f>VLOOKUP(J54,M52:N55,2,0)</f>
        <v>Ivoorkust</v>
      </c>
      <c r="J54" s="313" t="s">
        <v>449</v>
      </c>
      <c r="K54" s="305"/>
      <c r="L54" s="314"/>
      <c r="M54" s="74" t="s">
        <v>449</v>
      </c>
      <c r="N54" s="315" t="s">
        <v>266</v>
      </c>
      <c r="O54" s="305"/>
    </row>
    <row r="55" spans="1:22" s="309" customFormat="1" ht="11.25">
      <c r="A55" s="305"/>
      <c r="B55" s="274">
        <v>30</v>
      </c>
      <c r="C55" s="316">
        <v>40350.5625</v>
      </c>
      <c r="D55" s="317">
        <v>40350.5625</v>
      </c>
      <c r="E55" s="318">
        <v>40350.5625</v>
      </c>
      <c r="F55" s="319" t="s">
        <v>450</v>
      </c>
      <c r="G55" s="84" t="str">
        <f>VLOOKUP(F55,M52:N55,2,0)</f>
        <v>Portugal</v>
      </c>
      <c r="H55" s="84" t="s">
        <v>29</v>
      </c>
      <c r="I55" s="84" t="str">
        <f>VLOOKUP(J55,M52:N55,2,0)</f>
        <v>Noord-Korea</v>
      </c>
      <c r="J55" s="319" t="s">
        <v>86</v>
      </c>
      <c r="K55" s="305"/>
      <c r="L55" s="314"/>
      <c r="M55" s="84" t="s">
        <v>450</v>
      </c>
      <c r="N55" s="320" t="s">
        <v>268</v>
      </c>
      <c r="O55" s="305"/>
    </row>
    <row r="56" spans="1:22" s="309" customFormat="1" ht="11.25">
      <c r="A56" s="305"/>
      <c r="B56" s="275">
        <v>45</v>
      </c>
      <c r="C56" s="310">
        <v>40354.666666666664</v>
      </c>
      <c r="D56" s="311">
        <v>40354.666666666664</v>
      </c>
      <c r="E56" s="312">
        <v>40354.666666666664</v>
      </c>
      <c r="F56" s="313" t="s">
        <v>450</v>
      </c>
      <c r="G56" s="74" t="str">
        <f>VLOOKUP(F56,M52:N55,2,0)</f>
        <v>Portugal</v>
      </c>
      <c r="H56" s="74" t="s">
        <v>29</v>
      </c>
      <c r="I56" s="74" t="str">
        <f>VLOOKUP(J56,M52:N55,2,0)</f>
        <v>Brazilië</v>
      </c>
      <c r="J56" s="313" t="s">
        <v>85</v>
      </c>
      <c r="K56" s="305"/>
      <c r="L56" s="314"/>
      <c r="M56" s="305"/>
      <c r="N56" s="305"/>
      <c r="O56" s="305"/>
    </row>
    <row r="57" spans="1:22" s="309" customFormat="1" ht="11.25">
      <c r="A57" s="305"/>
      <c r="B57" s="274">
        <v>46</v>
      </c>
      <c r="C57" s="316">
        <v>40354.666666666664</v>
      </c>
      <c r="D57" s="317">
        <v>40354.666666666664</v>
      </c>
      <c r="E57" s="318">
        <v>40354.666666666664</v>
      </c>
      <c r="F57" s="319" t="s">
        <v>86</v>
      </c>
      <c r="G57" s="84" t="str">
        <f>VLOOKUP(F57,M52:N55,2,0)</f>
        <v>Noord-Korea</v>
      </c>
      <c r="H57" s="84" t="s">
        <v>29</v>
      </c>
      <c r="I57" s="84" t="str">
        <f>VLOOKUP(J57,M52:N55,2,0)</f>
        <v>Ivoorkust</v>
      </c>
      <c r="J57" s="319" t="s">
        <v>449</v>
      </c>
      <c r="K57" s="305"/>
      <c r="L57" s="314"/>
      <c r="M57" s="305"/>
      <c r="N57" s="305"/>
      <c r="O57" s="305"/>
    </row>
    <row r="58" spans="1:22" s="309" customFormat="1" ht="11.25">
      <c r="A58" s="305"/>
      <c r="B58" s="321"/>
      <c r="C58" s="322"/>
      <c r="D58" s="323"/>
      <c r="E58" s="324"/>
      <c r="F58" s="131"/>
      <c r="G58" s="322"/>
      <c r="H58" s="322"/>
      <c r="I58" s="322"/>
      <c r="J58" s="131"/>
      <c r="K58" s="305"/>
      <c r="L58" s="314"/>
      <c r="M58" s="305"/>
      <c r="N58" s="305"/>
      <c r="O58" s="305"/>
    </row>
    <row r="59" spans="1:22" s="309" customFormat="1" ht="11.25">
      <c r="A59" s="305"/>
      <c r="B59" s="366" t="s">
        <v>37</v>
      </c>
      <c r="C59" s="366"/>
      <c r="D59" s="366"/>
      <c r="E59" s="366"/>
      <c r="F59" s="366"/>
      <c r="G59" s="366"/>
      <c r="H59" s="366"/>
      <c r="I59" s="366"/>
      <c r="J59" s="366"/>
      <c r="K59" s="305"/>
      <c r="L59" s="306"/>
      <c r="M59" s="365" t="s">
        <v>37</v>
      </c>
      <c r="N59" s="365"/>
      <c r="O59" s="305"/>
      <c r="P59" s="308"/>
      <c r="Q59" s="308"/>
      <c r="R59" s="308"/>
      <c r="S59" s="308"/>
      <c r="T59" s="308"/>
      <c r="U59" s="308"/>
      <c r="V59" s="308"/>
    </row>
    <row r="60" spans="1:22" s="309" customFormat="1" ht="11.25">
      <c r="A60" s="305"/>
      <c r="B60" s="275">
        <v>15</v>
      </c>
      <c r="C60" s="310">
        <v>40345.5625</v>
      </c>
      <c r="D60" s="311">
        <v>40345.5625</v>
      </c>
      <c r="E60" s="312">
        <v>40345.5625</v>
      </c>
      <c r="F60" s="313" t="s">
        <v>451</v>
      </c>
      <c r="G60" s="74" t="str">
        <f>VLOOKUP(F60,M60:N63,2,0)</f>
        <v>Honduras</v>
      </c>
      <c r="H60" s="74" t="s">
        <v>29</v>
      </c>
      <c r="I60" s="74" t="str">
        <f>VLOOKUP(J60,M60:N63,2,0)</f>
        <v>Chili</v>
      </c>
      <c r="J60" s="313" t="s">
        <v>452</v>
      </c>
      <c r="K60" s="305"/>
      <c r="L60" s="314"/>
      <c r="M60" s="74" t="s">
        <v>87</v>
      </c>
      <c r="N60" s="315" t="s">
        <v>200</v>
      </c>
      <c r="O60" s="305"/>
    </row>
    <row r="61" spans="1:22" s="309" customFormat="1" ht="11.25">
      <c r="A61" s="305"/>
      <c r="B61" s="274">
        <v>16</v>
      </c>
      <c r="C61" s="316">
        <v>40345.666666666664</v>
      </c>
      <c r="D61" s="317">
        <v>40345.666666666664</v>
      </c>
      <c r="E61" s="318">
        <v>40345.666666666664</v>
      </c>
      <c r="F61" s="319" t="s">
        <v>87</v>
      </c>
      <c r="G61" s="84" t="str">
        <f>VLOOKUP(F61,M60:N63,2,0)</f>
        <v>Spanje</v>
      </c>
      <c r="H61" s="84" t="s">
        <v>29</v>
      </c>
      <c r="I61" s="84" t="str">
        <f>VLOOKUP(J61,M60:N63,2,0)</f>
        <v>Zwitserland</v>
      </c>
      <c r="J61" s="319" t="s">
        <v>88</v>
      </c>
      <c r="K61" s="305"/>
      <c r="L61" s="314"/>
      <c r="M61" s="84" t="s">
        <v>88</v>
      </c>
      <c r="N61" s="320" t="s">
        <v>276</v>
      </c>
      <c r="O61" s="305"/>
    </row>
    <row r="62" spans="1:22" s="309" customFormat="1" ht="11.25">
      <c r="A62" s="305"/>
      <c r="B62" s="275">
        <v>31</v>
      </c>
      <c r="C62" s="310">
        <v>40350.666666666664</v>
      </c>
      <c r="D62" s="311">
        <v>40350.666666666664</v>
      </c>
      <c r="E62" s="312">
        <v>40350.666666666664</v>
      </c>
      <c r="F62" s="313" t="s">
        <v>452</v>
      </c>
      <c r="G62" s="74" t="str">
        <f>VLOOKUP(F62,M60:N63,2,0)</f>
        <v>Chili</v>
      </c>
      <c r="H62" s="74" t="s">
        <v>29</v>
      </c>
      <c r="I62" s="74" t="str">
        <f>VLOOKUP(J62,M60:N63,2,0)</f>
        <v>Zwitserland</v>
      </c>
      <c r="J62" s="313" t="s">
        <v>88</v>
      </c>
      <c r="K62" s="305"/>
      <c r="L62" s="314"/>
      <c r="M62" s="74" t="s">
        <v>451</v>
      </c>
      <c r="N62" s="315" t="s">
        <v>277</v>
      </c>
      <c r="O62" s="305"/>
    </row>
    <row r="63" spans="1:22" s="309" customFormat="1" ht="11.25">
      <c r="A63" s="305"/>
      <c r="B63" s="274">
        <v>32</v>
      </c>
      <c r="C63" s="316">
        <v>40350.854166666664</v>
      </c>
      <c r="D63" s="317">
        <v>40350.854166666664</v>
      </c>
      <c r="E63" s="318">
        <v>40350.854166666664</v>
      </c>
      <c r="F63" s="319" t="s">
        <v>87</v>
      </c>
      <c r="G63" s="84" t="str">
        <f>VLOOKUP(F63,M60:N63,2,0)</f>
        <v>Spanje</v>
      </c>
      <c r="H63" s="84" t="s">
        <v>29</v>
      </c>
      <c r="I63" s="84" t="str">
        <f>VLOOKUP(J63,M60:N63,2,0)</f>
        <v>Honduras</v>
      </c>
      <c r="J63" s="319" t="s">
        <v>451</v>
      </c>
      <c r="K63" s="305"/>
      <c r="L63" s="314"/>
      <c r="M63" s="84" t="s">
        <v>452</v>
      </c>
      <c r="N63" s="320" t="s">
        <v>274</v>
      </c>
      <c r="O63" s="305"/>
    </row>
    <row r="64" spans="1:22" s="309" customFormat="1" ht="11.25">
      <c r="A64" s="305"/>
      <c r="B64" s="275">
        <v>47</v>
      </c>
      <c r="C64" s="310">
        <v>40354.854166666664</v>
      </c>
      <c r="D64" s="311">
        <v>40354.854166666664</v>
      </c>
      <c r="E64" s="312">
        <v>40354.854166666664</v>
      </c>
      <c r="F64" s="313" t="s">
        <v>452</v>
      </c>
      <c r="G64" s="74" t="str">
        <f>VLOOKUP(F64,M60:N63,2,0)</f>
        <v>Chili</v>
      </c>
      <c r="H64" s="74" t="s">
        <v>29</v>
      </c>
      <c r="I64" s="74" t="str">
        <f>VLOOKUP(J64,M60:N63,2,0)</f>
        <v>Spanje</v>
      </c>
      <c r="J64" s="313" t="s">
        <v>87</v>
      </c>
      <c r="K64" s="305"/>
      <c r="L64" s="314"/>
      <c r="M64" s="305"/>
      <c r="N64" s="305"/>
      <c r="O64" s="305"/>
    </row>
    <row r="65" spans="1:21" s="309" customFormat="1" ht="11.25">
      <c r="A65" s="305"/>
      <c r="B65" s="274">
        <v>48</v>
      </c>
      <c r="C65" s="316">
        <v>40354.854166666664</v>
      </c>
      <c r="D65" s="317">
        <v>40354.854166666664</v>
      </c>
      <c r="E65" s="318">
        <v>40354.854166666664</v>
      </c>
      <c r="F65" s="319" t="s">
        <v>88</v>
      </c>
      <c r="G65" s="84" t="str">
        <f>VLOOKUP(F65,M60:N63,2,0)</f>
        <v>Zwitserland</v>
      </c>
      <c r="H65" s="84" t="s">
        <v>29</v>
      </c>
      <c r="I65" s="84" t="str">
        <f>VLOOKUP(J65,M60:N63,2,0)</f>
        <v>Honduras</v>
      </c>
      <c r="J65" s="319" t="s">
        <v>451</v>
      </c>
      <c r="K65" s="305"/>
      <c r="L65" s="314"/>
      <c r="M65" s="305"/>
      <c r="N65" s="305"/>
      <c r="O65" s="305"/>
    </row>
    <row r="66" spans="1:21">
      <c r="A66" s="326"/>
      <c r="B66" s="327"/>
      <c r="C66" s="326"/>
      <c r="D66" s="328"/>
      <c r="E66" s="326"/>
      <c r="F66" s="329"/>
      <c r="G66" s="326"/>
      <c r="H66" s="326"/>
      <c r="I66" s="326"/>
      <c r="J66" s="326"/>
      <c r="K66" s="326"/>
      <c r="L66" s="330"/>
      <c r="M66" s="326"/>
      <c r="N66" s="326"/>
      <c r="O66" s="331"/>
    </row>
    <row r="67" spans="1:21"/>
    <row r="68" spans="1:21">
      <c r="B68" s="366" t="s">
        <v>453</v>
      </c>
      <c r="C68" s="366"/>
      <c r="D68" s="366"/>
      <c r="E68" s="366"/>
      <c r="F68" s="366"/>
      <c r="G68" s="366"/>
      <c r="H68" s="366"/>
      <c r="I68" s="366"/>
      <c r="J68" s="366"/>
    </row>
    <row r="69" spans="1:21">
      <c r="B69" s="275">
        <v>49</v>
      </c>
      <c r="C69" s="310">
        <v>40355</v>
      </c>
      <c r="D69" s="311">
        <v>40355</v>
      </c>
      <c r="E69" s="312">
        <v>0.66666666666666663</v>
      </c>
      <c r="F69" s="313" t="s">
        <v>454</v>
      </c>
      <c r="G69" s="101" t="str">
        <f t="shared" ref="G69:G76" si="0">VLOOKUP(F69,$Q$69:$R$76,2,0)</f>
        <v>Winnaar Groep A</v>
      </c>
      <c r="H69" s="315" t="s">
        <v>29</v>
      </c>
      <c r="I69" s="74" t="str">
        <f t="shared" ref="I69:I76" si="1">VLOOKUP(J69,$T$69:$U$76,2,0)</f>
        <v>Tweede Groep B</v>
      </c>
      <c r="J69" s="313" t="s">
        <v>455</v>
      </c>
      <c r="Q69" s="4" t="s">
        <v>454</v>
      </c>
      <c r="R69" s="4" t="s">
        <v>171</v>
      </c>
      <c r="T69" s="4" t="s">
        <v>456</v>
      </c>
      <c r="U69" s="4" t="s">
        <v>177</v>
      </c>
    </row>
    <row r="70" spans="1:21">
      <c r="B70" s="274">
        <v>50</v>
      </c>
      <c r="C70" s="316">
        <v>40355</v>
      </c>
      <c r="D70" s="317">
        <v>40355</v>
      </c>
      <c r="E70" s="318">
        <v>0.85416666666666663</v>
      </c>
      <c r="F70" s="319" t="s">
        <v>457</v>
      </c>
      <c r="G70" s="107" t="str">
        <f t="shared" si="0"/>
        <v>Winnaar Groep C</v>
      </c>
      <c r="H70" s="320" t="s">
        <v>29</v>
      </c>
      <c r="I70" s="84" t="str">
        <f t="shared" si="1"/>
        <v>Tweede Groep D</v>
      </c>
      <c r="J70" s="319" t="s">
        <v>458</v>
      </c>
      <c r="Q70" s="4" t="s">
        <v>459</v>
      </c>
      <c r="R70" s="4" t="s">
        <v>460</v>
      </c>
      <c r="T70" s="4" t="s">
        <v>455</v>
      </c>
      <c r="U70" s="4" t="s">
        <v>172</v>
      </c>
    </row>
    <row r="71" spans="1:21">
      <c r="B71" s="275">
        <v>51</v>
      </c>
      <c r="C71" s="310">
        <v>40356</v>
      </c>
      <c r="D71" s="311">
        <v>40356</v>
      </c>
      <c r="E71" s="312">
        <v>0.66666666666666663</v>
      </c>
      <c r="F71" s="313" t="s">
        <v>461</v>
      </c>
      <c r="G71" s="101" t="str">
        <f t="shared" si="0"/>
        <v>Winnaar Groep D</v>
      </c>
      <c r="H71" s="315" t="s">
        <v>29</v>
      </c>
      <c r="I71" s="74" t="str">
        <f t="shared" si="1"/>
        <v>Tweede Groep C</v>
      </c>
      <c r="J71" s="313" t="s">
        <v>462</v>
      </c>
      <c r="Q71" s="4" t="s">
        <v>457</v>
      </c>
      <c r="R71" s="4" t="s">
        <v>173</v>
      </c>
      <c r="T71" s="4" t="s">
        <v>462</v>
      </c>
      <c r="U71" s="4" t="s">
        <v>176</v>
      </c>
    </row>
    <row r="72" spans="1:21">
      <c r="B72" s="274">
        <v>52</v>
      </c>
      <c r="C72" s="316">
        <v>40356</v>
      </c>
      <c r="D72" s="317">
        <v>40356</v>
      </c>
      <c r="E72" s="318">
        <v>0.85416666666666663</v>
      </c>
      <c r="F72" s="319" t="s">
        <v>459</v>
      </c>
      <c r="G72" s="107" t="str">
        <f t="shared" si="0"/>
        <v>Winnaar Groep B</v>
      </c>
      <c r="H72" s="320" t="s">
        <v>29</v>
      </c>
      <c r="I72" s="84" t="str">
        <f t="shared" si="1"/>
        <v>Tweede Groep A</v>
      </c>
      <c r="J72" s="319" t="s">
        <v>456</v>
      </c>
      <c r="Q72" s="4" t="s">
        <v>461</v>
      </c>
      <c r="R72" s="4" t="s">
        <v>175</v>
      </c>
      <c r="T72" s="4" t="s">
        <v>458</v>
      </c>
      <c r="U72" s="4" t="s">
        <v>174</v>
      </c>
    </row>
    <row r="73" spans="1:21">
      <c r="B73" s="275">
        <v>53</v>
      </c>
      <c r="C73" s="310">
        <v>40357</v>
      </c>
      <c r="D73" s="311">
        <v>40357</v>
      </c>
      <c r="E73" s="312">
        <v>0.66666666666666663</v>
      </c>
      <c r="F73" s="313" t="s">
        <v>463</v>
      </c>
      <c r="G73" s="101" t="str">
        <f t="shared" si="0"/>
        <v>Winnaar Groep E</v>
      </c>
      <c r="H73" s="315" t="s">
        <v>29</v>
      </c>
      <c r="I73" s="74" t="str">
        <f t="shared" si="1"/>
        <v>Tweede Groep F</v>
      </c>
      <c r="J73" s="313" t="s">
        <v>464</v>
      </c>
      <c r="Q73" s="4" t="s">
        <v>463</v>
      </c>
      <c r="R73" s="4" t="s">
        <v>465</v>
      </c>
      <c r="T73" s="4" t="s">
        <v>466</v>
      </c>
      <c r="U73" s="4" t="s">
        <v>183</v>
      </c>
    </row>
    <row r="74" spans="1:21">
      <c r="B74" s="274">
        <v>54</v>
      </c>
      <c r="C74" s="316">
        <v>40357</v>
      </c>
      <c r="D74" s="317">
        <v>44010</v>
      </c>
      <c r="E74" s="318">
        <v>0.85416666666666663</v>
      </c>
      <c r="F74" s="319" t="s">
        <v>467</v>
      </c>
      <c r="G74" s="107" t="str">
        <f t="shared" si="0"/>
        <v>Winnaar Groep G</v>
      </c>
      <c r="H74" s="320" t="s">
        <v>29</v>
      </c>
      <c r="I74" s="84" t="str">
        <f t="shared" si="1"/>
        <v>Tweede Groep H</v>
      </c>
      <c r="J74" s="319" t="s">
        <v>468</v>
      </c>
      <c r="Q74" s="4" t="s">
        <v>469</v>
      </c>
      <c r="R74" s="4" t="s">
        <v>470</v>
      </c>
      <c r="T74" s="4" t="s">
        <v>464</v>
      </c>
      <c r="U74" s="4" t="s">
        <v>179</v>
      </c>
    </row>
    <row r="75" spans="1:21">
      <c r="B75" s="275">
        <v>55</v>
      </c>
      <c r="C75" s="310">
        <v>40358</v>
      </c>
      <c r="D75" s="311">
        <v>40358</v>
      </c>
      <c r="E75" s="312">
        <v>0.66666666666666663</v>
      </c>
      <c r="F75" s="313" t="s">
        <v>469</v>
      </c>
      <c r="G75" s="101" t="str">
        <f t="shared" si="0"/>
        <v>Winnaar Groep F</v>
      </c>
      <c r="H75" s="315" t="s">
        <v>29</v>
      </c>
      <c r="I75" s="74" t="str">
        <f t="shared" si="1"/>
        <v>Tweede Groep E</v>
      </c>
      <c r="J75" s="313" t="s">
        <v>466</v>
      </c>
      <c r="Q75" s="4" t="s">
        <v>467</v>
      </c>
      <c r="R75" s="4" t="s">
        <v>180</v>
      </c>
      <c r="T75" s="4" t="s">
        <v>471</v>
      </c>
      <c r="U75" s="4" t="s">
        <v>185</v>
      </c>
    </row>
    <row r="76" spans="1:21">
      <c r="B76" s="274">
        <v>56</v>
      </c>
      <c r="C76" s="316">
        <v>40358</v>
      </c>
      <c r="D76" s="317">
        <v>40358</v>
      </c>
      <c r="E76" s="318">
        <v>0.85416666666666663</v>
      </c>
      <c r="F76" s="319" t="s">
        <v>472</v>
      </c>
      <c r="G76" s="107" t="str">
        <f t="shared" si="0"/>
        <v>Winnaar Groep H</v>
      </c>
      <c r="H76" s="320" t="s">
        <v>29</v>
      </c>
      <c r="I76" s="84" t="str">
        <f t="shared" si="1"/>
        <v>Tweede Groep G</v>
      </c>
      <c r="J76" s="319" t="s">
        <v>471</v>
      </c>
      <c r="Q76" s="4" t="s">
        <v>472</v>
      </c>
      <c r="R76" s="4" t="s">
        <v>184</v>
      </c>
      <c r="T76" s="4" t="s">
        <v>468</v>
      </c>
      <c r="U76" s="4" t="s">
        <v>181</v>
      </c>
    </row>
    <row r="77" spans="1:21">
      <c r="A77" s="110"/>
      <c r="B77" s="109"/>
      <c r="C77" s="110"/>
      <c r="D77" s="111"/>
      <c r="E77" s="110"/>
      <c r="F77" s="137"/>
      <c r="G77" s="110"/>
      <c r="H77" s="110"/>
      <c r="I77" s="110"/>
      <c r="J77" s="110"/>
      <c r="K77" s="110"/>
      <c r="L77" s="112"/>
      <c r="M77" s="110"/>
      <c r="N77" s="110"/>
      <c r="O77" s="331"/>
    </row>
    <row r="78" spans="1:21"/>
    <row r="79" spans="1:21">
      <c r="B79" s="366" t="s">
        <v>46</v>
      </c>
      <c r="C79" s="366"/>
      <c r="D79" s="366"/>
      <c r="E79" s="366"/>
      <c r="F79" s="366"/>
      <c r="G79" s="366"/>
      <c r="H79" s="366"/>
      <c r="I79" s="366"/>
      <c r="J79" s="366"/>
      <c r="Q79" s="4" t="s">
        <v>473</v>
      </c>
      <c r="R79" s="4" t="s">
        <v>189</v>
      </c>
    </row>
    <row r="80" spans="1:21">
      <c r="B80" s="275">
        <v>57</v>
      </c>
      <c r="C80" s="310">
        <v>40361</v>
      </c>
      <c r="D80" s="311">
        <v>40361</v>
      </c>
      <c r="E80" s="312">
        <v>0.66666666666666663</v>
      </c>
      <c r="F80" s="313" t="s">
        <v>474</v>
      </c>
      <c r="G80" s="74" t="str">
        <f>VLOOKUP(F80,$Q$79:$R$86,2,0)</f>
        <v>Winnaar 53</v>
      </c>
      <c r="H80" s="315" t="s">
        <v>29</v>
      </c>
      <c r="I80" s="74" t="str">
        <f>VLOOKUP(J80,$Q$79:$R$86,2,0)</f>
        <v>Winnaar 54</v>
      </c>
      <c r="J80" s="313" t="s">
        <v>475</v>
      </c>
      <c r="Q80" s="4" t="s">
        <v>476</v>
      </c>
      <c r="R80" s="4" t="s">
        <v>190</v>
      </c>
    </row>
    <row r="81" spans="1:21">
      <c r="B81" s="274">
        <v>58</v>
      </c>
      <c r="C81" s="316">
        <v>40361</v>
      </c>
      <c r="D81" s="317">
        <v>40361</v>
      </c>
      <c r="E81" s="318">
        <v>0.85416666666666663</v>
      </c>
      <c r="F81" s="319" t="s">
        <v>473</v>
      </c>
      <c r="G81" s="84" t="str">
        <f>VLOOKUP(F81,$Q$79:$R$86,2,0)</f>
        <v>Winnaar 49</v>
      </c>
      <c r="H81" s="320" t="s">
        <v>29</v>
      </c>
      <c r="I81" s="84" t="str">
        <f>VLOOKUP(J81,$Q$79:$R$86,2,0)</f>
        <v>Winnaar 50</v>
      </c>
      <c r="J81" s="319" t="s">
        <v>476</v>
      </c>
      <c r="Q81" s="4" t="s">
        <v>477</v>
      </c>
      <c r="R81" s="4" t="s">
        <v>192</v>
      </c>
    </row>
    <row r="82" spans="1:21">
      <c r="B82" s="275">
        <v>59</v>
      </c>
      <c r="C82" s="310">
        <v>40362</v>
      </c>
      <c r="D82" s="311">
        <v>40362</v>
      </c>
      <c r="E82" s="312">
        <v>0.66666666666666663</v>
      </c>
      <c r="F82" s="313" t="s">
        <v>478</v>
      </c>
      <c r="G82" s="74" t="str">
        <f>VLOOKUP(F82,$Q$79:$R$86,2,0)</f>
        <v>Winnaar 52</v>
      </c>
      <c r="H82" s="315" t="s">
        <v>29</v>
      </c>
      <c r="I82" s="74" t="str">
        <f>VLOOKUP(J82,$Q$79:$R$86,2,0)</f>
        <v>Winnaar 51</v>
      </c>
      <c r="J82" s="313" t="s">
        <v>477</v>
      </c>
      <c r="Q82" s="4" t="s">
        <v>478</v>
      </c>
      <c r="R82" s="4" t="s">
        <v>191</v>
      </c>
    </row>
    <row r="83" spans="1:21">
      <c r="B83" s="274">
        <v>60</v>
      </c>
      <c r="C83" s="316">
        <v>40362</v>
      </c>
      <c r="D83" s="317">
        <v>40362</v>
      </c>
      <c r="E83" s="318">
        <v>0.85416666666666663</v>
      </c>
      <c r="F83" s="319" t="s">
        <v>479</v>
      </c>
      <c r="G83" s="84" t="str">
        <f>VLOOKUP(F83,$Q$79:$R$86,2,0)</f>
        <v>Winnaar 55</v>
      </c>
      <c r="H83" s="320" t="s">
        <v>29</v>
      </c>
      <c r="I83" s="84" t="str">
        <f>VLOOKUP(J83,$Q$79:$R$86,2,0)</f>
        <v>Winnaar 56</v>
      </c>
      <c r="J83" s="319" t="s">
        <v>480</v>
      </c>
      <c r="Q83" s="4" t="s">
        <v>474</v>
      </c>
      <c r="R83" s="4" t="s">
        <v>187</v>
      </c>
    </row>
    <row r="84" spans="1:21">
      <c r="A84" s="110"/>
      <c r="B84" s="109"/>
      <c r="C84" s="110"/>
      <c r="D84" s="111"/>
      <c r="E84" s="110"/>
      <c r="F84" s="137"/>
      <c r="G84" s="110"/>
      <c r="H84" s="110"/>
      <c r="I84" s="110"/>
      <c r="J84" s="110"/>
      <c r="K84" s="110"/>
      <c r="L84" s="112"/>
      <c r="M84" s="110"/>
      <c r="N84" s="110"/>
      <c r="Q84" s="4" t="s">
        <v>475</v>
      </c>
      <c r="R84" s="4" t="s">
        <v>188</v>
      </c>
    </row>
    <row r="85" spans="1:21">
      <c r="Q85" s="4" t="s">
        <v>479</v>
      </c>
      <c r="R85" s="4" t="s">
        <v>193</v>
      </c>
    </row>
    <row r="86" spans="1:21">
      <c r="B86" s="366" t="s">
        <v>47</v>
      </c>
      <c r="C86" s="366"/>
      <c r="D86" s="366"/>
      <c r="E86" s="366"/>
      <c r="F86" s="366"/>
      <c r="G86" s="366"/>
      <c r="H86" s="366"/>
      <c r="I86" s="366"/>
      <c r="J86" s="366"/>
      <c r="Q86" s="4" t="s">
        <v>480</v>
      </c>
      <c r="R86" s="4" t="s">
        <v>194</v>
      </c>
    </row>
    <row r="87" spans="1:21">
      <c r="B87" s="275">
        <v>61</v>
      </c>
      <c r="C87" s="310">
        <v>40365</v>
      </c>
      <c r="D87" s="311">
        <v>40365</v>
      </c>
      <c r="E87" s="312">
        <v>0.85416666666666663</v>
      </c>
      <c r="F87" s="313" t="s">
        <v>481</v>
      </c>
      <c r="G87" s="74" t="str">
        <f>VLOOKUP(F87,$Q$88:$R$91,2,0)</f>
        <v>Winnaar 58</v>
      </c>
      <c r="H87" s="315" t="s">
        <v>29</v>
      </c>
      <c r="I87" s="74" t="str">
        <f>VLOOKUP(J87,$Q$88:$R$91,2,0)</f>
        <v>Winnaar 57</v>
      </c>
      <c r="J87" s="313" t="s">
        <v>482</v>
      </c>
    </row>
    <row r="88" spans="1:21">
      <c r="B88" s="274">
        <v>62</v>
      </c>
      <c r="C88" s="316">
        <v>40366</v>
      </c>
      <c r="D88" s="317">
        <v>40366</v>
      </c>
      <c r="E88" s="318">
        <v>0.85416666666666663</v>
      </c>
      <c r="F88" s="319" t="s">
        <v>483</v>
      </c>
      <c r="G88" s="84" t="str">
        <f>VLOOKUP(F88,$Q$88:$R$91,2,0)</f>
        <v>Winnaar 59</v>
      </c>
      <c r="H88" s="320" t="s">
        <v>29</v>
      </c>
      <c r="I88" s="84" t="str">
        <f>VLOOKUP(J88,$Q$88:$R$91,2,0)</f>
        <v>Winnaar 60</v>
      </c>
      <c r="J88" s="319" t="s">
        <v>484</v>
      </c>
      <c r="Q88" s="4" t="s">
        <v>482</v>
      </c>
      <c r="R88" s="4" t="s">
        <v>196</v>
      </c>
    </row>
    <row r="89" spans="1:21">
      <c r="A89" s="110"/>
      <c r="B89" s="109"/>
      <c r="C89" s="110"/>
      <c r="D89" s="111"/>
      <c r="E89" s="110"/>
      <c r="F89" s="137"/>
      <c r="G89" s="110"/>
      <c r="H89" s="110"/>
      <c r="I89" s="110"/>
      <c r="J89" s="110"/>
      <c r="K89" s="110"/>
      <c r="L89" s="112"/>
      <c r="M89" s="110"/>
      <c r="N89" s="110"/>
      <c r="Q89" s="4" t="s">
        <v>481</v>
      </c>
      <c r="R89" s="4" t="s">
        <v>195</v>
      </c>
    </row>
    <row r="90" spans="1:21">
      <c r="Q90" s="4" t="s">
        <v>483</v>
      </c>
      <c r="R90" s="4" t="s">
        <v>197</v>
      </c>
    </row>
    <row r="91" spans="1:21">
      <c r="B91" s="366" t="s">
        <v>48</v>
      </c>
      <c r="C91" s="366"/>
      <c r="D91" s="366"/>
      <c r="E91" s="366"/>
      <c r="F91" s="366"/>
      <c r="G91" s="366"/>
      <c r="H91" s="366"/>
      <c r="I91" s="366"/>
      <c r="J91" s="366"/>
      <c r="Q91" s="4" t="s">
        <v>484</v>
      </c>
      <c r="R91" s="4" t="s">
        <v>198</v>
      </c>
    </row>
    <row r="92" spans="1:21">
      <c r="B92" s="275">
        <v>63</v>
      </c>
      <c r="C92" s="310">
        <v>40369</v>
      </c>
      <c r="D92" s="311">
        <v>40369</v>
      </c>
      <c r="E92" s="312">
        <v>0.85416666666666663</v>
      </c>
      <c r="F92" s="313" t="s">
        <v>485</v>
      </c>
      <c r="G92" s="74" t="str">
        <f>VLOOKUP(F92,$T$93:$U$94,2,0)</f>
        <v>Verliezer 61</v>
      </c>
      <c r="H92" s="315" t="s">
        <v>29</v>
      </c>
      <c r="I92" s="74" t="str">
        <f>VLOOKUP(J92,$T$93:$U$94,2,0)</f>
        <v>Verliezer 62</v>
      </c>
      <c r="J92" s="313" t="s">
        <v>486</v>
      </c>
    </row>
    <row r="93" spans="1:21">
      <c r="A93" s="110"/>
      <c r="B93" s="109"/>
      <c r="C93" s="110"/>
      <c r="D93" s="111"/>
      <c r="E93" s="110"/>
      <c r="F93" s="137"/>
      <c r="G93" s="110"/>
      <c r="H93" s="110"/>
      <c r="I93" s="110"/>
      <c r="J93" s="110"/>
      <c r="K93" s="110"/>
      <c r="L93" s="112"/>
      <c r="M93" s="110"/>
      <c r="N93" s="110"/>
      <c r="Q93" s="4" t="s">
        <v>487</v>
      </c>
      <c r="R93" s="4" t="s">
        <v>488</v>
      </c>
      <c r="T93" s="4" t="s">
        <v>485</v>
      </c>
      <c r="U93" s="4" t="s">
        <v>489</v>
      </c>
    </row>
    <row r="94" spans="1:21">
      <c r="Q94" s="4" t="s">
        <v>490</v>
      </c>
      <c r="R94" s="4" t="s">
        <v>491</v>
      </c>
      <c r="T94" s="4" t="s">
        <v>486</v>
      </c>
      <c r="U94" s="4" t="s">
        <v>492</v>
      </c>
    </row>
    <row r="95" spans="1:21">
      <c r="B95" s="366" t="s">
        <v>48</v>
      </c>
      <c r="C95" s="366"/>
      <c r="D95" s="366"/>
      <c r="E95" s="366"/>
      <c r="F95" s="366"/>
      <c r="G95" s="366"/>
      <c r="H95" s="366"/>
      <c r="I95" s="366"/>
      <c r="J95" s="366"/>
    </row>
    <row r="96" spans="1:21">
      <c r="B96" s="275">
        <v>64</v>
      </c>
      <c r="C96" s="310">
        <v>40370</v>
      </c>
      <c r="D96" s="311">
        <v>40370</v>
      </c>
      <c r="E96" s="312">
        <v>0.85416666666666663</v>
      </c>
      <c r="F96" s="313" t="s">
        <v>487</v>
      </c>
      <c r="G96" s="74" t="str">
        <f>VLOOKUP(F96,$Q$93:$R$94,2,0)</f>
        <v>Winnaar 61</v>
      </c>
      <c r="H96" s="315" t="s">
        <v>29</v>
      </c>
      <c r="I96" s="74" t="str">
        <f>VLOOKUP(J96,$Q$93:$R$94,2,0)</f>
        <v>Winnaar 62</v>
      </c>
      <c r="J96" s="313" t="s">
        <v>490</v>
      </c>
    </row>
    <row r="97"/>
  </sheetData>
  <sheetProtection selectLockedCells="1" selectUnlockedCells="1"/>
  <mergeCells count="21">
    <mergeCell ref="B86:J86"/>
    <mergeCell ref="B91:J91"/>
    <mergeCell ref="B95:J95"/>
    <mergeCell ref="B51:J51"/>
    <mergeCell ref="M51:N51"/>
    <mergeCell ref="B59:J59"/>
    <mergeCell ref="M59:N59"/>
    <mergeCell ref="B68:J68"/>
    <mergeCell ref="B79:J79"/>
    <mergeCell ref="B27:J27"/>
    <mergeCell ref="M27:N27"/>
    <mergeCell ref="B35:J35"/>
    <mergeCell ref="M35:N35"/>
    <mergeCell ref="B43:J43"/>
    <mergeCell ref="M43:N43"/>
    <mergeCell ref="B3:J3"/>
    <mergeCell ref="M3:N3"/>
    <mergeCell ref="B11:J11"/>
    <mergeCell ref="M11:N11"/>
    <mergeCell ref="B19:J19"/>
    <mergeCell ref="M19:N19"/>
  </mergeCells>
  <conditionalFormatting sqref="L4:L9 L12:L17 L20:L25 L28:L33 L36:L41 L44:L49 L52:L57 L60:L65">
    <cfRule type="cellIs" dxfId="0" priority="1" stopIfTrue="1" operator="equal">
      <formula>"FOUT"</formula>
    </cfRule>
  </conditionalFormatting>
  <dataValidations count="14">
    <dataValidation type="list" operator="equal" allowBlank="1" showInputMessage="1" showErrorMessage="1" sqref="F4:F9 J4:J9">
      <formula1>GroepA</formula1>
      <formula2>0</formula2>
    </dataValidation>
    <dataValidation type="list" operator="equal" allowBlank="1" showInputMessage="1" showErrorMessage="1" sqref="F12:F17 J12:J17">
      <formula1>GroepB</formula1>
      <formula2>0</formula2>
    </dataValidation>
    <dataValidation type="list" operator="equal" allowBlank="1" showInputMessage="1" showErrorMessage="1" sqref="F20:F25 J20:J25">
      <formula1>GroepC</formula1>
      <formula2>0</formula2>
    </dataValidation>
    <dataValidation type="list" operator="equal" allowBlank="1" showInputMessage="1" showErrorMessage="1" sqref="F28:F33 J28:J33">
      <formula1>GroepD</formula1>
      <formula2>0</formula2>
    </dataValidation>
    <dataValidation type="list" operator="equal" allowBlank="1" showInputMessage="1" showErrorMessage="1" sqref="F36:F41 J36:J41">
      <formula1>GroepE</formula1>
      <formula2>0</formula2>
    </dataValidation>
    <dataValidation type="list" operator="equal" allowBlank="1" showInputMessage="1" showErrorMessage="1" sqref="F44:F49 J44:J49">
      <formula1>GroepF</formula1>
      <formula2>0</formula2>
    </dataValidation>
    <dataValidation type="list" operator="equal" allowBlank="1" showInputMessage="1" showErrorMessage="1" sqref="F52:F57 J52:J57">
      <formula1>GroepG</formula1>
      <formula2>0</formula2>
    </dataValidation>
    <dataValidation type="list" operator="equal" allowBlank="1" showInputMessage="1" showErrorMessage="1" sqref="F60:F65 J60:J65">
      <formula1>GroepH</formula1>
      <formula2>0</formula2>
    </dataValidation>
    <dataValidation type="list" operator="equal" allowBlank="1" showInputMessage="1" showErrorMessage="1" sqref="F69:F76">
      <formula1>PouleWinnaars</formula1>
      <formula2>0</formula2>
    </dataValidation>
    <dataValidation type="list" operator="equal" allowBlank="1" showInputMessage="1" showErrorMessage="1" sqref="J69:J76">
      <formula1>PouleTweede</formula1>
      <formula2>0</formula2>
    </dataValidation>
    <dataValidation type="list" operator="equal" allowBlank="1" showInputMessage="1" showErrorMessage="1" sqref="F80:F83 J80:J83">
      <formula1>WinnaarAcht</formula1>
      <formula2>0</formula2>
    </dataValidation>
    <dataValidation type="list" operator="equal" allowBlank="1" showInputMessage="1" showErrorMessage="1" sqref="F87:F88 J87:J88">
      <formula1>WinnaarKwart</formula1>
      <formula2>0</formula2>
    </dataValidation>
    <dataValidation type="list" operator="equal" allowBlank="1" showInputMessage="1" showErrorMessage="1" sqref="F92 J92">
      <formula1>VerliezerHalf</formula1>
      <formula2>0</formula2>
    </dataValidation>
    <dataValidation type="list" operator="equal" allowBlank="1" showInputMessage="1" showErrorMessage="1" sqref="F96 J96">
      <formula1>WinnaarHalf</formula1>
      <formula2>0</formula2>
    </dataValidation>
  </dataValidations>
  <pageMargins left="0.75" right="0.75" top="1" bottom="1" header="0.51180555555555551" footer="0.51180555555555551"/>
  <pageSetup firstPageNumber="0"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sheetPr enableFormatConditionsCalculation="0">
    <tabColor indexed="10"/>
  </sheetPr>
  <dimension ref="A1:AV80"/>
  <sheetViews>
    <sheetView workbookViewId="0">
      <pane xSplit="2" ySplit="1" topLeftCell="C41" activePane="bottomRight" state="frozen"/>
      <selection pane="topRight" activeCell="C1" sqref="C1"/>
      <selection pane="bottomLeft" activeCell="A2" sqref="A2"/>
      <selection pane="bottomRight" activeCell="S79" sqref="S79"/>
    </sheetView>
  </sheetViews>
  <sheetFormatPr defaultRowHeight="12.75"/>
  <cols>
    <col min="1" max="1" width="1.140625" style="189" customWidth="1"/>
    <col min="2" max="2" width="27.5703125" style="163" customWidth="1"/>
    <col min="3" max="3" width="6" style="163" customWidth="1"/>
    <col min="4" max="4" width="5.85546875" style="163" customWidth="1"/>
    <col min="5" max="5" width="6.5703125" style="163" customWidth="1"/>
    <col min="6" max="6" width="5" style="163" customWidth="1"/>
    <col min="7" max="11" width="6.5703125" style="163" customWidth="1"/>
    <col min="12" max="12" width="4.5703125" style="163" customWidth="1"/>
    <col min="13" max="14" width="6.5703125" style="163" customWidth="1"/>
    <col min="15" max="15" width="5" style="163" customWidth="1"/>
    <col min="16" max="24" width="6.5703125" style="163" customWidth="1"/>
    <col min="25" max="25" width="4.85546875" style="178" customWidth="1"/>
    <col min="26" max="26" width="6" style="190" customWidth="1"/>
    <col min="27" max="48" width="5.42578125" style="163" customWidth="1"/>
    <col min="49" max="16384" width="9.140625" style="163"/>
  </cols>
  <sheetData>
    <row r="1" spans="1:48" s="193" customFormat="1" ht="13.5" thickBot="1">
      <c r="A1" s="191"/>
      <c r="B1" s="192" t="s">
        <v>91</v>
      </c>
      <c r="C1" s="192" t="s">
        <v>61</v>
      </c>
      <c r="D1" s="192" t="s">
        <v>51</v>
      </c>
      <c r="E1" s="192" t="s">
        <v>54</v>
      </c>
      <c r="F1" s="192" t="s">
        <v>67</v>
      </c>
      <c r="G1" s="192" t="s">
        <v>52</v>
      </c>
      <c r="H1" s="192" t="s">
        <v>53</v>
      </c>
      <c r="I1" s="192" t="s">
        <v>63</v>
      </c>
      <c r="J1" s="192" t="s">
        <v>56</v>
      </c>
      <c r="K1" s="192" t="s">
        <v>57</v>
      </c>
      <c r="L1" s="192" t="s">
        <v>72</v>
      </c>
      <c r="M1" s="192" t="s">
        <v>70</v>
      </c>
      <c r="N1" s="192" t="s">
        <v>55</v>
      </c>
      <c r="O1" s="192" t="s">
        <v>58</v>
      </c>
      <c r="P1" s="192" t="s">
        <v>66</v>
      </c>
      <c r="Q1" s="192" t="s">
        <v>60</v>
      </c>
      <c r="R1" s="192" t="s">
        <v>71</v>
      </c>
      <c r="S1" s="192" t="s">
        <v>65</v>
      </c>
      <c r="T1" s="192" t="s">
        <v>62</v>
      </c>
      <c r="U1" s="192" t="s">
        <v>68</v>
      </c>
      <c r="V1" s="192" t="s">
        <v>64</v>
      </c>
      <c r="W1" s="192" t="s">
        <v>59</v>
      </c>
      <c r="X1" s="192" t="s">
        <v>69</v>
      </c>
      <c r="Y1" s="352"/>
      <c r="Z1" s="353"/>
      <c r="AA1" s="192" t="str">
        <f>C1</f>
        <v>Leen</v>
      </c>
      <c r="AB1" s="192" t="str">
        <f>D1</f>
        <v>Willem</v>
      </c>
      <c r="AC1" s="192" t="str">
        <f>E1</f>
        <v>Paul</v>
      </c>
      <c r="AD1" s="192" t="str">
        <f>F1</f>
        <v>Harro</v>
      </c>
      <c r="AE1" s="192" t="str">
        <f>G1</f>
        <v>Reindert</v>
      </c>
      <c r="AF1" s="192" t="str">
        <f>H1</f>
        <v>PeterK</v>
      </c>
      <c r="AG1" s="192" t="str">
        <f>I1</f>
        <v>José</v>
      </c>
      <c r="AH1" s="192" t="str">
        <f>J1</f>
        <v>Mariel</v>
      </c>
      <c r="AI1" s="192" t="str">
        <f>K1</f>
        <v>City</v>
      </c>
      <c r="AJ1" s="192" t="str">
        <f>L1</f>
        <v>Angele</v>
      </c>
      <c r="AK1" s="192" t="str">
        <f>M1</f>
        <v>Eric</v>
      </c>
      <c r="AL1" s="192" t="str">
        <f>N1</f>
        <v>Matthijs</v>
      </c>
      <c r="AM1" s="192" t="str">
        <f>O1</f>
        <v>Lothar</v>
      </c>
      <c r="AN1" s="192" t="str">
        <f>P1</f>
        <v>Jan</v>
      </c>
      <c r="AO1" s="192" t="str">
        <f>S1</f>
        <v>Jerome</v>
      </c>
      <c r="AP1" s="192" t="str">
        <f>T1</f>
        <v>Lafleur</v>
      </c>
      <c r="AQ1" s="192" t="str">
        <f>U1</f>
        <v>Gerard</v>
      </c>
      <c r="AR1" s="192" t="str">
        <f>V1</f>
        <v>Joris</v>
      </c>
      <c r="AS1" s="192" t="str">
        <f>W1</f>
        <v>Linda</v>
      </c>
      <c r="AT1" s="192" t="str">
        <f>Q1</f>
        <v>LeSu</v>
      </c>
      <c r="AU1" s="192" t="str">
        <f>R1</f>
        <v>Annita</v>
      </c>
      <c r="AV1" s="192" t="str">
        <f t="shared" ref="AV1" si="0">X1</f>
        <v>Frank</v>
      </c>
    </row>
    <row r="2" spans="1:48">
      <c r="A2" s="189">
        <v>1</v>
      </c>
      <c r="B2" s="165" t="str">
        <f>VLOOKUP($A2,Willem!$B$14:$P$89,4,0)&amp;"-"&amp;VLOOKUP($A2,Willem!$B$14:$P$89,6,0)</f>
        <v>Zuid-Afrika-  Mexico</v>
      </c>
      <c r="C2" s="340">
        <f ca="1">IF(VLOOKUP($A2,INDIRECT(C$1&amp;"!$B$14:$P$89"),15,0)&lt;&gt;"",VLOOKUP($A2,INDIRECT(C$1&amp;"!$B$14:$P$89"),15,0),"")</f>
        <v>0</v>
      </c>
      <c r="D2" s="340">
        <f ca="1">IF(VLOOKUP($A2,INDIRECT(D$1&amp;"!$B$14:$P$89"),15,0)&lt;&gt;"",VLOOKUP($A2,INDIRECT(D$1&amp;"!$B$14:$P$89"),15,0),"")</f>
        <v>10</v>
      </c>
      <c r="E2" s="340">
        <f ca="1">IF(VLOOKUP($A2,INDIRECT(E$1&amp;"!$B$14:$P$89"),15,0)&lt;&gt;"",VLOOKUP($A2,INDIRECT(E$1&amp;"!$B$14:$P$89"),15,0),"")</f>
        <v>0</v>
      </c>
      <c r="F2" s="340">
        <f ca="1">IF(VLOOKUP($A2,INDIRECT(F$1&amp;"!$B$14:$P$89"),15,0)&lt;&gt;"",VLOOKUP($A2,INDIRECT(F$1&amp;"!$B$14:$P$89"),15,0),"")</f>
        <v>0</v>
      </c>
      <c r="G2" s="340">
        <f ca="1">IF(VLOOKUP($A2,INDIRECT(G$1&amp;"!$B$14:$P$89"),15,0)&lt;&gt;"",VLOOKUP($A2,INDIRECT(G$1&amp;"!$B$14:$P$89"),15,0),"")</f>
        <v>10</v>
      </c>
      <c r="H2" s="340">
        <f ca="1">IF(VLOOKUP($A2,INDIRECT(H$1&amp;"!$B$14:$P$89"),15,0)&lt;&gt;"",VLOOKUP($A2,INDIRECT(H$1&amp;"!$B$14:$P$89"),15,0),"")</f>
        <v>10</v>
      </c>
      <c r="I2" s="340">
        <f ca="1">IF(VLOOKUP($A2,INDIRECT(I$1&amp;"!$B$14:$P$89"),15,0)&lt;&gt;"",VLOOKUP($A2,INDIRECT(I$1&amp;"!$B$14:$P$89"),15,0),"")</f>
        <v>0</v>
      </c>
      <c r="J2" s="340">
        <f ca="1">IF(VLOOKUP($A2,INDIRECT(J$1&amp;"!$B$14:$P$89"),15,0)&lt;&gt;"",VLOOKUP($A2,INDIRECT(J$1&amp;"!$B$14:$P$89"),15,0),"")</f>
        <v>0</v>
      </c>
      <c r="K2" s="340">
        <f ca="1">IF(VLOOKUP($A2,INDIRECT(K$1&amp;"!$B$14:$P$89"),15,0)&lt;&gt;"",VLOOKUP($A2,INDIRECT(K$1&amp;"!$B$14:$P$89"),15,0),"")</f>
        <v>0</v>
      </c>
      <c r="L2" s="340">
        <f ca="1">IF(VLOOKUP($A2,INDIRECT(L$1&amp;"!$B$14:$P$89"),15,0)&lt;&gt;"",VLOOKUP($A2,INDIRECT(L$1&amp;"!$B$14:$P$89"),15,0),"")</f>
        <v>0</v>
      </c>
      <c r="M2" s="340">
        <f ca="1">IF(VLOOKUP($A2,INDIRECT(M$1&amp;"!$B$14:$P$89"),15,0)&lt;&gt;"",VLOOKUP($A2,INDIRECT(M$1&amp;"!$B$14:$P$89"),15,0),"")</f>
        <v>0</v>
      </c>
      <c r="N2" s="340">
        <f ca="1">IF(VLOOKUP($A2,INDIRECT(N$1&amp;"!$B$14:$P$89"),15,0)&lt;&gt;"",VLOOKUP($A2,INDIRECT(N$1&amp;"!$B$14:$P$89"),15,0),"")</f>
        <v>0</v>
      </c>
      <c r="O2" s="340">
        <f ca="1">IF(VLOOKUP($A2,INDIRECT(O$1&amp;"!$B$14:$P$89"),15,0)&lt;&gt;"",VLOOKUP($A2,INDIRECT(O$1&amp;"!$B$14:$P$89"),15,0),"")</f>
        <v>0</v>
      </c>
      <c r="P2" s="340">
        <f ca="1">IF(VLOOKUP($A2,INDIRECT(P$1&amp;"!$B$14:$P$89"),15,0)&lt;&gt;"",VLOOKUP($A2,INDIRECT(P$1&amp;"!$B$14:$P$89"),15,0),"")</f>
        <v>10</v>
      </c>
      <c r="Q2" s="340">
        <f ca="1">IF(VLOOKUP($A2,INDIRECT(Q$1&amp;"!$B$14:$P$89"),15,0)&lt;&gt;"",VLOOKUP($A2,INDIRECT(Q$1&amp;"!$B$14:$P$89"),15,0),"")</f>
        <v>0</v>
      </c>
      <c r="R2" s="340">
        <f ca="1">IF(VLOOKUP($A2,INDIRECT(R$1&amp;"!$B$14:$P$89"),15,0)&lt;&gt;"",VLOOKUP($A2,INDIRECT(R$1&amp;"!$B$14:$P$89"),15,0),"")</f>
        <v>0</v>
      </c>
      <c r="S2" s="340">
        <f ca="1">IF(VLOOKUP($A2,INDIRECT(S$1&amp;"!$B$14:$P$89"),15,0)&lt;&gt;"",VLOOKUP($A2,INDIRECT(S$1&amp;"!$B$14:$P$89"),15,0),"")</f>
        <v>0</v>
      </c>
      <c r="T2" s="340">
        <f ca="1">IF(VLOOKUP($A2,INDIRECT(T$1&amp;"!$B$14:$P$89"),15,0)&lt;&gt;"",VLOOKUP($A2,INDIRECT(T$1&amp;"!$B$14:$P$89"),15,0),"")</f>
        <v>0</v>
      </c>
      <c r="U2" s="340">
        <f ca="1">IF(VLOOKUP($A2,INDIRECT(U$1&amp;"!$B$14:$P$89"),15,0)&lt;&gt;"",VLOOKUP($A2,INDIRECT(U$1&amp;"!$B$14:$P$89"),15,0),"")</f>
        <v>10</v>
      </c>
      <c r="V2" s="340">
        <f ca="1">IF(VLOOKUP($A2,INDIRECT(V$1&amp;"!$B$14:$P$89"),15,0)&lt;&gt;"",VLOOKUP($A2,INDIRECT(V$1&amp;"!$B$14:$P$89"),15,0),"")</f>
        <v>0</v>
      </c>
      <c r="W2" s="340">
        <f ca="1">IF(VLOOKUP($A2,INDIRECT(W$1&amp;"!$B$14:$P$89"),15,0)&lt;&gt;"",VLOOKUP($A2,INDIRECT(W$1&amp;"!$B$14:$P$89"),15,0),"")</f>
        <v>0</v>
      </c>
      <c r="X2" s="340">
        <f ca="1">IF(VLOOKUP($A2,INDIRECT(X$1&amp;"!$B$14:$P$89"),15,0)&lt;&gt;"",VLOOKUP($A2,INDIRECT(X$1&amp;"!$B$14:$P$89"),15,0),"")</f>
        <v>10</v>
      </c>
      <c r="Y2" s="178">
        <f t="shared" ref="Y2:Y33" ca="1" si="1">AVERAGE(C2:X2)</f>
        <v>2.7272727272727271</v>
      </c>
      <c r="Z2" s="194">
        <f ca="1">Y2</f>
        <v>2.7272727272727271</v>
      </c>
      <c r="AA2" s="195">
        <f ca="1">IF(C2&lt;&gt;"",C2-$Y2,"")</f>
        <v>-2.7272727272727271</v>
      </c>
      <c r="AB2" s="195">
        <f ca="1">IF(D2&lt;&gt;"",D2-$Y2,"")</f>
        <v>7.2727272727272734</v>
      </c>
      <c r="AC2" s="195">
        <f ca="1">IF(E2&lt;&gt;"",E2-$Y2,"")</f>
        <v>-2.7272727272727271</v>
      </c>
      <c r="AD2" s="195">
        <f ca="1">IF(F2&lt;&gt;"",F2-$Y2,"")</f>
        <v>-2.7272727272727271</v>
      </c>
      <c r="AE2" s="195">
        <f ca="1">IF(G2&lt;&gt;"",G2-$Y2,"")</f>
        <v>7.2727272727272734</v>
      </c>
      <c r="AF2" s="195">
        <f ca="1">IF(H2&lt;&gt;"",H2-$Y2,"")</f>
        <v>7.2727272727272734</v>
      </c>
      <c r="AG2" s="195">
        <f ca="1">IF(I2&lt;&gt;"",I2-$Y2,"")</f>
        <v>-2.7272727272727271</v>
      </c>
      <c r="AH2" s="195">
        <f ca="1">IF(J2&lt;&gt;"",J2-$Y2,"")</f>
        <v>-2.7272727272727271</v>
      </c>
      <c r="AI2" s="195">
        <f ca="1">IF(K2&lt;&gt;"",K2-$Y2,"")</f>
        <v>-2.7272727272727271</v>
      </c>
      <c r="AJ2" s="195">
        <f ca="1">IF(L2&lt;&gt;"",L2-$Y2,"")</f>
        <v>-2.7272727272727271</v>
      </c>
      <c r="AK2" s="195">
        <f ca="1">IF(M2&lt;&gt;"",M2-$Y2,"")</f>
        <v>-2.7272727272727271</v>
      </c>
      <c r="AL2" s="195">
        <f ca="1">IF(N2&lt;&gt;"",N2-$Y2,"")</f>
        <v>-2.7272727272727271</v>
      </c>
      <c r="AM2" s="195">
        <f ca="1">IF(O2&lt;&gt;"",O2-$Y2,"")</f>
        <v>-2.7272727272727271</v>
      </c>
      <c r="AN2" s="195">
        <f ca="1">IF(P2&lt;&gt;"",P2-$Y2,"")</f>
        <v>7.2727272727272734</v>
      </c>
      <c r="AO2" s="195">
        <f ca="1">IF(S2&lt;&gt;"",S2-$Y2,"")</f>
        <v>-2.7272727272727271</v>
      </c>
      <c r="AP2" s="195">
        <f ca="1">IF(T2&lt;&gt;"",T2-$Y2,"")</f>
        <v>-2.7272727272727271</v>
      </c>
      <c r="AQ2" s="195">
        <f ca="1">IF(U2&lt;&gt;"",U2-$Y2,"")</f>
        <v>7.2727272727272734</v>
      </c>
      <c r="AR2" s="195">
        <f ca="1">IF(V2&lt;&gt;"",V2-$Y2,"")</f>
        <v>-2.7272727272727271</v>
      </c>
      <c r="AS2" s="195">
        <f ca="1">IF(W2&lt;&gt;"",W2-$Y2,"")</f>
        <v>-2.7272727272727271</v>
      </c>
      <c r="AT2" s="195">
        <f ca="1">IF(Q2&lt;&gt;"",Q2-$Y2,"")</f>
        <v>-2.7272727272727271</v>
      </c>
      <c r="AU2" s="195">
        <f ca="1">IF(R2&lt;&gt;"",R2-$Y2,"")</f>
        <v>-2.7272727272727271</v>
      </c>
      <c r="AV2" s="195">
        <f t="shared" ref="AV2:AV33" ca="1" si="2">IF(X2&lt;&gt;"",X2-$Y2,"")</f>
        <v>7.2727272727272734</v>
      </c>
    </row>
    <row r="3" spans="1:48" hidden="1">
      <c r="A3" s="189">
        <v>2</v>
      </c>
      <c r="B3" s="166" t="str">
        <f>VLOOKUP($A3,Willem!$B$14:$P$89,4,0)&amp;"-"&amp;VLOOKUP($A3,Willem!$B$14:$P$89,6,0)</f>
        <v>Uruguay-  Frankrijk</v>
      </c>
      <c r="C3" s="341">
        <f ca="1">IF(VLOOKUP($A3,INDIRECT(C$1&amp;"!$B$14:$P$89"),15,0)&lt;&gt;"",VLOOKUP($A3,INDIRECT(C$1&amp;"!$B$14:$P$89"),15,0)+C2,"")</f>
        <v>5</v>
      </c>
      <c r="D3" s="341">
        <f ca="1">IF(VLOOKUP($A3,INDIRECT(D$1&amp;"!$B$14:$P$89"),15,0)&lt;&gt;"",VLOOKUP($A3,INDIRECT(D$1&amp;"!$B$14:$P$89"),15,0)+D2,"")</f>
        <v>10</v>
      </c>
      <c r="E3" s="341">
        <f ca="1">IF(VLOOKUP($A3,INDIRECT(E$1&amp;"!$B$14:$P$89"),15,0)&lt;&gt;"",VLOOKUP($A3,INDIRECT(E$1&amp;"!$B$14:$P$89"),15,0)+E2,"")</f>
        <v>0</v>
      </c>
      <c r="F3" s="341">
        <f ca="1">IF(VLOOKUP($A3,INDIRECT(F$1&amp;"!$B$14:$P$89"),15,0)&lt;&gt;"",VLOOKUP($A3,INDIRECT(F$1&amp;"!$B$14:$P$89"),15,0)+F2,"")</f>
        <v>10</v>
      </c>
      <c r="G3" s="341">
        <f ca="1">IF(VLOOKUP($A3,INDIRECT(G$1&amp;"!$B$14:$P$89"),15,0)&lt;&gt;"",VLOOKUP($A3,INDIRECT(G$1&amp;"!$B$14:$P$89"),15,0)+G2,"")</f>
        <v>10</v>
      </c>
      <c r="H3" s="341">
        <f ca="1">IF(VLOOKUP($A3,INDIRECT(H$1&amp;"!$B$14:$P$89"),15,0)&lt;&gt;"",VLOOKUP($A3,INDIRECT(H$1&amp;"!$B$14:$P$89"),15,0)+H2,"")</f>
        <v>20</v>
      </c>
      <c r="I3" s="341">
        <f ca="1">IF(VLOOKUP($A3,INDIRECT(I$1&amp;"!$B$14:$P$89"),15,0)&lt;&gt;"",VLOOKUP($A3,INDIRECT(I$1&amp;"!$B$14:$P$89"),15,0)+I2,"")</f>
        <v>0</v>
      </c>
      <c r="J3" s="341">
        <f ca="1">IF(VLOOKUP($A3,INDIRECT(J$1&amp;"!$B$14:$P$89"),15,0)&lt;&gt;"",VLOOKUP($A3,INDIRECT(J$1&amp;"!$B$14:$P$89"),15,0)+J2,"")</f>
        <v>0</v>
      </c>
      <c r="K3" s="341">
        <f ca="1">IF(VLOOKUP($A3,INDIRECT(K$1&amp;"!$B$14:$P$89"),15,0)&lt;&gt;"",VLOOKUP($A3,INDIRECT(K$1&amp;"!$B$14:$P$89"),15,0)+K2,"")</f>
        <v>0</v>
      </c>
      <c r="L3" s="341">
        <f ca="1">IF(VLOOKUP($A3,INDIRECT(L$1&amp;"!$B$14:$P$89"),15,0)&lt;&gt;"",VLOOKUP($A3,INDIRECT(L$1&amp;"!$B$14:$P$89"),15,0)+L2,"")</f>
        <v>0</v>
      </c>
      <c r="M3" s="341">
        <f ca="1">IF(VLOOKUP($A3,INDIRECT(M$1&amp;"!$B$14:$P$89"),15,0)&lt;&gt;"",VLOOKUP($A3,INDIRECT(M$1&amp;"!$B$14:$P$89"),15,0)+M2,"")</f>
        <v>0</v>
      </c>
      <c r="N3" s="341">
        <f ca="1">IF(VLOOKUP($A3,INDIRECT(N$1&amp;"!$B$14:$P$89"),15,0)&lt;&gt;"",VLOOKUP($A3,INDIRECT(N$1&amp;"!$B$14:$P$89"),15,0)+N2,"")</f>
        <v>0</v>
      </c>
      <c r="O3" s="341">
        <f ca="1">IF(VLOOKUP($A3,INDIRECT(O$1&amp;"!$B$14:$P$89"),15,0)&lt;&gt;"",VLOOKUP($A3,INDIRECT(O$1&amp;"!$B$14:$P$89"),15,0)+O2,"")</f>
        <v>0</v>
      </c>
      <c r="P3" s="341">
        <f ca="1">IF(VLOOKUP($A3,INDIRECT(P$1&amp;"!$B$14:$P$89"),15,0)&lt;&gt;"",VLOOKUP($A3,INDIRECT(P$1&amp;"!$B$14:$P$89"),15,0)+P2,"")</f>
        <v>10</v>
      </c>
      <c r="Q3" s="341">
        <f ca="1">IF(VLOOKUP($A3,INDIRECT(Q$1&amp;"!$B$14:$P$89"),15,0)&lt;&gt;"",VLOOKUP($A3,INDIRECT(Q$1&amp;"!$B$14:$P$89"),15,0)+Q2,"")</f>
        <v>0</v>
      </c>
      <c r="R3" s="341">
        <f ca="1">IF(VLOOKUP($A3,INDIRECT(R$1&amp;"!$B$14:$P$89"),15,0)&lt;&gt;"",VLOOKUP($A3,INDIRECT(R$1&amp;"!$B$14:$P$89"),15,0)+R2,"")</f>
        <v>0</v>
      </c>
      <c r="S3" s="341">
        <f ca="1">IF(VLOOKUP($A3,INDIRECT(S$1&amp;"!$B$14:$P$89"),15,0)&lt;&gt;"",VLOOKUP($A3,INDIRECT(S$1&amp;"!$B$14:$P$89"),15,0)+S2,"")</f>
        <v>0</v>
      </c>
      <c r="T3" s="341">
        <f ca="1">IF(VLOOKUP($A3,INDIRECT(T$1&amp;"!$B$14:$P$89"),15,0)&lt;&gt;"",VLOOKUP($A3,INDIRECT(T$1&amp;"!$B$14:$P$89"),15,0)+T2,"")</f>
        <v>0</v>
      </c>
      <c r="U3" s="341">
        <f ca="1">IF(VLOOKUP($A3,INDIRECT(U$1&amp;"!$B$14:$P$89"),15,0)&lt;&gt;"",VLOOKUP($A3,INDIRECT(U$1&amp;"!$B$14:$P$89"),15,0)+U2,"")</f>
        <v>20</v>
      </c>
      <c r="V3" s="341">
        <f ca="1">IF(VLOOKUP($A3,INDIRECT(V$1&amp;"!$B$14:$P$89"),15,0)&lt;&gt;"",VLOOKUP($A3,INDIRECT(V$1&amp;"!$B$14:$P$89"),15,0)+V2,"")</f>
        <v>5</v>
      </c>
      <c r="W3" s="341">
        <f ca="1">IF(VLOOKUP($A3,INDIRECT(W$1&amp;"!$B$14:$P$89"),15,0)&lt;&gt;"",VLOOKUP($A3,INDIRECT(W$1&amp;"!$B$14:$P$89"),15,0)+W2,"")</f>
        <v>10</v>
      </c>
      <c r="X3" s="341">
        <f ca="1">IF(VLOOKUP($A3,INDIRECT(X$1&amp;"!$B$14:$P$89"),15,0)&lt;&gt;"",VLOOKUP($A3,INDIRECT(X$1&amp;"!$B$14:$P$89"),15,0)+X2,"")</f>
        <v>10</v>
      </c>
      <c r="Y3" s="178">
        <f t="shared" ca="1" si="1"/>
        <v>5</v>
      </c>
      <c r="Z3" s="194">
        <f t="shared" ref="Z3:Z33" ca="1" si="3">Y3-Y2</f>
        <v>2.2727272727272729</v>
      </c>
      <c r="AA3" s="195">
        <f ca="1">IF(C3&lt;&gt;"",C3-$Y3,"")</f>
        <v>0</v>
      </c>
      <c r="AB3" s="195">
        <f ca="1">IF(D3&lt;&gt;"",D3-$Y3,"")</f>
        <v>5</v>
      </c>
      <c r="AC3" s="195">
        <f ca="1">IF(E3&lt;&gt;"",E3-$Y3,"")</f>
        <v>-5</v>
      </c>
      <c r="AD3" s="195">
        <f ca="1">IF(F3&lt;&gt;"",F3-$Y3,"")</f>
        <v>5</v>
      </c>
      <c r="AE3" s="195">
        <f ca="1">IF(G3&lt;&gt;"",G3-$Y3,"")</f>
        <v>5</v>
      </c>
      <c r="AF3" s="195">
        <f ca="1">IF(H3&lt;&gt;"",H3-$Y3,"")</f>
        <v>15</v>
      </c>
      <c r="AG3" s="195">
        <f ca="1">IF(I3&lt;&gt;"",I3-$Y3,"")</f>
        <v>-5</v>
      </c>
      <c r="AH3" s="195">
        <f ca="1">IF(J3&lt;&gt;"",J3-$Y3,"")</f>
        <v>-5</v>
      </c>
      <c r="AI3" s="195">
        <f ca="1">IF(K3&lt;&gt;"",K3-$Y3,"")</f>
        <v>-5</v>
      </c>
      <c r="AJ3" s="195">
        <f ca="1">IF(L3&lt;&gt;"",L3-$Y3,"")</f>
        <v>-5</v>
      </c>
      <c r="AK3" s="195">
        <f ca="1">IF(M3&lt;&gt;"",M3-$Y3,"")</f>
        <v>-5</v>
      </c>
      <c r="AL3" s="195">
        <f ca="1">IF(N3&lt;&gt;"",N3-$Y3,"")</f>
        <v>-5</v>
      </c>
      <c r="AM3" s="195">
        <f ca="1">IF(O3&lt;&gt;"",O3-$Y3,"")</f>
        <v>-5</v>
      </c>
      <c r="AN3" s="195">
        <f ca="1">IF(P3&lt;&gt;"",P3-$Y3,"")</f>
        <v>5</v>
      </c>
      <c r="AO3" s="195">
        <f ca="1">IF(S3&lt;&gt;"",S3-$Y3,"")</f>
        <v>-5</v>
      </c>
      <c r="AP3" s="195">
        <f ca="1">IF(T3&lt;&gt;"",T3-$Y3,"")</f>
        <v>-5</v>
      </c>
      <c r="AQ3" s="195">
        <f ca="1">IF(U3&lt;&gt;"",U3-$Y3,"")</f>
        <v>15</v>
      </c>
      <c r="AR3" s="195">
        <f ca="1">IF(V3&lt;&gt;"",V3-$Y3,"")</f>
        <v>0</v>
      </c>
      <c r="AS3" s="195">
        <f ca="1">IF(W3&lt;&gt;"",W3-$Y3,"")</f>
        <v>5</v>
      </c>
      <c r="AT3" s="195">
        <f ca="1">IF(Q3&lt;&gt;"",Q3-$Y3,"")</f>
        <v>-5</v>
      </c>
      <c r="AU3" s="195">
        <f ca="1">IF(R3&lt;&gt;"",R3-$Y3,"")</f>
        <v>-5</v>
      </c>
      <c r="AV3" s="195">
        <f t="shared" ca="1" si="2"/>
        <v>5</v>
      </c>
    </row>
    <row r="4" spans="1:48" hidden="1">
      <c r="A4" s="189">
        <v>3</v>
      </c>
      <c r="B4" s="165" t="str">
        <f>VLOOKUP($A4,Willem!$B$14:$P$89,4,0)&amp;"-"&amp;VLOOKUP($A4,Willem!$B$14:$P$89,6,0)</f>
        <v>Argentinië-  Nigeria</v>
      </c>
      <c r="C4" s="340">
        <f ca="1">IF(VLOOKUP($A4,INDIRECT(C$1&amp;"!$B$14:$P$89"),15,0)&lt;&gt;"",VLOOKUP($A4,INDIRECT(C$1&amp;"!$B$14:$P$89"),15,0)+C3,"")</f>
        <v>5</v>
      </c>
      <c r="D4" s="340">
        <f ca="1">IF(VLOOKUP($A4,INDIRECT(D$1&amp;"!$B$14:$P$89"),15,0)&lt;&gt;"",VLOOKUP($A4,INDIRECT(D$1&amp;"!$B$14:$P$89"),15,0)+D3,"")</f>
        <v>15</v>
      </c>
      <c r="E4" s="340">
        <f ca="1">IF(VLOOKUP($A4,INDIRECT(E$1&amp;"!$B$14:$P$89"),15,0)&lt;&gt;"",VLOOKUP($A4,INDIRECT(E$1&amp;"!$B$14:$P$89"),15,0)+E3,"")</f>
        <v>5</v>
      </c>
      <c r="F4" s="340">
        <f ca="1">IF(VLOOKUP($A4,INDIRECT(F$1&amp;"!$B$14:$P$89"),15,0)&lt;&gt;"",VLOOKUP($A4,INDIRECT(F$1&amp;"!$B$14:$P$89"),15,0)+F3,"")</f>
        <v>15</v>
      </c>
      <c r="G4" s="340">
        <f ca="1">IF(VLOOKUP($A4,INDIRECT(G$1&amp;"!$B$14:$P$89"),15,0)&lt;&gt;"",VLOOKUP($A4,INDIRECT(G$1&amp;"!$B$14:$P$89"),15,0)+G3,"")</f>
        <v>15</v>
      </c>
      <c r="H4" s="340">
        <f ca="1">IF(VLOOKUP($A4,INDIRECT(H$1&amp;"!$B$14:$P$89"),15,0)&lt;&gt;"",VLOOKUP($A4,INDIRECT(H$1&amp;"!$B$14:$P$89"),15,0)+H3,"")</f>
        <v>25</v>
      </c>
      <c r="I4" s="340">
        <f ca="1">IF(VLOOKUP($A4,INDIRECT(I$1&amp;"!$B$14:$P$89"),15,0)&lt;&gt;"",VLOOKUP($A4,INDIRECT(I$1&amp;"!$B$14:$P$89"),15,0)+I3,"")</f>
        <v>5</v>
      </c>
      <c r="J4" s="340">
        <f ca="1">IF(VLOOKUP($A4,INDIRECT(J$1&amp;"!$B$14:$P$89"),15,0)&lt;&gt;"",VLOOKUP($A4,INDIRECT(J$1&amp;"!$B$14:$P$89"),15,0)+J3,"")</f>
        <v>5</v>
      </c>
      <c r="K4" s="340">
        <f ca="1">IF(VLOOKUP($A4,INDIRECT(K$1&amp;"!$B$14:$P$89"),15,0)&lt;&gt;"",VLOOKUP($A4,INDIRECT(K$1&amp;"!$B$14:$P$89"),15,0)+K3,"")</f>
        <v>5</v>
      </c>
      <c r="L4" s="340">
        <f ca="1">IF(VLOOKUP($A4,INDIRECT(L$1&amp;"!$B$14:$P$89"),15,0)&lt;&gt;"",VLOOKUP($A4,INDIRECT(L$1&amp;"!$B$14:$P$89"),15,0)+L3,"")</f>
        <v>5</v>
      </c>
      <c r="M4" s="340">
        <f ca="1">IF(VLOOKUP($A4,INDIRECT(M$1&amp;"!$B$14:$P$89"),15,0)&lt;&gt;"",VLOOKUP($A4,INDIRECT(M$1&amp;"!$B$14:$P$89"),15,0)+M3,"")</f>
        <v>5</v>
      </c>
      <c r="N4" s="340">
        <f ca="1">IF(VLOOKUP($A4,INDIRECT(N$1&amp;"!$B$14:$P$89"),15,0)&lt;&gt;"",VLOOKUP($A4,INDIRECT(N$1&amp;"!$B$14:$P$89"),15,0)+N3,"")</f>
        <v>5</v>
      </c>
      <c r="O4" s="340">
        <f ca="1">IF(VLOOKUP($A4,INDIRECT(O$1&amp;"!$B$14:$P$89"),15,0)&lt;&gt;"",VLOOKUP($A4,INDIRECT(O$1&amp;"!$B$14:$P$89"),15,0)+O3,"")</f>
        <v>0</v>
      </c>
      <c r="P4" s="340">
        <f ca="1">IF(VLOOKUP($A4,INDIRECT(P$1&amp;"!$B$14:$P$89"),15,0)&lt;&gt;"",VLOOKUP($A4,INDIRECT(P$1&amp;"!$B$14:$P$89"),15,0)+P3,"")</f>
        <v>15</v>
      </c>
      <c r="Q4" s="340">
        <f ca="1">IF(VLOOKUP($A4,INDIRECT(Q$1&amp;"!$B$14:$P$89"),15,0)&lt;&gt;"",VLOOKUP($A4,INDIRECT(Q$1&amp;"!$B$14:$P$89"),15,0)+Q3,"")</f>
        <v>0</v>
      </c>
      <c r="R4" s="340">
        <f ca="1">IF(VLOOKUP($A4,INDIRECT(R$1&amp;"!$B$14:$P$89"),15,0)&lt;&gt;"",VLOOKUP($A4,INDIRECT(R$1&amp;"!$B$14:$P$89"),15,0)+R3,"")</f>
        <v>5</v>
      </c>
      <c r="S4" s="340">
        <f ca="1">IF(VLOOKUP($A4,INDIRECT(S$1&amp;"!$B$14:$P$89"),15,0)&lt;&gt;"",VLOOKUP($A4,INDIRECT(S$1&amp;"!$B$14:$P$89"),15,0)+S3,"")</f>
        <v>5</v>
      </c>
      <c r="T4" s="340">
        <f ca="1">IF(VLOOKUP($A4,INDIRECT(T$1&amp;"!$B$14:$P$89"),15,0)&lt;&gt;"",VLOOKUP($A4,INDIRECT(T$1&amp;"!$B$14:$P$89"),15,0)+T3,"")</f>
        <v>10</v>
      </c>
      <c r="U4" s="340">
        <f ca="1">IF(VLOOKUP($A4,INDIRECT(U$1&amp;"!$B$14:$P$89"),15,0)&lt;&gt;"",VLOOKUP($A4,INDIRECT(U$1&amp;"!$B$14:$P$89"),15,0)+U3,"")</f>
        <v>25</v>
      </c>
      <c r="V4" s="340">
        <f ca="1">IF(VLOOKUP($A4,INDIRECT(V$1&amp;"!$B$14:$P$89"),15,0)&lt;&gt;"",VLOOKUP($A4,INDIRECT(V$1&amp;"!$B$14:$P$89"),15,0)+V3,"")</f>
        <v>10</v>
      </c>
      <c r="W4" s="340">
        <f ca="1">IF(VLOOKUP($A4,INDIRECT(W$1&amp;"!$B$14:$P$89"),15,0)&lt;&gt;"",VLOOKUP($A4,INDIRECT(W$1&amp;"!$B$14:$P$89"),15,0)+W3,"")</f>
        <v>15</v>
      </c>
      <c r="X4" s="340">
        <f ca="1">IF(VLOOKUP($A4,INDIRECT(X$1&amp;"!$B$14:$P$89"),15,0)&lt;&gt;"",VLOOKUP($A4,INDIRECT(X$1&amp;"!$B$14:$P$89"),15,0)+X3,"")</f>
        <v>10</v>
      </c>
      <c r="Y4" s="178">
        <f t="shared" ca="1" si="1"/>
        <v>9.3181818181818183</v>
      </c>
      <c r="Z4" s="194">
        <f t="shared" ca="1" si="3"/>
        <v>4.3181818181818183</v>
      </c>
      <c r="AA4" s="195">
        <f ca="1">IF(C4&lt;&gt;"",C4-$Y4,"")</f>
        <v>-4.3181818181818183</v>
      </c>
      <c r="AB4" s="195">
        <f ca="1">IF(D4&lt;&gt;"",D4-$Y4,"")</f>
        <v>5.6818181818181817</v>
      </c>
      <c r="AC4" s="195">
        <f ca="1">IF(E4&lt;&gt;"",E4-$Y4,"")</f>
        <v>-4.3181818181818183</v>
      </c>
      <c r="AD4" s="195">
        <f ca="1">IF(F4&lt;&gt;"",F4-$Y4,"")</f>
        <v>5.6818181818181817</v>
      </c>
      <c r="AE4" s="195">
        <f ca="1">IF(G4&lt;&gt;"",G4-$Y4,"")</f>
        <v>5.6818181818181817</v>
      </c>
      <c r="AF4" s="195">
        <f ca="1">IF(H4&lt;&gt;"",H4-$Y4,"")</f>
        <v>15.681818181818182</v>
      </c>
      <c r="AG4" s="195">
        <f ca="1">IF(I4&lt;&gt;"",I4-$Y4,"")</f>
        <v>-4.3181818181818183</v>
      </c>
      <c r="AH4" s="195">
        <f ca="1">IF(J4&lt;&gt;"",J4-$Y4,"")</f>
        <v>-4.3181818181818183</v>
      </c>
      <c r="AI4" s="195">
        <f ca="1">IF(K4&lt;&gt;"",K4-$Y4,"")</f>
        <v>-4.3181818181818183</v>
      </c>
      <c r="AJ4" s="195">
        <f ca="1">IF(L4&lt;&gt;"",L4-$Y4,"")</f>
        <v>-4.3181818181818183</v>
      </c>
      <c r="AK4" s="195">
        <f ca="1">IF(M4&lt;&gt;"",M4-$Y4,"")</f>
        <v>-4.3181818181818183</v>
      </c>
      <c r="AL4" s="195">
        <f ca="1">IF(N4&lt;&gt;"",N4-$Y4,"")</f>
        <v>-4.3181818181818183</v>
      </c>
      <c r="AM4" s="195">
        <f ca="1">IF(O4&lt;&gt;"",O4-$Y4,"")</f>
        <v>-9.3181818181818183</v>
      </c>
      <c r="AN4" s="195">
        <f ca="1">IF(P4&lt;&gt;"",P4-$Y4,"")</f>
        <v>5.6818181818181817</v>
      </c>
      <c r="AO4" s="195">
        <f ca="1">IF(S4&lt;&gt;"",S4-$Y4,"")</f>
        <v>-4.3181818181818183</v>
      </c>
      <c r="AP4" s="195">
        <f ca="1">IF(T4&lt;&gt;"",T4-$Y4,"")</f>
        <v>0.68181818181818166</v>
      </c>
      <c r="AQ4" s="195">
        <f ca="1">IF(U4&lt;&gt;"",U4-$Y4,"")</f>
        <v>15.681818181818182</v>
      </c>
      <c r="AR4" s="195">
        <f ca="1">IF(V4&lt;&gt;"",V4-$Y4,"")</f>
        <v>0.68181818181818166</v>
      </c>
      <c r="AS4" s="195">
        <f ca="1">IF(W4&lt;&gt;"",W4-$Y4,"")</f>
        <v>5.6818181818181817</v>
      </c>
      <c r="AT4" s="195">
        <f ca="1">IF(Q4&lt;&gt;"",Q4-$Y4,"")</f>
        <v>-9.3181818181818183</v>
      </c>
      <c r="AU4" s="195">
        <f ca="1">IF(R4&lt;&gt;"",R4-$Y4,"")</f>
        <v>-4.3181818181818183</v>
      </c>
      <c r="AV4" s="195">
        <f t="shared" ca="1" si="2"/>
        <v>0.68181818181818166</v>
      </c>
    </row>
    <row r="5" spans="1:48" ht="14.25" customHeight="1">
      <c r="A5" s="189">
        <v>4</v>
      </c>
      <c r="B5" s="166" t="str">
        <f>VLOOKUP($A5,Willem!$B$14:$P$89,4,0)&amp;"-"&amp;VLOOKUP($A5,Willem!$B$14:$P$89,6,0)</f>
        <v>Zuid-Korea-  Griekenland</v>
      </c>
      <c r="C5" s="341">
        <f ca="1">IF(VLOOKUP($A5,INDIRECT(C$1&amp;"!$B$14:$P$89"),15,0)&lt;&gt;"",VLOOKUP($A5,INDIRECT(C$1&amp;"!$B$14:$P$89"),15,0)+C4,"")</f>
        <v>5</v>
      </c>
      <c r="D5" s="341">
        <f ca="1">IF(VLOOKUP($A5,INDIRECT(D$1&amp;"!$B$14:$P$89"),15,0)&lt;&gt;"",VLOOKUP($A5,INDIRECT(D$1&amp;"!$B$14:$P$89"),15,0)+D4,"")</f>
        <v>20</v>
      </c>
      <c r="E5" s="341">
        <f ca="1">IF(VLOOKUP($A5,INDIRECT(E$1&amp;"!$B$14:$P$89"),15,0)&lt;&gt;"",VLOOKUP($A5,INDIRECT(E$1&amp;"!$B$14:$P$89"),15,0)+E4,"")</f>
        <v>15</v>
      </c>
      <c r="F5" s="341">
        <f ca="1">IF(VLOOKUP($A5,INDIRECT(F$1&amp;"!$B$14:$P$89"),15,0)&lt;&gt;"",VLOOKUP($A5,INDIRECT(F$1&amp;"!$B$14:$P$89"),15,0)+F4,"")</f>
        <v>20</v>
      </c>
      <c r="G5" s="341">
        <f ca="1">IF(VLOOKUP($A5,INDIRECT(G$1&amp;"!$B$14:$P$89"),15,0)&lt;&gt;"",VLOOKUP($A5,INDIRECT(G$1&amp;"!$B$14:$P$89"),15,0)+G4,"")</f>
        <v>20</v>
      </c>
      <c r="H5" s="341">
        <f ca="1">IF(VLOOKUP($A5,INDIRECT(H$1&amp;"!$B$14:$P$89"),15,0)&lt;&gt;"",VLOOKUP($A5,INDIRECT(H$1&amp;"!$B$14:$P$89"),15,0)+H4,"")</f>
        <v>30</v>
      </c>
      <c r="I5" s="341">
        <f ca="1">IF(VLOOKUP($A5,INDIRECT(I$1&amp;"!$B$14:$P$89"),15,0)&lt;&gt;"",VLOOKUP($A5,INDIRECT(I$1&amp;"!$B$14:$P$89"),15,0)+I4,"")</f>
        <v>5</v>
      </c>
      <c r="J5" s="341">
        <f ca="1">IF(VLOOKUP($A5,INDIRECT(J$1&amp;"!$B$14:$P$89"),15,0)&lt;&gt;"",VLOOKUP($A5,INDIRECT(J$1&amp;"!$B$14:$P$89"),15,0)+J4,"")</f>
        <v>5</v>
      </c>
      <c r="K5" s="341">
        <f ca="1">IF(VLOOKUP($A5,INDIRECT(K$1&amp;"!$B$14:$P$89"),15,0)&lt;&gt;"",VLOOKUP($A5,INDIRECT(K$1&amp;"!$B$14:$P$89"),15,0)+K4,"")</f>
        <v>5</v>
      </c>
      <c r="L5" s="341">
        <f ca="1">IF(VLOOKUP($A5,INDIRECT(L$1&amp;"!$B$14:$P$89"),15,0)&lt;&gt;"",VLOOKUP($A5,INDIRECT(L$1&amp;"!$B$14:$P$89"),15,0)+L4,"")</f>
        <v>10</v>
      </c>
      <c r="M5" s="341">
        <f ca="1">IF(VLOOKUP($A5,INDIRECT(M$1&amp;"!$B$14:$P$89"),15,0)&lt;&gt;"",VLOOKUP($A5,INDIRECT(M$1&amp;"!$B$14:$P$89"),15,0)+M4,"")</f>
        <v>5</v>
      </c>
      <c r="N5" s="341">
        <f ca="1">IF(VLOOKUP($A5,INDIRECT(N$1&amp;"!$B$14:$P$89"),15,0)&lt;&gt;"",VLOOKUP($A5,INDIRECT(N$1&amp;"!$B$14:$P$89"),15,0)+N4,"")</f>
        <v>5</v>
      </c>
      <c r="O5" s="341">
        <f ca="1">IF(VLOOKUP($A5,INDIRECT(O$1&amp;"!$B$14:$P$89"),15,0)&lt;&gt;"",VLOOKUP($A5,INDIRECT(O$1&amp;"!$B$14:$P$89"),15,0)+O4,"")</f>
        <v>5</v>
      </c>
      <c r="P5" s="341">
        <f ca="1">IF(VLOOKUP($A5,INDIRECT(P$1&amp;"!$B$14:$P$89"),15,0)&lt;&gt;"",VLOOKUP($A5,INDIRECT(P$1&amp;"!$B$14:$P$89"),15,0)+P4,"")</f>
        <v>20</v>
      </c>
      <c r="Q5" s="341">
        <f ca="1">IF(VLOOKUP($A5,INDIRECT(Q$1&amp;"!$B$14:$P$89"),15,0)&lt;&gt;"",VLOOKUP($A5,INDIRECT(Q$1&amp;"!$B$14:$P$89"),15,0)+Q4,"")</f>
        <v>5</v>
      </c>
      <c r="R5" s="341">
        <f ca="1">IF(VLOOKUP($A5,INDIRECT(R$1&amp;"!$B$14:$P$89"),15,0)&lt;&gt;"",VLOOKUP($A5,INDIRECT(R$1&amp;"!$B$14:$P$89"),15,0)+R4,"")</f>
        <v>5</v>
      </c>
      <c r="S5" s="341">
        <f ca="1">IF(VLOOKUP($A5,INDIRECT(S$1&amp;"!$B$14:$P$89"),15,0)&lt;&gt;"",VLOOKUP($A5,INDIRECT(S$1&amp;"!$B$14:$P$89"),15,0)+S4,"")</f>
        <v>10</v>
      </c>
      <c r="T5" s="341">
        <f ca="1">IF(VLOOKUP($A5,INDIRECT(T$1&amp;"!$B$14:$P$89"),15,0)&lt;&gt;"",VLOOKUP($A5,INDIRECT(T$1&amp;"!$B$14:$P$89"),15,0)+T4,"")</f>
        <v>20</v>
      </c>
      <c r="U5" s="341">
        <f ca="1">IF(VLOOKUP($A5,INDIRECT(U$1&amp;"!$B$14:$P$89"),15,0)&lt;&gt;"",VLOOKUP($A5,INDIRECT(U$1&amp;"!$B$14:$P$89"),15,0)+U4,"")</f>
        <v>30</v>
      </c>
      <c r="V5" s="341">
        <f ca="1">IF(VLOOKUP($A5,INDIRECT(V$1&amp;"!$B$14:$P$89"),15,0)&lt;&gt;"",VLOOKUP($A5,INDIRECT(V$1&amp;"!$B$14:$P$89"),15,0)+V4,"")</f>
        <v>10</v>
      </c>
      <c r="W5" s="341">
        <f ca="1">IF(VLOOKUP($A5,INDIRECT(W$1&amp;"!$B$14:$P$89"),15,0)&lt;&gt;"",VLOOKUP($A5,INDIRECT(W$1&amp;"!$B$14:$P$89"),15,0)+W4,"")</f>
        <v>15</v>
      </c>
      <c r="X5" s="341">
        <f ca="1">IF(VLOOKUP($A5,INDIRECT(X$1&amp;"!$B$14:$P$89"),15,0)&lt;&gt;"",VLOOKUP($A5,INDIRECT(X$1&amp;"!$B$14:$P$89"),15,0)+X4,"")</f>
        <v>10</v>
      </c>
      <c r="Y5" s="178">
        <f t="shared" ca="1" si="1"/>
        <v>12.5</v>
      </c>
      <c r="Z5" s="194">
        <f t="shared" ca="1" si="3"/>
        <v>3.1818181818181817</v>
      </c>
      <c r="AA5" s="195">
        <f ca="1">IF(C5&lt;&gt;"",C5-$Y5,"")</f>
        <v>-7.5</v>
      </c>
      <c r="AB5" s="195">
        <f ca="1">IF(D5&lt;&gt;"",D5-$Y5,"")</f>
        <v>7.5</v>
      </c>
      <c r="AC5" s="195">
        <f ca="1">IF(E5&lt;&gt;"",E5-$Y5,"")</f>
        <v>2.5</v>
      </c>
      <c r="AD5" s="195">
        <f ca="1">IF(F5&lt;&gt;"",F5-$Y5,"")</f>
        <v>7.5</v>
      </c>
      <c r="AE5" s="195">
        <f ca="1">IF(G5&lt;&gt;"",G5-$Y5,"")</f>
        <v>7.5</v>
      </c>
      <c r="AF5" s="195">
        <f ca="1">IF(H5&lt;&gt;"",H5-$Y5,"")</f>
        <v>17.5</v>
      </c>
      <c r="AG5" s="195">
        <f ca="1">IF(I5&lt;&gt;"",I5-$Y5,"")</f>
        <v>-7.5</v>
      </c>
      <c r="AH5" s="195">
        <f ca="1">IF(J5&lt;&gt;"",J5-$Y5,"")</f>
        <v>-7.5</v>
      </c>
      <c r="AI5" s="195">
        <f ca="1">IF(K5&lt;&gt;"",K5-$Y5,"")</f>
        <v>-7.5</v>
      </c>
      <c r="AJ5" s="195">
        <f ca="1">IF(L5&lt;&gt;"",L5-$Y5,"")</f>
        <v>-2.5</v>
      </c>
      <c r="AK5" s="195">
        <f ca="1">IF(M5&lt;&gt;"",M5-$Y5,"")</f>
        <v>-7.5</v>
      </c>
      <c r="AL5" s="195">
        <f ca="1">IF(N5&lt;&gt;"",N5-$Y5,"")</f>
        <v>-7.5</v>
      </c>
      <c r="AM5" s="195">
        <f ca="1">IF(O5&lt;&gt;"",O5-$Y5,"")</f>
        <v>-7.5</v>
      </c>
      <c r="AN5" s="195">
        <f ca="1">IF(P5&lt;&gt;"",P5-$Y5,"")</f>
        <v>7.5</v>
      </c>
      <c r="AO5" s="195">
        <f ca="1">IF(S5&lt;&gt;"",S5-$Y5,"")</f>
        <v>-2.5</v>
      </c>
      <c r="AP5" s="195">
        <f ca="1">IF(T5&lt;&gt;"",T5-$Y5,"")</f>
        <v>7.5</v>
      </c>
      <c r="AQ5" s="195">
        <f ca="1">IF(U5&lt;&gt;"",U5-$Y5,"")</f>
        <v>17.5</v>
      </c>
      <c r="AR5" s="195">
        <f ca="1">IF(V5&lt;&gt;"",V5-$Y5,"")</f>
        <v>-2.5</v>
      </c>
      <c r="AS5" s="195">
        <f ca="1">IF(W5&lt;&gt;"",W5-$Y5,"")</f>
        <v>2.5</v>
      </c>
      <c r="AT5" s="195">
        <f ca="1">IF(Q5&lt;&gt;"",Q5-$Y5,"")</f>
        <v>-7.5</v>
      </c>
      <c r="AU5" s="195">
        <f ca="1">IF(R5&lt;&gt;"",R5-$Y5,"")</f>
        <v>-7.5</v>
      </c>
      <c r="AV5" s="195">
        <f t="shared" ca="1" si="2"/>
        <v>-2.5</v>
      </c>
    </row>
    <row r="6" spans="1:48" hidden="1">
      <c r="A6" s="189">
        <v>5</v>
      </c>
      <c r="B6" s="165" t="str">
        <f>VLOOKUP($A6,Willem!$B$14:$P$89,4,0)&amp;"-"&amp;VLOOKUP($A6,Willem!$B$14:$P$89,6,0)</f>
        <v>Engeland-  USA</v>
      </c>
      <c r="C6" s="340">
        <f ca="1">IF(VLOOKUP($A6,INDIRECT(C$1&amp;"!$B$14:$P$89"),15,0)&lt;&gt;"",VLOOKUP($A6,INDIRECT(C$1&amp;"!$B$14:$P$89"),15,0)+C5,"")</f>
        <v>5</v>
      </c>
      <c r="D6" s="340">
        <f ca="1">IF(VLOOKUP($A6,INDIRECT(D$1&amp;"!$B$14:$P$89"),15,0)&lt;&gt;"",VLOOKUP($A6,INDIRECT(D$1&amp;"!$B$14:$P$89"),15,0)+D5,"")</f>
        <v>20</v>
      </c>
      <c r="E6" s="340">
        <f ca="1">IF(VLOOKUP($A6,INDIRECT(E$1&amp;"!$B$14:$P$89"),15,0)&lt;&gt;"",VLOOKUP($A6,INDIRECT(E$1&amp;"!$B$14:$P$89"),15,0)+E5,"")</f>
        <v>20</v>
      </c>
      <c r="F6" s="340">
        <f ca="1">IF(VLOOKUP($A6,INDIRECT(F$1&amp;"!$B$14:$P$89"),15,0)&lt;&gt;"",VLOOKUP($A6,INDIRECT(F$1&amp;"!$B$14:$P$89"),15,0)+F5,"")</f>
        <v>20</v>
      </c>
      <c r="G6" s="340">
        <f ca="1">IF(VLOOKUP($A6,INDIRECT(G$1&amp;"!$B$14:$P$89"),15,0)&lt;&gt;"",VLOOKUP($A6,INDIRECT(G$1&amp;"!$B$14:$P$89"),15,0)+G5,"")</f>
        <v>25</v>
      </c>
      <c r="H6" s="340">
        <f ca="1">IF(VLOOKUP($A6,INDIRECT(H$1&amp;"!$B$14:$P$89"),15,0)&lt;&gt;"",VLOOKUP($A6,INDIRECT(H$1&amp;"!$B$14:$P$89"),15,0)+H5,"")</f>
        <v>30</v>
      </c>
      <c r="I6" s="340">
        <f ca="1">IF(VLOOKUP($A6,INDIRECT(I$1&amp;"!$B$14:$P$89"),15,0)&lt;&gt;"",VLOOKUP($A6,INDIRECT(I$1&amp;"!$B$14:$P$89"),15,0)+I5,"")</f>
        <v>5</v>
      </c>
      <c r="J6" s="340">
        <f ca="1">IF(VLOOKUP($A6,INDIRECT(J$1&amp;"!$B$14:$P$89"),15,0)&lt;&gt;"",VLOOKUP($A6,INDIRECT(J$1&amp;"!$B$14:$P$89"),15,0)+J5,"")</f>
        <v>15</v>
      </c>
      <c r="K6" s="340">
        <f ca="1">IF(VLOOKUP($A6,INDIRECT(K$1&amp;"!$B$14:$P$89"),15,0)&lt;&gt;"",VLOOKUP($A6,INDIRECT(K$1&amp;"!$B$14:$P$89"),15,0)+K5,"")</f>
        <v>5</v>
      </c>
      <c r="L6" s="340">
        <f ca="1">IF(VLOOKUP($A6,INDIRECT(L$1&amp;"!$B$14:$P$89"),15,0)&lt;&gt;"",VLOOKUP($A6,INDIRECT(L$1&amp;"!$B$14:$P$89"),15,0)+L5,"")</f>
        <v>20</v>
      </c>
      <c r="M6" s="340">
        <f ca="1">IF(VLOOKUP($A6,INDIRECT(M$1&amp;"!$B$14:$P$89"),15,0)&lt;&gt;"",VLOOKUP($A6,INDIRECT(M$1&amp;"!$B$14:$P$89"),15,0)+M5,"")</f>
        <v>5</v>
      </c>
      <c r="N6" s="340">
        <f ca="1">IF(VLOOKUP($A6,INDIRECT(N$1&amp;"!$B$14:$P$89"),15,0)&lt;&gt;"",VLOOKUP($A6,INDIRECT(N$1&amp;"!$B$14:$P$89"),15,0)+N5,"")</f>
        <v>5</v>
      </c>
      <c r="O6" s="340">
        <f ca="1">IF(VLOOKUP($A6,INDIRECT(O$1&amp;"!$B$14:$P$89"),15,0)&lt;&gt;"",VLOOKUP($A6,INDIRECT(O$1&amp;"!$B$14:$P$89"),15,0)+O5,"")</f>
        <v>5</v>
      </c>
      <c r="P6" s="340">
        <f ca="1">IF(VLOOKUP($A6,INDIRECT(P$1&amp;"!$B$14:$P$89"),15,0)&lt;&gt;"",VLOOKUP($A6,INDIRECT(P$1&amp;"!$B$14:$P$89"),15,0)+P5,"")</f>
        <v>20</v>
      </c>
      <c r="Q6" s="340">
        <f ca="1">IF(VLOOKUP($A6,INDIRECT(Q$1&amp;"!$B$14:$P$89"),15,0)&lt;&gt;"",VLOOKUP($A6,INDIRECT(Q$1&amp;"!$B$14:$P$89"),15,0)+Q5,"")</f>
        <v>5</v>
      </c>
      <c r="R6" s="340">
        <f ca="1">IF(VLOOKUP($A6,INDIRECT(R$1&amp;"!$B$14:$P$89"),15,0)&lt;&gt;"",VLOOKUP($A6,INDIRECT(R$1&amp;"!$B$14:$P$89"),15,0)+R5,"")</f>
        <v>5</v>
      </c>
      <c r="S6" s="340">
        <f ca="1">IF(VLOOKUP($A6,INDIRECT(S$1&amp;"!$B$14:$P$89"),15,0)&lt;&gt;"",VLOOKUP($A6,INDIRECT(S$1&amp;"!$B$14:$P$89"),15,0)+S5,"")</f>
        <v>10</v>
      </c>
      <c r="T6" s="340">
        <f ca="1">IF(VLOOKUP($A6,INDIRECT(T$1&amp;"!$B$14:$P$89"),15,0)&lt;&gt;"",VLOOKUP($A6,INDIRECT(T$1&amp;"!$B$14:$P$89"),15,0)+T5,"")</f>
        <v>25</v>
      </c>
      <c r="U6" s="340">
        <f ca="1">IF(VLOOKUP($A6,INDIRECT(U$1&amp;"!$B$14:$P$89"),15,0)&lt;&gt;"",VLOOKUP($A6,INDIRECT(U$1&amp;"!$B$14:$P$89"),15,0)+U5,"")</f>
        <v>30</v>
      </c>
      <c r="V6" s="340">
        <f ca="1">IF(VLOOKUP($A6,INDIRECT(V$1&amp;"!$B$14:$P$89"),15,0)&lt;&gt;"",VLOOKUP($A6,INDIRECT(V$1&amp;"!$B$14:$P$89"),15,0)+V5,"")</f>
        <v>10</v>
      </c>
      <c r="W6" s="340">
        <f ca="1">IF(VLOOKUP($A6,INDIRECT(W$1&amp;"!$B$14:$P$89"),15,0)&lt;&gt;"",VLOOKUP($A6,INDIRECT(W$1&amp;"!$B$14:$P$89"),15,0)+W5,"")</f>
        <v>15</v>
      </c>
      <c r="X6" s="340">
        <f ca="1">IF(VLOOKUP($A6,INDIRECT(X$1&amp;"!$B$14:$P$89"),15,0)&lt;&gt;"",VLOOKUP($A6,INDIRECT(X$1&amp;"!$B$14:$P$89"),15,0)+X5,"")</f>
        <v>10</v>
      </c>
      <c r="Y6" s="178">
        <f t="shared" ca="1" si="1"/>
        <v>14.090909090909092</v>
      </c>
      <c r="Z6" s="194">
        <f t="shared" ca="1" si="3"/>
        <v>1.5909090909090917</v>
      </c>
      <c r="AA6" s="195">
        <f ca="1">IF(C6&lt;&gt;"",C6-$Y6,"")</f>
        <v>-9.0909090909090917</v>
      </c>
      <c r="AB6" s="195">
        <f ca="1">IF(D6&lt;&gt;"",D6-$Y6,"")</f>
        <v>5.9090909090909083</v>
      </c>
      <c r="AC6" s="195">
        <f ca="1">IF(E6&lt;&gt;"",E6-$Y6,"")</f>
        <v>5.9090909090909083</v>
      </c>
      <c r="AD6" s="195">
        <f ca="1">IF(F6&lt;&gt;"",F6-$Y6,"")</f>
        <v>5.9090909090909083</v>
      </c>
      <c r="AE6" s="195">
        <f ca="1">IF(G6&lt;&gt;"",G6-$Y6,"")</f>
        <v>10.909090909090908</v>
      </c>
      <c r="AF6" s="195">
        <f ca="1">IF(H6&lt;&gt;"",H6-$Y6,"")</f>
        <v>15.909090909090908</v>
      </c>
      <c r="AG6" s="195">
        <f ca="1">IF(I6&lt;&gt;"",I6-$Y6,"")</f>
        <v>-9.0909090909090917</v>
      </c>
      <c r="AH6" s="195">
        <f ca="1">IF(J6&lt;&gt;"",J6-$Y6,"")</f>
        <v>0.90909090909090828</v>
      </c>
      <c r="AI6" s="195">
        <f ca="1">IF(K6&lt;&gt;"",K6-$Y6,"")</f>
        <v>-9.0909090909090917</v>
      </c>
      <c r="AJ6" s="195">
        <f ca="1">IF(L6&lt;&gt;"",L6-$Y6,"")</f>
        <v>5.9090909090909083</v>
      </c>
      <c r="AK6" s="195">
        <f ca="1">IF(M6&lt;&gt;"",M6-$Y6,"")</f>
        <v>-9.0909090909090917</v>
      </c>
      <c r="AL6" s="195">
        <f ca="1">IF(N6&lt;&gt;"",N6-$Y6,"")</f>
        <v>-9.0909090909090917</v>
      </c>
      <c r="AM6" s="195">
        <f ca="1">IF(O6&lt;&gt;"",O6-$Y6,"")</f>
        <v>-9.0909090909090917</v>
      </c>
      <c r="AN6" s="195">
        <f ca="1">IF(P6&lt;&gt;"",P6-$Y6,"")</f>
        <v>5.9090909090909083</v>
      </c>
      <c r="AO6" s="195">
        <f ca="1">IF(S6&lt;&gt;"",S6-$Y6,"")</f>
        <v>-4.0909090909090917</v>
      </c>
      <c r="AP6" s="195">
        <f ca="1">IF(T6&lt;&gt;"",T6-$Y6,"")</f>
        <v>10.909090909090908</v>
      </c>
      <c r="AQ6" s="195">
        <f ca="1">IF(U6&lt;&gt;"",U6-$Y6,"")</f>
        <v>15.909090909090908</v>
      </c>
      <c r="AR6" s="195">
        <f ca="1">IF(V6&lt;&gt;"",V6-$Y6,"")</f>
        <v>-4.0909090909090917</v>
      </c>
      <c r="AS6" s="195">
        <f ca="1">IF(W6&lt;&gt;"",W6-$Y6,"")</f>
        <v>0.90909090909090828</v>
      </c>
      <c r="AT6" s="195">
        <f ca="1">IF(Q6&lt;&gt;"",Q6-$Y6,"")</f>
        <v>-9.0909090909090917</v>
      </c>
      <c r="AU6" s="195">
        <f ca="1">IF(R6&lt;&gt;"",R6-$Y6,"")</f>
        <v>-9.0909090909090917</v>
      </c>
      <c r="AV6" s="195">
        <f t="shared" ca="1" si="2"/>
        <v>-4.0909090909090917</v>
      </c>
    </row>
    <row r="7" spans="1:48" hidden="1">
      <c r="A7" s="189">
        <v>6</v>
      </c>
      <c r="B7" s="166" t="str">
        <f>VLOOKUP($A7,Willem!$B$14:$P$89,4,0)&amp;"-"&amp;VLOOKUP($A7,Willem!$B$14:$P$89,6,0)</f>
        <v>Algerije-  Slovenië</v>
      </c>
      <c r="C7" s="341">
        <f ca="1">IF(VLOOKUP($A7,INDIRECT(C$1&amp;"!$B$14:$P$89"),15,0)&lt;&gt;"",VLOOKUP($A7,INDIRECT(C$1&amp;"!$B$14:$P$89"),15,0)+C6,"")</f>
        <v>5</v>
      </c>
      <c r="D7" s="341">
        <f ca="1">IF(VLOOKUP($A7,INDIRECT(D$1&amp;"!$B$14:$P$89"),15,0)&lt;&gt;"",VLOOKUP($A7,INDIRECT(D$1&amp;"!$B$14:$P$89"),15,0)+D6,"")</f>
        <v>20</v>
      </c>
      <c r="E7" s="341">
        <f ca="1">IF(VLOOKUP($A7,INDIRECT(E$1&amp;"!$B$14:$P$89"),15,0)&lt;&gt;"",VLOOKUP($A7,INDIRECT(E$1&amp;"!$B$14:$P$89"),15,0)+E6,"")</f>
        <v>25</v>
      </c>
      <c r="F7" s="341">
        <f ca="1">IF(VLOOKUP($A7,INDIRECT(F$1&amp;"!$B$14:$P$89"),15,0)&lt;&gt;"",VLOOKUP($A7,INDIRECT(F$1&amp;"!$B$14:$P$89"),15,0)+F6,"")</f>
        <v>20</v>
      </c>
      <c r="G7" s="341">
        <f ca="1">IF(VLOOKUP($A7,INDIRECT(G$1&amp;"!$B$14:$P$89"),15,0)&lt;&gt;"",VLOOKUP($A7,INDIRECT(G$1&amp;"!$B$14:$P$89"),15,0)+G6,"")</f>
        <v>30</v>
      </c>
      <c r="H7" s="341">
        <f ca="1">IF(VLOOKUP($A7,INDIRECT(H$1&amp;"!$B$14:$P$89"),15,0)&lt;&gt;"",VLOOKUP($A7,INDIRECT(H$1&amp;"!$B$14:$P$89"),15,0)+H6,"")</f>
        <v>30</v>
      </c>
      <c r="I7" s="341">
        <f ca="1">IF(VLOOKUP($A7,INDIRECT(I$1&amp;"!$B$14:$P$89"),15,0)&lt;&gt;"",VLOOKUP($A7,INDIRECT(I$1&amp;"!$B$14:$P$89"),15,0)+I6,"")</f>
        <v>10</v>
      </c>
      <c r="J7" s="341">
        <f ca="1">IF(VLOOKUP($A7,INDIRECT(J$1&amp;"!$B$14:$P$89"),15,0)&lt;&gt;"",VLOOKUP($A7,INDIRECT(J$1&amp;"!$B$14:$P$89"),15,0)+J6,"")</f>
        <v>15</v>
      </c>
      <c r="K7" s="341">
        <f ca="1">IF(VLOOKUP($A7,INDIRECT(K$1&amp;"!$B$14:$P$89"),15,0)&lt;&gt;"",VLOOKUP($A7,INDIRECT(K$1&amp;"!$B$14:$P$89"),15,0)+K6,"")</f>
        <v>15</v>
      </c>
      <c r="L7" s="341">
        <f ca="1">IF(VLOOKUP($A7,INDIRECT(L$1&amp;"!$B$14:$P$89"),15,0)&lt;&gt;"",VLOOKUP($A7,INDIRECT(L$1&amp;"!$B$14:$P$89"),15,0)+L6,"")</f>
        <v>30</v>
      </c>
      <c r="M7" s="341">
        <f ca="1">IF(VLOOKUP($A7,INDIRECT(M$1&amp;"!$B$14:$P$89"),15,0)&lt;&gt;"",VLOOKUP($A7,INDIRECT(M$1&amp;"!$B$14:$P$89"),15,0)+M6,"")</f>
        <v>10</v>
      </c>
      <c r="N7" s="341">
        <f ca="1">IF(VLOOKUP($A7,INDIRECT(N$1&amp;"!$B$14:$P$89"),15,0)&lt;&gt;"",VLOOKUP($A7,INDIRECT(N$1&amp;"!$B$14:$P$89"),15,0)+N6,"")</f>
        <v>5</v>
      </c>
      <c r="O7" s="341">
        <f ca="1">IF(VLOOKUP($A7,INDIRECT(O$1&amp;"!$B$14:$P$89"),15,0)&lt;&gt;"",VLOOKUP($A7,INDIRECT(O$1&amp;"!$B$14:$P$89"),15,0)+O6,"")</f>
        <v>5</v>
      </c>
      <c r="P7" s="341">
        <f ca="1">IF(VLOOKUP($A7,INDIRECT(P$1&amp;"!$B$14:$P$89"),15,0)&lt;&gt;"",VLOOKUP($A7,INDIRECT(P$1&amp;"!$B$14:$P$89"),15,0)+P6,"")</f>
        <v>30</v>
      </c>
      <c r="Q7" s="341">
        <f ca="1">IF(VLOOKUP($A7,INDIRECT(Q$1&amp;"!$B$14:$P$89"),15,0)&lt;&gt;"",VLOOKUP($A7,INDIRECT(Q$1&amp;"!$B$14:$P$89"),15,0)+Q6,"")</f>
        <v>5</v>
      </c>
      <c r="R7" s="341">
        <f ca="1">IF(VLOOKUP($A7,INDIRECT(R$1&amp;"!$B$14:$P$89"),15,0)&lt;&gt;"",VLOOKUP($A7,INDIRECT(R$1&amp;"!$B$14:$P$89"),15,0)+R6,"")</f>
        <v>10</v>
      </c>
      <c r="S7" s="341">
        <f ca="1">IF(VLOOKUP($A7,INDIRECT(S$1&amp;"!$B$14:$P$89"),15,0)&lt;&gt;"",VLOOKUP($A7,INDIRECT(S$1&amp;"!$B$14:$P$89"),15,0)+S6,"")</f>
        <v>20</v>
      </c>
      <c r="T7" s="341">
        <f ca="1">IF(VLOOKUP($A7,INDIRECT(T$1&amp;"!$B$14:$P$89"),15,0)&lt;&gt;"",VLOOKUP($A7,INDIRECT(T$1&amp;"!$B$14:$P$89"),15,0)+T6,"")</f>
        <v>30</v>
      </c>
      <c r="U7" s="341">
        <f ca="1">IF(VLOOKUP($A7,INDIRECT(U$1&amp;"!$B$14:$P$89"),15,0)&lt;&gt;"",VLOOKUP($A7,INDIRECT(U$1&amp;"!$B$14:$P$89"),15,0)+U6,"")</f>
        <v>30</v>
      </c>
      <c r="V7" s="341">
        <f ca="1">IF(VLOOKUP($A7,INDIRECT(V$1&amp;"!$B$14:$P$89"),15,0)&lt;&gt;"",VLOOKUP($A7,INDIRECT(V$1&amp;"!$B$14:$P$89"),15,0)+V6,"")</f>
        <v>15</v>
      </c>
      <c r="W7" s="341">
        <f ca="1">IF(VLOOKUP($A7,INDIRECT(W$1&amp;"!$B$14:$P$89"),15,0)&lt;&gt;"",VLOOKUP($A7,INDIRECT(W$1&amp;"!$B$14:$P$89"),15,0)+W6,"")</f>
        <v>15</v>
      </c>
      <c r="X7" s="341">
        <f ca="1">IF(VLOOKUP($A7,INDIRECT(X$1&amp;"!$B$14:$P$89"),15,0)&lt;&gt;"",VLOOKUP($A7,INDIRECT(X$1&amp;"!$B$14:$P$89"),15,0)+X6,"")</f>
        <v>10</v>
      </c>
      <c r="Y7" s="178">
        <f t="shared" ca="1" si="1"/>
        <v>17.5</v>
      </c>
      <c r="Z7" s="194">
        <f t="shared" ca="1" si="3"/>
        <v>3.4090909090909083</v>
      </c>
      <c r="AA7" s="195">
        <f ca="1">IF(C7&lt;&gt;"",C7-$Y7,"")</f>
        <v>-12.5</v>
      </c>
      <c r="AB7" s="195">
        <f ca="1">IF(D7&lt;&gt;"",D7-$Y7,"")</f>
        <v>2.5</v>
      </c>
      <c r="AC7" s="195">
        <f ca="1">IF(E7&lt;&gt;"",E7-$Y7,"")</f>
        <v>7.5</v>
      </c>
      <c r="AD7" s="195">
        <f ca="1">IF(F7&lt;&gt;"",F7-$Y7,"")</f>
        <v>2.5</v>
      </c>
      <c r="AE7" s="195">
        <f ca="1">IF(G7&lt;&gt;"",G7-$Y7,"")</f>
        <v>12.5</v>
      </c>
      <c r="AF7" s="195">
        <f ca="1">IF(H7&lt;&gt;"",H7-$Y7,"")</f>
        <v>12.5</v>
      </c>
      <c r="AG7" s="195">
        <f ca="1">IF(I7&lt;&gt;"",I7-$Y7,"")</f>
        <v>-7.5</v>
      </c>
      <c r="AH7" s="195">
        <f ca="1">IF(J7&lt;&gt;"",J7-$Y7,"")</f>
        <v>-2.5</v>
      </c>
      <c r="AI7" s="195">
        <f ca="1">IF(K7&lt;&gt;"",K7-$Y7,"")</f>
        <v>-2.5</v>
      </c>
      <c r="AJ7" s="195">
        <f ca="1">IF(L7&lt;&gt;"",L7-$Y7,"")</f>
        <v>12.5</v>
      </c>
      <c r="AK7" s="195">
        <f ca="1">IF(M7&lt;&gt;"",M7-$Y7,"")</f>
        <v>-7.5</v>
      </c>
      <c r="AL7" s="195">
        <f ca="1">IF(N7&lt;&gt;"",N7-$Y7,"")</f>
        <v>-12.5</v>
      </c>
      <c r="AM7" s="195">
        <f ca="1">IF(O7&lt;&gt;"",O7-$Y7,"")</f>
        <v>-12.5</v>
      </c>
      <c r="AN7" s="195">
        <f ca="1">IF(P7&lt;&gt;"",P7-$Y7,"")</f>
        <v>12.5</v>
      </c>
      <c r="AO7" s="195">
        <f ca="1">IF(S7&lt;&gt;"",S7-$Y7,"")</f>
        <v>2.5</v>
      </c>
      <c r="AP7" s="195">
        <f ca="1">IF(T7&lt;&gt;"",T7-$Y7,"")</f>
        <v>12.5</v>
      </c>
      <c r="AQ7" s="195">
        <f ca="1">IF(U7&lt;&gt;"",U7-$Y7,"")</f>
        <v>12.5</v>
      </c>
      <c r="AR7" s="195">
        <f ca="1">IF(V7&lt;&gt;"",V7-$Y7,"")</f>
        <v>-2.5</v>
      </c>
      <c r="AS7" s="195">
        <f ca="1">IF(W7&lt;&gt;"",W7-$Y7,"")</f>
        <v>-2.5</v>
      </c>
      <c r="AT7" s="195">
        <f ca="1">IF(Q7&lt;&gt;"",Q7-$Y7,"")</f>
        <v>-12.5</v>
      </c>
      <c r="AU7" s="195">
        <f ca="1">IF(R7&lt;&gt;"",R7-$Y7,"")</f>
        <v>-7.5</v>
      </c>
      <c r="AV7" s="195">
        <f t="shared" ca="1" si="2"/>
        <v>-7.5</v>
      </c>
    </row>
    <row r="8" spans="1:48" hidden="1">
      <c r="A8" s="189">
        <v>7</v>
      </c>
      <c r="B8" s="165" t="str">
        <f>VLOOKUP($A8,Willem!$B$14:$P$89,4,0)&amp;"-"&amp;VLOOKUP($A8,Willem!$B$14:$P$89,6,0)</f>
        <v>Duitsland  -  Australië</v>
      </c>
      <c r="C8" s="340">
        <f ca="1">IF(VLOOKUP($A8,INDIRECT(C$1&amp;"!$B$14:$P$89"),15,0)&lt;&gt;"",VLOOKUP($A8,INDIRECT(C$1&amp;"!$B$14:$P$89"),15,0)+C7,"")</f>
        <v>10</v>
      </c>
      <c r="D8" s="340">
        <f ca="1">IF(VLOOKUP($A8,INDIRECT(D$1&amp;"!$B$14:$P$89"),15,0)&lt;&gt;"",VLOOKUP($A8,INDIRECT(D$1&amp;"!$B$14:$P$89"),15,0)+D7,"")</f>
        <v>25</v>
      </c>
      <c r="E8" s="340">
        <f ca="1">IF(VLOOKUP($A8,INDIRECT(E$1&amp;"!$B$14:$P$89"),15,0)&lt;&gt;"",VLOOKUP($A8,INDIRECT(E$1&amp;"!$B$14:$P$89"),15,0)+E7,"")</f>
        <v>30</v>
      </c>
      <c r="F8" s="340">
        <f ca="1">IF(VLOOKUP($A8,INDIRECT(F$1&amp;"!$B$14:$P$89"),15,0)&lt;&gt;"",VLOOKUP($A8,INDIRECT(F$1&amp;"!$B$14:$P$89"),15,0)+F7,"")</f>
        <v>25</v>
      </c>
      <c r="G8" s="340">
        <f ca="1">IF(VLOOKUP($A8,INDIRECT(G$1&amp;"!$B$14:$P$89"),15,0)&lt;&gt;"",VLOOKUP($A8,INDIRECT(G$1&amp;"!$B$14:$P$89"),15,0)+G7,"")</f>
        <v>30</v>
      </c>
      <c r="H8" s="340">
        <f ca="1">IF(VLOOKUP($A8,INDIRECT(H$1&amp;"!$B$14:$P$89"),15,0)&lt;&gt;"",VLOOKUP($A8,INDIRECT(H$1&amp;"!$B$14:$P$89"),15,0)+H7,"")</f>
        <v>35</v>
      </c>
      <c r="I8" s="340">
        <f ca="1">IF(VLOOKUP($A8,INDIRECT(I$1&amp;"!$B$14:$P$89"),15,0)&lt;&gt;"",VLOOKUP($A8,INDIRECT(I$1&amp;"!$B$14:$P$89"),15,0)+I7,"")</f>
        <v>15</v>
      </c>
      <c r="J8" s="340">
        <f ca="1">IF(VLOOKUP($A8,INDIRECT(J$1&amp;"!$B$14:$P$89"),15,0)&lt;&gt;"",VLOOKUP($A8,INDIRECT(J$1&amp;"!$B$14:$P$89"),15,0)+J7,"")</f>
        <v>15</v>
      </c>
      <c r="K8" s="340">
        <f ca="1">IF(VLOOKUP($A8,INDIRECT(K$1&amp;"!$B$14:$P$89"),15,0)&lt;&gt;"",VLOOKUP($A8,INDIRECT(K$1&amp;"!$B$14:$P$89"),15,0)+K7,"")</f>
        <v>20</v>
      </c>
      <c r="L8" s="340">
        <f ca="1">IF(VLOOKUP($A8,INDIRECT(L$1&amp;"!$B$14:$P$89"),15,0)&lt;&gt;"",VLOOKUP($A8,INDIRECT(L$1&amp;"!$B$14:$P$89"),15,0)+L7,"")</f>
        <v>35</v>
      </c>
      <c r="M8" s="340">
        <f ca="1">IF(VLOOKUP($A8,INDIRECT(M$1&amp;"!$B$14:$P$89"),15,0)&lt;&gt;"",VLOOKUP($A8,INDIRECT(M$1&amp;"!$B$14:$P$89"),15,0)+M7,"")</f>
        <v>15</v>
      </c>
      <c r="N8" s="340">
        <f ca="1">IF(VLOOKUP($A8,INDIRECT(N$1&amp;"!$B$14:$P$89"),15,0)&lt;&gt;"",VLOOKUP($A8,INDIRECT(N$1&amp;"!$B$14:$P$89"),15,0)+N7,"")</f>
        <v>10</v>
      </c>
      <c r="O8" s="340">
        <f ca="1">IF(VLOOKUP($A8,INDIRECT(O$1&amp;"!$B$14:$P$89"),15,0)&lt;&gt;"",VLOOKUP($A8,INDIRECT(O$1&amp;"!$B$14:$P$89"),15,0)+O7,"")</f>
        <v>10</v>
      </c>
      <c r="P8" s="340">
        <f ca="1">IF(VLOOKUP($A8,INDIRECT(P$1&amp;"!$B$14:$P$89"),15,0)&lt;&gt;"",VLOOKUP($A8,INDIRECT(P$1&amp;"!$B$14:$P$89"),15,0)+P7,"")</f>
        <v>35</v>
      </c>
      <c r="Q8" s="340">
        <f ca="1">IF(VLOOKUP($A8,INDIRECT(Q$1&amp;"!$B$14:$P$89"),15,0)&lt;&gt;"",VLOOKUP($A8,INDIRECT(Q$1&amp;"!$B$14:$P$89"),15,0)+Q7,"")</f>
        <v>10</v>
      </c>
      <c r="R8" s="340">
        <f ca="1">IF(VLOOKUP($A8,INDIRECT(R$1&amp;"!$B$14:$P$89"),15,0)&lt;&gt;"",VLOOKUP($A8,INDIRECT(R$1&amp;"!$B$14:$P$89"),15,0)+R7,"")</f>
        <v>15</v>
      </c>
      <c r="S8" s="340">
        <f ca="1">IF(VLOOKUP($A8,INDIRECT(S$1&amp;"!$B$14:$P$89"),15,0)&lt;&gt;"",VLOOKUP($A8,INDIRECT(S$1&amp;"!$B$14:$P$89"),15,0)+S7,"")</f>
        <v>25</v>
      </c>
      <c r="T8" s="340">
        <f ca="1">IF(VLOOKUP($A8,INDIRECT(T$1&amp;"!$B$14:$P$89"),15,0)&lt;&gt;"",VLOOKUP($A8,INDIRECT(T$1&amp;"!$B$14:$P$89"),15,0)+T7,"")</f>
        <v>30</v>
      </c>
      <c r="U8" s="340">
        <f ca="1">IF(VLOOKUP($A8,INDIRECT(U$1&amp;"!$B$14:$P$89"),15,0)&lt;&gt;"",VLOOKUP($A8,INDIRECT(U$1&amp;"!$B$14:$P$89"),15,0)+U7,"")</f>
        <v>35</v>
      </c>
      <c r="V8" s="340">
        <f ca="1">IF(VLOOKUP($A8,INDIRECT(V$1&amp;"!$B$14:$P$89"),15,0)&lt;&gt;"",VLOOKUP($A8,INDIRECT(V$1&amp;"!$B$14:$P$89"),15,0)+V7,"")</f>
        <v>20</v>
      </c>
      <c r="W8" s="340">
        <f ca="1">IF(VLOOKUP($A8,INDIRECT(W$1&amp;"!$B$14:$P$89"),15,0)&lt;&gt;"",VLOOKUP($A8,INDIRECT(W$1&amp;"!$B$14:$P$89"),15,0)+W7,"")</f>
        <v>20</v>
      </c>
      <c r="X8" s="340">
        <f ca="1">IF(VLOOKUP($A8,INDIRECT(X$1&amp;"!$B$14:$P$89"),15,0)&lt;&gt;"",VLOOKUP($A8,INDIRECT(X$1&amp;"!$B$14:$P$89"),15,0)+X7,"")</f>
        <v>15</v>
      </c>
      <c r="Y8" s="178">
        <f t="shared" ca="1" si="1"/>
        <v>21.818181818181817</v>
      </c>
      <c r="Z8" s="194">
        <f t="shared" ca="1" si="3"/>
        <v>4.3181818181818166</v>
      </c>
      <c r="AA8" s="195">
        <f ca="1">IF(C8&lt;&gt;"",C8-$Y8,"")</f>
        <v>-11.818181818181817</v>
      </c>
      <c r="AB8" s="195">
        <f ca="1">IF(D8&lt;&gt;"",D8-$Y8,"")</f>
        <v>3.1818181818181834</v>
      </c>
      <c r="AC8" s="195">
        <f ca="1">IF(E8&lt;&gt;"",E8-$Y8,"")</f>
        <v>8.1818181818181834</v>
      </c>
      <c r="AD8" s="195">
        <f ca="1">IF(F8&lt;&gt;"",F8-$Y8,"")</f>
        <v>3.1818181818181834</v>
      </c>
      <c r="AE8" s="195">
        <f ca="1">IF(G8&lt;&gt;"",G8-$Y8,"")</f>
        <v>8.1818181818181834</v>
      </c>
      <c r="AF8" s="195">
        <f ca="1">IF(H8&lt;&gt;"",H8-$Y8,"")</f>
        <v>13.181818181818183</v>
      </c>
      <c r="AG8" s="195">
        <f ca="1">IF(I8&lt;&gt;"",I8-$Y8,"")</f>
        <v>-6.8181818181818166</v>
      </c>
      <c r="AH8" s="195">
        <f ca="1">IF(J8&lt;&gt;"",J8-$Y8,"")</f>
        <v>-6.8181818181818166</v>
      </c>
      <c r="AI8" s="195">
        <f ca="1">IF(K8&lt;&gt;"",K8-$Y8,"")</f>
        <v>-1.8181818181818166</v>
      </c>
      <c r="AJ8" s="195">
        <f ca="1">IF(L8&lt;&gt;"",L8-$Y8,"")</f>
        <v>13.181818181818183</v>
      </c>
      <c r="AK8" s="195">
        <f ca="1">IF(M8&lt;&gt;"",M8-$Y8,"")</f>
        <v>-6.8181818181818166</v>
      </c>
      <c r="AL8" s="195">
        <f ca="1">IF(N8&lt;&gt;"",N8-$Y8,"")</f>
        <v>-11.818181818181817</v>
      </c>
      <c r="AM8" s="195">
        <f ca="1">IF(O8&lt;&gt;"",O8-$Y8,"")</f>
        <v>-11.818181818181817</v>
      </c>
      <c r="AN8" s="195">
        <f ca="1">IF(P8&lt;&gt;"",P8-$Y8,"")</f>
        <v>13.181818181818183</v>
      </c>
      <c r="AO8" s="195">
        <f ca="1">IF(S8&lt;&gt;"",S8-$Y8,"")</f>
        <v>3.1818181818181834</v>
      </c>
      <c r="AP8" s="195">
        <f ca="1">IF(T8&lt;&gt;"",T8-$Y8,"")</f>
        <v>8.1818181818181834</v>
      </c>
      <c r="AQ8" s="195">
        <f ca="1">IF(U8&lt;&gt;"",U8-$Y8,"")</f>
        <v>13.181818181818183</v>
      </c>
      <c r="AR8" s="195">
        <f ca="1">IF(V8&lt;&gt;"",V8-$Y8,"")</f>
        <v>-1.8181818181818166</v>
      </c>
      <c r="AS8" s="195">
        <f ca="1">IF(W8&lt;&gt;"",W8-$Y8,"")</f>
        <v>-1.8181818181818166</v>
      </c>
      <c r="AT8" s="195">
        <f ca="1">IF(Q8&lt;&gt;"",Q8-$Y8,"")</f>
        <v>-11.818181818181817</v>
      </c>
      <c r="AU8" s="195">
        <f ca="1">IF(R8&lt;&gt;"",R8-$Y8,"")</f>
        <v>-6.8181818181818166</v>
      </c>
      <c r="AV8" s="195">
        <f t="shared" ca="1" si="2"/>
        <v>-6.8181818181818166</v>
      </c>
    </row>
    <row r="9" spans="1:48">
      <c r="A9" s="189">
        <v>8</v>
      </c>
      <c r="B9" s="166" t="str">
        <f>VLOOKUP($A9,Willem!$B$14:$P$89,4,0)&amp;"-"&amp;VLOOKUP($A9,Willem!$B$14:$P$89,6,0)</f>
        <v>Servië  -  Ghana</v>
      </c>
      <c r="C9" s="341">
        <f ca="1">IF(VLOOKUP($A9,INDIRECT(C$1&amp;"!$B$14:$P$89"),15,0)&lt;&gt;"",VLOOKUP($A9,INDIRECT(C$1&amp;"!$B$14:$P$89"),15,0)+C8,"")</f>
        <v>10</v>
      </c>
      <c r="D9" s="341">
        <f ca="1">IF(VLOOKUP($A9,INDIRECT(D$1&amp;"!$B$14:$P$89"),15,0)&lt;&gt;"",VLOOKUP($A9,INDIRECT(D$1&amp;"!$B$14:$P$89"),15,0)+D8,"")</f>
        <v>25</v>
      </c>
      <c r="E9" s="341">
        <f ca="1">IF(VLOOKUP($A9,INDIRECT(E$1&amp;"!$B$14:$P$89"),15,0)&lt;&gt;"",VLOOKUP($A9,INDIRECT(E$1&amp;"!$B$14:$P$89"),15,0)+E8,"")</f>
        <v>30</v>
      </c>
      <c r="F9" s="341">
        <f ca="1">IF(VLOOKUP($A9,INDIRECT(F$1&amp;"!$B$14:$P$89"),15,0)&lt;&gt;"",VLOOKUP($A9,INDIRECT(F$1&amp;"!$B$14:$P$89"),15,0)+F8,"")</f>
        <v>35</v>
      </c>
      <c r="G9" s="341">
        <f ca="1">IF(VLOOKUP($A9,INDIRECT(G$1&amp;"!$B$14:$P$89"),15,0)&lt;&gt;"",VLOOKUP($A9,INDIRECT(G$1&amp;"!$B$14:$P$89"),15,0)+G8,"")</f>
        <v>30</v>
      </c>
      <c r="H9" s="341">
        <f ca="1">IF(VLOOKUP($A9,INDIRECT(H$1&amp;"!$B$14:$P$89"),15,0)&lt;&gt;"",VLOOKUP($A9,INDIRECT(H$1&amp;"!$B$14:$P$89"),15,0)+H8,"")</f>
        <v>35</v>
      </c>
      <c r="I9" s="341">
        <f ca="1">IF(VLOOKUP($A9,INDIRECT(I$1&amp;"!$B$14:$P$89"),15,0)&lt;&gt;"",VLOOKUP($A9,INDIRECT(I$1&amp;"!$B$14:$P$89"),15,0)+I8,"")</f>
        <v>15</v>
      </c>
      <c r="J9" s="341">
        <f ca="1">IF(VLOOKUP($A9,INDIRECT(J$1&amp;"!$B$14:$P$89"),15,0)&lt;&gt;"",VLOOKUP($A9,INDIRECT(J$1&amp;"!$B$14:$P$89"),15,0)+J8,"")</f>
        <v>15</v>
      </c>
      <c r="K9" s="341">
        <f ca="1">IF(VLOOKUP($A9,INDIRECT(K$1&amp;"!$B$14:$P$89"),15,0)&lt;&gt;"",VLOOKUP($A9,INDIRECT(K$1&amp;"!$B$14:$P$89"),15,0)+K8,"")</f>
        <v>20</v>
      </c>
      <c r="L9" s="341">
        <f ca="1">IF(VLOOKUP($A9,INDIRECT(L$1&amp;"!$B$14:$P$89"),15,0)&lt;&gt;"",VLOOKUP($A9,INDIRECT(L$1&amp;"!$B$14:$P$89"),15,0)+L8,"")</f>
        <v>40</v>
      </c>
      <c r="M9" s="341">
        <f ca="1">IF(VLOOKUP($A9,INDIRECT(M$1&amp;"!$B$14:$P$89"),15,0)&lt;&gt;"",VLOOKUP($A9,INDIRECT(M$1&amp;"!$B$14:$P$89"),15,0)+M8,"")</f>
        <v>15</v>
      </c>
      <c r="N9" s="341">
        <f ca="1">IF(VLOOKUP($A9,INDIRECT(N$1&amp;"!$B$14:$P$89"),15,0)&lt;&gt;"",VLOOKUP($A9,INDIRECT(N$1&amp;"!$B$14:$P$89"),15,0)+N8,"")</f>
        <v>10</v>
      </c>
      <c r="O9" s="341">
        <f ca="1">IF(VLOOKUP($A9,INDIRECT(O$1&amp;"!$B$14:$P$89"),15,0)&lt;&gt;"",VLOOKUP($A9,INDIRECT(O$1&amp;"!$B$14:$P$89"),15,0)+O8,"")</f>
        <v>10</v>
      </c>
      <c r="P9" s="341">
        <f ca="1">IF(VLOOKUP($A9,INDIRECT(P$1&amp;"!$B$14:$P$89"),15,0)&lt;&gt;"",VLOOKUP($A9,INDIRECT(P$1&amp;"!$B$14:$P$89"),15,0)+P8,"")</f>
        <v>45</v>
      </c>
      <c r="Q9" s="341">
        <f ca="1">IF(VLOOKUP($A9,INDIRECT(Q$1&amp;"!$B$14:$P$89"),15,0)&lt;&gt;"",VLOOKUP($A9,INDIRECT(Q$1&amp;"!$B$14:$P$89"),15,0)+Q8,"")</f>
        <v>10</v>
      </c>
      <c r="R9" s="341">
        <f ca="1">IF(VLOOKUP($A9,INDIRECT(R$1&amp;"!$B$14:$P$89"),15,0)&lt;&gt;"",VLOOKUP($A9,INDIRECT(R$1&amp;"!$B$14:$P$89"),15,0)+R8,"")</f>
        <v>15</v>
      </c>
      <c r="S9" s="341">
        <f ca="1">IF(VLOOKUP($A9,INDIRECT(S$1&amp;"!$B$14:$P$89"),15,0)&lt;&gt;"",VLOOKUP($A9,INDIRECT(S$1&amp;"!$B$14:$P$89"),15,0)+S8,"")</f>
        <v>25</v>
      </c>
      <c r="T9" s="341">
        <f ca="1">IF(VLOOKUP($A9,INDIRECT(T$1&amp;"!$B$14:$P$89"),15,0)&lt;&gt;"",VLOOKUP($A9,INDIRECT(T$1&amp;"!$B$14:$P$89"),15,0)+T8,"")</f>
        <v>30</v>
      </c>
      <c r="U9" s="341">
        <f ca="1">IF(VLOOKUP($A9,INDIRECT(U$1&amp;"!$B$14:$P$89"),15,0)&lt;&gt;"",VLOOKUP($A9,INDIRECT(U$1&amp;"!$B$14:$P$89"),15,0)+U8,"")</f>
        <v>35</v>
      </c>
      <c r="V9" s="341">
        <f ca="1">IF(VLOOKUP($A9,INDIRECT(V$1&amp;"!$B$14:$P$89"),15,0)&lt;&gt;"",VLOOKUP($A9,INDIRECT(V$1&amp;"!$B$14:$P$89"),15,0)+V8,"")</f>
        <v>20</v>
      </c>
      <c r="W9" s="341">
        <f ca="1">IF(VLOOKUP($A9,INDIRECT(W$1&amp;"!$B$14:$P$89"),15,0)&lt;&gt;"",VLOOKUP($A9,INDIRECT(W$1&amp;"!$B$14:$P$89"),15,0)+W8,"")</f>
        <v>20</v>
      </c>
      <c r="X9" s="341">
        <f ca="1">IF(VLOOKUP($A9,INDIRECT(X$1&amp;"!$B$14:$P$89"),15,0)&lt;&gt;"",VLOOKUP($A9,INDIRECT(X$1&amp;"!$B$14:$P$89"),15,0)+X8,"")</f>
        <v>20</v>
      </c>
      <c r="Y9" s="178">
        <f t="shared" ca="1" si="1"/>
        <v>23.181818181818183</v>
      </c>
      <c r="Z9" s="194">
        <f t="shared" ca="1" si="3"/>
        <v>1.3636363636363669</v>
      </c>
      <c r="AA9" s="195">
        <f ca="1">IF(C9&lt;&gt;"",C9-$Y9,"")</f>
        <v>-13.181818181818183</v>
      </c>
      <c r="AB9" s="195">
        <f ca="1">IF(D9&lt;&gt;"",D9-$Y9,"")</f>
        <v>1.8181818181818166</v>
      </c>
      <c r="AC9" s="195">
        <f ca="1">IF(E9&lt;&gt;"",E9-$Y9,"")</f>
        <v>6.8181818181818166</v>
      </c>
      <c r="AD9" s="195">
        <f ca="1">IF(F9&lt;&gt;"",F9-$Y9,"")</f>
        <v>11.818181818181817</v>
      </c>
      <c r="AE9" s="195">
        <f ca="1">IF(G9&lt;&gt;"",G9-$Y9,"")</f>
        <v>6.8181818181818166</v>
      </c>
      <c r="AF9" s="195">
        <f ca="1">IF(H9&lt;&gt;"",H9-$Y9,"")</f>
        <v>11.818181818181817</v>
      </c>
      <c r="AG9" s="195">
        <f ca="1">IF(I9&lt;&gt;"",I9-$Y9,"")</f>
        <v>-8.1818181818181834</v>
      </c>
      <c r="AH9" s="195">
        <f ca="1">IF(J9&lt;&gt;"",J9-$Y9,"")</f>
        <v>-8.1818181818181834</v>
      </c>
      <c r="AI9" s="195">
        <f ca="1">IF(K9&lt;&gt;"",K9-$Y9,"")</f>
        <v>-3.1818181818181834</v>
      </c>
      <c r="AJ9" s="195">
        <f ca="1">IF(L9&lt;&gt;"",L9-$Y9,"")</f>
        <v>16.818181818181817</v>
      </c>
      <c r="AK9" s="195">
        <f ca="1">IF(M9&lt;&gt;"",M9-$Y9,"")</f>
        <v>-8.1818181818181834</v>
      </c>
      <c r="AL9" s="195">
        <f ca="1">IF(N9&lt;&gt;"",N9-$Y9,"")</f>
        <v>-13.181818181818183</v>
      </c>
      <c r="AM9" s="195">
        <f ca="1">IF(O9&lt;&gt;"",O9-$Y9,"")</f>
        <v>-13.181818181818183</v>
      </c>
      <c r="AN9" s="195">
        <f ca="1">IF(P9&lt;&gt;"",P9-$Y9,"")</f>
        <v>21.818181818181817</v>
      </c>
      <c r="AO9" s="195">
        <f ca="1">IF(S9&lt;&gt;"",S9-$Y9,"")</f>
        <v>1.8181818181818166</v>
      </c>
      <c r="AP9" s="195">
        <f ca="1">IF(T9&lt;&gt;"",T9-$Y9,"")</f>
        <v>6.8181818181818166</v>
      </c>
      <c r="AQ9" s="195">
        <f ca="1">IF(U9&lt;&gt;"",U9-$Y9,"")</f>
        <v>11.818181818181817</v>
      </c>
      <c r="AR9" s="195">
        <f ca="1">IF(V9&lt;&gt;"",V9-$Y9,"")</f>
        <v>-3.1818181818181834</v>
      </c>
      <c r="AS9" s="195">
        <f ca="1">IF(W9&lt;&gt;"",W9-$Y9,"")</f>
        <v>-3.1818181818181834</v>
      </c>
      <c r="AT9" s="195">
        <f ca="1">IF(Q9&lt;&gt;"",Q9-$Y9,"")</f>
        <v>-13.181818181818183</v>
      </c>
      <c r="AU9" s="195">
        <f ca="1">IF(R9&lt;&gt;"",R9-$Y9,"")</f>
        <v>-8.1818181818181834</v>
      </c>
      <c r="AV9" s="195">
        <f t="shared" ca="1" si="2"/>
        <v>-3.1818181818181834</v>
      </c>
    </row>
    <row r="10" spans="1:48" hidden="1">
      <c r="A10" s="189">
        <v>9</v>
      </c>
      <c r="B10" s="165" t="str">
        <f>VLOOKUP($A10,Willem!$B$14:$P$89,4,0)&amp;"-"&amp;VLOOKUP($A10,Willem!$B$14:$P$89,6,0)</f>
        <v>Nederland  -  Denemarken</v>
      </c>
      <c r="C10" s="340">
        <f ca="1">IF(VLOOKUP($A10,INDIRECT(C$1&amp;"!$B$14:$P$89"),15,0)&lt;&gt;"",VLOOKUP($A10,INDIRECT(C$1&amp;"!$B$14:$P$89"),15,0)+C9,"")</f>
        <v>20</v>
      </c>
      <c r="D10" s="340">
        <f ca="1">IF(VLOOKUP($A10,INDIRECT(D$1&amp;"!$B$14:$P$89"),15,0)&lt;&gt;"",VLOOKUP($A10,INDIRECT(D$1&amp;"!$B$14:$P$89"),15,0)+D9,"")</f>
        <v>30</v>
      </c>
      <c r="E10" s="340">
        <f ca="1">IF(VLOOKUP($A10,INDIRECT(E$1&amp;"!$B$14:$P$89"),15,0)&lt;&gt;"",VLOOKUP($A10,INDIRECT(E$1&amp;"!$B$14:$P$89"),15,0)+E9,"")</f>
        <v>35</v>
      </c>
      <c r="F10" s="340">
        <f ca="1">IF(VLOOKUP($A10,INDIRECT(F$1&amp;"!$B$14:$P$89"),15,0)&lt;&gt;"",VLOOKUP($A10,INDIRECT(F$1&amp;"!$B$14:$P$89"),15,0)+F9,"")</f>
        <v>45</v>
      </c>
      <c r="G10" s="340">
        <f ca="1">IF(VLOOKUP($A10,INDIRECT(G$1&amp;"!$B$14:$P$89"),15,0)&lt;&gt;"",VLOOKUP($A10,INDIRECT(G$1&amp;"!$B$14:$P$89"),15,0)+G9,"")</f>
        <v>30</v>
      </c>
      <c r="H10" s="340">
        <f ca="1">IF(VLOOKUP($A10,INDIRECT(H$1&amp;"!$B$14:$P$89"),15,0)&lt;&gt;"",VLOOKUP($A10,INDIRECT(H$1&amp;"!$B$14:$P$89"),15,0)+H9,"")</f>
        <v>40</v>
      </c>
      <c r="I10" s="340">
        <f ca="1">IF(VLOOKUP($A10,INDIRECT(I$1&amp;"!$B$14:$P$89"),15,0)&lt;&gt;"",VLOOKUP($A10,INDIRECT(I$1&amp;"!$B$14:$P$89"),15,0)+I9,"")</f>
        <v>20</v>
      </c>
      <c r="J10" s="340">
        <f ca="1">IF(VLOOKUP($A10,INDIRECT(J$1&amp;"!$B$14:$P$89"),15,0)&lt;&gt;"",VLOOKUP($A10,INDIRECT(J$1&amp;"!$B$14:$P$89"),15,0)+J9,"")</f>
        <v>20</v>
      </c>
      <c r="K10" s="340">
        <f ca="1">IF(VLOOKUP($A10,INDIRECT(K$1&amp;"!$B$14:$P$89"),15,0)&lt;&gt;"",VLOOKUP($A10,INDIRECT(K$1&amp;"!$B$14:$P$89"),15,0)+K9,"")</f>
        <v>25</v>
      </c>
      <c r="L10" s="340">
        <f ca="1">IF(VLOOKUP($A10,INDIRECT(L$1&amp;"!$B$14:$P$89"),15,0)&lt;&gt;"",VLOOKUP($A10,INDIRECT(L$1&amp;"!$B$14:$P$89"),15,0)+L9,"")</f>
        <v>50</v>
      </c>
      <c r="M10" s="340">
        <f ca="1">IF(VLOOKUP($A10,INDIRECT(M$1&amp;"!$B$14:$P$89"),15,0)&lt;&gt;"",VLOOKUP($A10,INDIRECT(M$1&amp;"!$B$14:$P$89"),15,0)+M9,"")</f>
        <v>20</v>
      </c>
      <c r="N10" s="340">
        <f ca="1">IF(VLOOKUP($A10,INDIRECT(N$1&amp;"!$B$14:$P$89"),15,0)&lt;&gt;"",VLOOKUP($A10,INDIRECT(N$1&amp;"!$B$14:$P$89"),15,0)+N9,"")</f>
        <v>15</v>
      </c>
      <c r="O10" s="340">
        <f ca="1">IF(VLOOKUP($A10,INDIRECT(O$1&amp;"!$B$14:$P$89"),15,0)&lt;&gt;"",VLOOKUP($A10,INDIRECT(O$1&amp;"!$B$14:$P$89"),15,0)+O9,"")</f>
        <v>15</v>
      </c>
      <c r="P10" s="340">
        <f ca="1">IF(VLOOKUP($A10,INDIRECT(P$1&amp;"!$B$14:$P$89"),15,0)&lt;&gt;"",VLOOKUP($A10,INDIRECT(P$1&amp;"!$B$14:$P$89"),15,0)+P9,"")</f>
        <v>50</v>
      </c>
      <c r="Q10" s="340">
        <f ca="1">IF(VLOOKUP($A10,INDIRECT(Q$1&amp;"!$B$14:$P$89"),15,0)&lt;&gt;"",VLOOKUP($A10,INDIRECT(Q$1&amp;"!$B$14:$P$89"),15,0)+Q9,"")</f>
        <v>10</v>
      </c>
      <c r="R10" s="340">
        <f ca="1">IF(VLOOKUP($A10,INDIRECT(R$1&amp;"!$B$14:$P$89"),15,0)&lt;&gt;"",VLOOKUP($A10,INDIRECT(R$1&amp;"!$B$14:$P$89"),15,0)+R9,"")</f>
        <v>20</v>
      </c>
      <c r="S10" s="340">
        <f ca="1">IF(VLOOKUP($A10,INDIRECT(S$1&amp;"!$B$14:$P$89"),15,0)&lt;&gt;"",VLOOKUP($A10,INDIRECT(S$1&amp;"!$B$14:$P$89"),15,0)+S9,"")</f>
        <v>30</v>
      </c>
      <c r="T10" s="340">
        <f ca="1">IF(VLOOKUP($A10,INDIRECT(T$1&amp;"!$B$14:$P$89"),15,0)&lt;&gt;"",VLOOKUP($A10,INDIRECT(T$1&amp;"!$B$14:$P$89"),15,0)+T9,"")</f>
        <v>35</v>
      </c>
      <c r="U10" s="340">
        <f ca="1">IF(VLOOKUP($A10,INDIRECT(U$1&amp;"!$B$14:$P$89"),15,0)&lt;&gt;"",VLOOKUP($A10,INDIRECT(U$1&amp;"!$B$14:$P$89"),15,0)+U9,"")</f>
        <v>40</v>
      </c>
      <c r="V10" s="340">
        <f ca="1">IF(VLOOKUP($A10,INDIRECT(V$1&amp;"!$B$14:$P$89"),15,0)&lt;&gt;"",VLOOKUP($A10,INDIRECT(V$1&amp;"!$B$14:$P$89"),15,0)+V9,"")</f>
        <v>20</v>
      </c>
      <c r="W10" s="340">
        <f ca="1">IF(VLOOKUP($A10,INDIRECT(W$1&amp;"!$B$14:$P$89"),15,0)&lt;&gt;"",VLOOKUP($A10,INDIRECT(W$1&amp;"!$B$14:$P$89"),15,0)+W9,"")</f>
        <v>25</v>
      </c>
      <c r="X10" s="340">
        <f ca="1">IF(VLOOKUP($A10,INDIRECT(X$1&amp;"!$B$14:$P$89"),15,0)&lt;&gt;"",VLOOKUP($A10,INDIRECT(X$1&amp;"!$B$14:$P$89"),15,0)+X9,"")</f>
        <v>25</v>
      </c>
      <c r="Y10" s="178">
        <f t="shared" ca="1" si="1"/>
        <v>28.181818181818183</v>
      </c>
      <c r="Z10" s="194">
        <f t="shared" ca="1" si="3"/>
        <v>5</v>
      </c>
      <c r="AA10" s="195">
        <f ca="1">IF(C10&lt;&gt;"",C10-$Y10,"")</f>
        <v>-8.1818181818181834</v>
      </c>
      <c r="AB10" s="195">
        <f ca="1">IF(D10&lt;&gt;"",D10-$Y10,"")</f>
        <v>1.8181818181818166</v>
      </c>
      <c r="AC10" s="195">
        <f ca="1">IF(E10&lt;&gt;"",E10-$Y10,"")</f>
        <v>6.8181818181818166</v>
      </c>
      <c r="AD10" s="195">
        <f ca="1">IF(F10&lt;&gt;"",F10-$Y10,"")</f>
        <v>16.818181818181817</v>
      </c>
      <c r="AE10" s="195">
        <f ca="1">IF(G10&lt;&gt;"",G10-$Y10,"")</f>
        <v>1.8181818181818166</v>
      </c>
      <c r="AF10" s="195">
        <f ca="1">IF(H10&lt;&gt;"",H10-$Y10,"")</f>
        <v>11.818181818181817</v>
      </c>
      <c r="AG10" s="195">
        <f ca="1">IF(I10&lt;&gt;"",I10-$Y10,"")</f>
        <v>-8.1818181818181834</v>
      </c>
      <c r="AH10" s="195">
        <f ca="1">IF(J10&lt;&gt;"",J10-$Y10,"")</f>
        <v>-8.1818181818181834</v>
      </c>
      <c r="AI10" s="195">
        <f ca="1">IF(K10&lt;&gt;"",K10-$Y10,"")</f>
        <v>-3.1818181818181834</v>
      </c>
      <c r="AJ10" s="195">
        <f ca="1">IF(L10&lt;&gt;"",L10-$Y10,"")</f>
        <v>21.818181818181817</v>
      </c>
      <c r="AK10" s="195">
        <f ca="1">IF(M10&lt;&gt;"",M10-$Y10,"")</f>
        <v>-8.1818181818181834</v>
      </c>
      <c r="AL10" s="195">
        <f ca="1">IF(N10&lt;&gt;"",N10-$Y10,"")</f>
        <v>-13.181818181818183</v>
      </c>
      <c r="AM10" s="195">
        <f ca="1">IF(O10&lt;&gt;"",O10-$Y10,"")</f>
        <v>-13.181818181818183</v>
      </c>
      <c r="AN10" s="195">
        <f ca="1">IF(P10&lt;&gt;"",P10-$Y10,"")</f>
        <v>21.818181818181817</v>
      </c>
      <c r="AO10" s="195">
        <f ca="1">IF(S10&lt;&gt;"",S10-$Y10,"")</f>
        <v>1.8181818181818166</v>
      </c>
      <c r="AP10" s="195">
        <f ca="1">IF(T10&lt;&gt;"",T10-$Y10,"")</f>
        <v>6.8181818181818166</v>
      </c>
      <c r="AQ10" s="195">
        <f ca="1">IF(U10&lt;&gt;"",U10-$Y10,"")</f>
        <v>11.818181818181817</v>
      </c>
      <c r="AR10" s="195">
        <f ca="1">IF(V10&lt;&gt;"",V10-$Y10,"")</f>
        <v>-8.1818181818181834</v>
      </c>
      <c r="AS10" s="195">
        <f ca="1">IF(W10&lt;&gt;"",W10-$Y10,"")</f>
        <v>-3.1818181818181834</v>
      </c>
      <c r="AT10" s="195">
        <f ca="1">IF(Q10&lt;&gt;"",Q10-$Y10,"")</f>
        <v>-18.181818181818183</v>
      </c>
      <c r="AU10" s="195">
        <f ca="1">IF(R10&lt;&gt;"",R10-$Y10,"")</f>
        <v>-8.1818181818181834</v>
      </c>
      <c r="AV10" s="195">
        <f t="shared" ca="1" si="2"/>
        <v>-3.1818181818181834</v>
      </c>
    </row>
    <row r="11" spans="1:48" hidden="1">
      <c r="A11" s="189">
        <v>10</v>
      </c>
      <c r="B11" s="166" t="str">
        <f>VLOOKUP($A11,Willem!$B$14:$P$89,4,0)&amp;"-"&amp;VLOOKUP($A11,Willem!$B$14:$P$89,6,0)</f>
        <v>Japan  -  Kameroen</v>
      </c>
      <c r="C11" s="341">
        <f ca="1">IF(VLOOKUP($A11,INDIRECT(C$1&amp;"!$B$14:$P$89"),15,0)&lt;&gt;"",VLOOKUP($A11,INDIRECT(C$1&amp;"!$B$14:$P$89"),15,0)+C10,"")</f>
        <v>20</v>
      </c>
      <c r="D11" s="341">
        <f ca="1">IF(VLOOKUP($A11,INDIRECT(D$1&amp;"!$B$14:$P$89"),15,0)&lt;&gt;"",VLOOKUP($A11,INDIRECT(D$1&amp;"!$B$14:$P$89"),15,0)+D10,"")</f>
        <v>30</v>
      </c>
      <c r="E11" s="341">
        <f ca="1">IF(VLOOKUP($A11,INDIRECT(E$1&amp;"!$B$14:$P$89"),15,0)&lt;&gt;"",VLOOKUP($A11,INDIRECT(E$1&amp;"!$B$14:$P$89"),15,0)+E10,"")</f>
        <v>35</v>
      </c>
      <c r="F11" s="341">
        <f ca="1">IF(VLOOKUP($A11,INDIRECT(F$1&amp;"!$B$14:$P$89"),15,0)&lt;&gt;"",VLOOKUP($A11,INDIRECT(F$1&amp;"!$B$14:$P$89"),15,0)+F10,"")</f>
        <v>45</v>
      </c>
      <c r="G11" s="341">
        <f ca="1">IF(VLOOKUP($A11,INDIRECT(G$1&amp;"!$B$14:$P$89"),15,0)&lt;&gt;"",VLOOKUP($A11,INDIRECT(G$1&amp;"!$B$14:$P$89"),15,0)+G10,"")</f>
        <v>35</v>
      </c>
      <c r="H11" s="341">
        <f ca="1">IF(VLOOKUP($A11,INDIRECT(H$1&amp;"!$B$14:$P$89"),15,0)&lt;&gt;"",VLOOKUP($A11,INDIRECT(H$1&amp;"!$B$14:$P$89"),15,0)+H10,"")</f>
        <v>40</v>
      </c>
      <c r="I11" s="341">
        <f ca="1">IF(VLOOKUP($A11,INDIRECT(I$1&amp;"!$B$14:$P$89"),15,0)&lt;&gt;"",VLOOKUP($A11,INDIRECT(I$1&amp;"!$B$14:$P$89"),15,0)+I10,"")</f>
        <v>20</v>
      </c>
      <c r="J11" s="341">
        <f ca="1">IF(VLOOKUP($A11,INDIRECT(J$1&amp;"!$B$14:$P$89"),15,0)&lt;&gt;"",VLOOKUP($A11,INDIRECT(J$1&amp;"!$B$14:$P$89"),15,0)+J10,"")</f>
        <v>20</v>
      </c>
      <c r="K11" s="341">
        <f ca="1">IF(VLOOKUP($A11,INDIRECT(K$1&amp;"!$B$14:$P$89"),15,0)&lt;&gt;"",VLOOKUP($A11,INDIRECT(K$1&amp;"!$B$14:$P$89"),15,0)+K10,"")</f>
        <v>25</v>
      </c>
      <c r="L11" s="341">
        <f ca="1">IF(VLOOKUP($A11,INDIRECT(L$1&amp;"!$B$14:$P$89"),15,0)&lt;&gt;"",VLOOKUP($A11,INDIRECT(L$1&amp;"!$B$14:$P$89"),15,0)+L10,"")</f>
        <v>50</v>
      </c>
      <c r="M11" s="341">
        <f ca="1">IF(VLOOKUP($A11,INDIRECT(M$1&amp;"!$B$14:$P$89"),15,0)&lt;&gt;"",VLOOKUP($A11,INDIRECT(M$1&amp;"!$B$14:$P$89"),15,0)+M10,"")</f>
        <v>20</v>
      </c>
      <c r="N11" s="341">
        <f ca="1">IF(VLOOKUP($A11,INDIRECT(N$1&amp;"!$B$14:$P$89"),15,0)&lt;&gt;"",VLOOKUP($A11,INDIRECT(N$1&amp;"!$B$14:$P$89"),15,0)+N10,"")</f>
        <v>15</v>
      </c>
      <c r="O11" s="341">
        <f ca="1">IF(VLOOKUP($A11,INDIRECT(O$1&amp;"!$B$14:$P$89"),15,0)&lt;&gt;"",VLOOKUP($A11,INDIRECT(O$1&amp;"!$B$14:$P$89"),15,0)+O10,"")</f>
        <v>15</v>
      </c>
      <c r="P11" s="341">
        <f ca="1">IF(VLOOKUP($A11,INDIRECT(P$1&amp;"!$B$14:$P$89"),15,0)&lt;&gt;"",VLOOKUP($A11,INDIRECT(P$1&amp;"!$B$14:$P$89"),15,0)+P10,"")</f>
        <v>50</v>
      </c>
      <c r="Q11" s="341">
        <f ca="1">IF(VLOOKUP($A11,INDIRECT(Q$1&amp;"!$B$14:$P$89"),15,0)&lt;&gt;"",VLOOKUP($A11,INDIRECT(Q$1&amp;"!$B$14:$P$89"),15,0)+Q10,"")</f>
        <v>20</v>
      </c>
      <c r="R11" s="341">
        <f ca="1">IF(VLOOKUP($A11,INDIRECT(R$1&amp;"!$B$14:$P$89"),15,0)&lt;&gt;"",VLOOKUP($A11,INDIRECT(R$1&amp;"!$B$14:$P$89"),15,0)+R10,"")</f>
        <v>20</v>
      </c>
      <c r="S11" s="341">
        <f ca="1">IF(VLOOKUP($A11,INDIRECT(S$1&amp;"!$B$14:$P$89"),15,0)&lt;&gt;"",VLOOKUP($A11,INDIRECT(S$1&amp;"!$B$14:$P$89"),15,0)+S10,"")</f>
        <v>30</v>
      </c>
      <c r="T11" s="341">
        <f ca="1">IF(VLOOKUP($A11,INDIRECT(T$1&amp;"!$B$14:$P$89"),15,0)&lt;&gt;"",VLOOKUP($A11,INDIRECT(T$1&amp;"!$B$14:$P$89"),15,0)+T10,"")</f>
        <v>35</v>
      </c>
      <c r="U11" s="341">
        <f ca="1">IF(VLOOKUP($A11,INDIRECT(U$1&amp;"!$B$14:$P$89"),15,0)&lt;&gt;"",VLOOKUP($A11,INDIRECT(U$1&amp;"!$B$14:$P$89"),15,0)+U10,"")</f>
        <v>40</v>
      </c>
      <c r="V11" s="341">
        <f ca="1">IF(VLOOKUP($A11,INDIRECT(V$1&amp;"!$B$14:$P$89"),15,0)&lt;&gt;"",VLOOKUP($A11,INDIRECT(V$1&amp;"!$B$14:$P$89"),15,0)+V10,"")</f>
        <v>20</v>
      </c>
      <c r="W11" s="341">
        <f ca="1">IF(VLOOKUP($A11,INDIRECT(W$1&amp;"!$B$14:$P$89"),15,0)&lt;&gt;"",VLOOKUP($A11,INDIRECT(W$1&amp;"!$B$14:$P$89"),15,0)+W10,"")</f>
        <v>25</v>
      </c>
      <c r="X11" s="341">
        <f ca="1">IF(VLOOKUP($A11,INDIRECT(X$1&amp;"!$B$14:$P$89"),15,0)&lt;&gt;"",VLOOKUP($A11,INDIRECT(X$1&amp;"!$B$14:$P$89"),15,0)+X10,"")</f>
        <v>25</v>
      </c>
      <c r="Y11" s="178">
        <f t="shared" ca="1" si="1"/>
        <v>28.863636363636363</v>
      </c>
      <c r="Z11" s="194">
        <f t="shared" ca="1" si="3"/>
        <v>0.68181818181817988</v>
      </c>
      <c r="AA11" s="195">
        <f ca="1">IF(C11&lt;&gt;"",C11-$Y11,"")</f>
        <v>-8.8636363636363633</v>
      </c>
      <c r="AB11" s="195">
        <f ca="1">IF(D11&lt;&gt;"",D11-$Y11,"")</f>
        <v>1.1363636363636367</v>
      </c>
      <c r="AC11" s="195">
        <f ca="1">IF(E11&lt;&gt;"",E11-$Y11,"")</f>
        <v>6.1363636363636367</v>
      </c>
      <c r="AD11" s="195">
        <f ca="1">IF(F11&lt;&gt;"",F11-$Y11,"")</f>
        <v>16.136363636363637</v>
      </c>
      <c r="AE11" s="195">
        <f ca="1">IF(G11&lt;&gt;"",G11-$Y11,"")</f>
        <v>6.1363636363636367</v>
      </c>
      <c r="AF11" s="195">
        <f ca="1">IF(H11&lt;&gt;"",H11-$Y11,"")</f>
        <v>11.136363636363637</v>
      </c>
      <c r="AG11" s="195">
        <f ca="1">IF(I11&lt;&gt;"",I11-$Y11,"")</f>
        <v>-8.8636363636363633</v>
      </c>
      <c r="AH11" s="195">
        <f ca="1">IF(J11&lt;&gt;"",J11-$Y11,"")</f>
        <v>-8.8636363636363633</v>
      </c>
      <c r="AI11" s="195">
        <f ca="1">IF(K11&lt;&gt;"",K11-$Y11,"")</f>
        <v>-3.8636363636363633</v>
      </c>
      <c r="AJ11" s="195">
        <f ca="1">IF(L11&lt;&gt;"",L11-$Y11,"")</f>
        <v>21.136363636363637</v>
      </c>
      <c r="AK11" s="195">
        <f ca="1">IF(M11&lt;&gt;"",M11-$Y11,"")</f>
        <v>-8.8636363636363633</v>
      </c>
      <c r="AL11" s="195">
        <f ca="1">IF(N11&lt;&gt;"",N11-$Y11,"")</f>
        <v>-13.863636363636363</v>
      </c>
      <c r="AM11" s="195">
        <f ca="1">IF(O11&lt;&gt;"",O11-$Y11,"")</f>
        <v>-13.863636363636363</v>
      </c>
      <c r="AN11" s="195">
        <f ca="1">IF(P11&lt;&gt;"",P11-$Y11,"")</f>
        <v>21.136363636363637</v>
      </c>
      <c r="AO11" s="195">
        <f ca="1">IF(S11&lt;&gt;"",S11-$Y11,"")</f>
        <v>1.1363636363636367</v>
      </c>
      <c r="AP11" s="195">
        <f ca="1">IF(T11&lt;&gt;"",T11-$Y11,"")</f>
        <v>6.1363636363636367</v>
      </c>
      <c r="AQ11" s="195">
        <f ca="1">IF(U11&lt;&gt;"",U11-$Y11,"")</f>
        <v>11.136363636363637</v>
      </c>
      <c r="AR11" s="195">
        <f ca="1">IF(V11&lt;&gt;"",V11-$Y11,"")</f>
        <v>-8.8636363636363633</v>
      </c>
      <c r="AS11" s="195">
        <f ca="1">IF(W11&lt;&gt;"",W11-$Y11,"")</f>
        <v>-3.8636363636363633</v>
      </c>
      <c r="AT11" s="195">
        <f ca="1">IF(Q11&lt;&gt;"",Q11-$Y11,"")</f>
        <v>-8.8636363636363633</v>
      </c>
      <c r="AU11" s="195">
        <f ca="1">IF(R11&lt;&gt;"",R11-$Y11,"")</f>
        <v>-8.8636363636363633</v>
      </c>
      <c r="AV11" s="195">
        <f t="shared" ca="1" si="2"/>
        <v>-3.8636363636363633</v>
      </c>
    </row>
    <row r="12" spans="1:48" hidden="1">
      <c r="A12" s="189">
        <v>11</v>
      </c>
      <c r="B12" s="165" t="str">
        <f>VLOOKUP($A12,Willem!$B$14:$P$89,4,0)&amp;"-"&amp;VLOOKUP($A12,Willem!$B$14:$P$89,6,0)</f>
        <v>Italië  -  Paraguay</v>
      </c>
      <c r="C12" s="340">
        <f ca="1">IF(VLOOKUP($A12,INDIRECT(C$1&amp;"!$B$14:$P$89"),15,0)&lt;&gt;"",VLOOKUP($A12,INDIRECT(C$1&amp;"!$B$14:$P$89"),15,0)+C11,"")</f>
        <v>20</v>
      </c>
      <c r="D12" s="340">
        <f ca="1">IF(VLOOKUP($A12,INDIRECT(D$1&amp;"!$B$14:$P$89"),15,0)&lt;&gt;"",VLOOKUP($A12,INDIRECT(D$1&amp;"!$B$14:$P$89"),15,0)+D11,"")</f>
        <v>30</v>
      </c>
      <c r="E12" s="340">
        <f ca="1">IF(VLOOKUP($A12,INDIRECT(E$1&amp;"!$B$14:$P$89"),15,0)&lt;&gt;"",VLOOKUP($A12,INDIRECT(E$1&amp;"!$B$14:$P$89"),15,0)+E11,"")</f>
        <v>35</v>
      </c>
      <c r="F12" s="340">
        <f ca="1">IF(VLOOKUP($A12,INDIRECT(F$1&amp;"!$B$14:$P$89"),15,0)&lt;&gt;"",VLOOKUP($A12,INDIRECT(F$1&amp;"!$B$14:$P$89"),15,0)+F11,"")</f>
        <v>45</v>
      </c>
      <c r="G12" s="340">
        <f ca="1">IF(VLOOKUP($A12,INDIRECT(G$1&amp;"!$B$14:$P$89"),15,0)&lt;&gt;"",VLOOKUP($A12,INDIRECT(G$1&amp;"!$B$14:$P$89"),15,0)+G11,"")</f>
        <v>35</v>
      </c>
      <c r="H12" s="340">
        <f ca="1">IF(VLOOKUP($A12,INDIRECT(H$1&amp;"!$B$14:$P$89"),15,0)&lt;&gt;"",VLOOKUP($A12,INDIRECT(H$1&amp;"!$B$14:$P$89"),15,0)+H11,"")</f>
        <v>40</v>
      </c>
      <c r="I12" s="340">
        <f ca="1">IF(VLOOKUP($A12,INDIRECT(I$1&amp;"!$B$14:$P$89"),15,0)&lt;&gt;"",VLOOKUP($A12,INDIRECT(I$1&amp;"!$B$14:$P$89"),15,0)+I11,"")</f>
        <v>20</v>
      </c>
      <c r="J12" s="340">
        <f ca="1">IF(VLOOKUP($A12,INDIRECT(J$1&amp;"!$B$14:$P$89"),15,0)&lt;&gt;"",VLOOKUP($A12,INDIRECT(J$1&amp;"!$B$14:$P$89"),15,0)+J11,"")</f>
        <v>20</v>
      </c>
      <c r="K12" s="340">
        <f ca="1">IF(VLOOKUP($A12,INDIRECT(K$1&amp;"!$B$14:$P$89"),15,0)&lt;&gt;"",VLOOKUP($A12,INDIRECT(K$1&amp;"!$B$14:$P$89"),15,0)+K11,"")</f>
        <v>25</v>
      </c>
      <c r="L12" s="340">
        <f ca="1">IF(VLOOKUP($A12,INDIRECT(L$1&amp;"!$B$14:$P$89"),15,0)&lt;&gt;"",VLOOKUP($A12,INDIRECT(L$1&amp;"!$B$14:$P$89"),15,0)+L11,"")</f>
        <v>50</v>
      </c>
      <c r="M12" s="340">
        <f ca="1">IF(VLOOKUP($A12,INDIRECT(M$1&amp;"!$B$14:$P$89"),15,0)&lt;&gt;"",VLOOKUP($A12,INDIRECT(M$1&amp;"!$B$14:$P$89"),15,0)+M11,"")</f>
        <v>20</v>
      </c>
      <c r="N12" s="340">
        <f ca="1">IF(VLOOKUP($A12,INDIRECT(N$1&amp;"!$B$14:$P$89"),15,0)&lt;&gt;"",VLOOKUP($A12,INDIRECT(N$1&amp;"!$B$14:$P$89"),15,0)+N11,"")</f>
        <v>15</v>
      </c>
      <c r="O12" s="340">
        <f ca="1">IF(VLOOKUP($A12,INDIRECT(O$1&amp;"!$B$14:$P$89"),15,0)&lt;&gt;"",VLOOKUP($A12,INDIRECT(O$1&amp;"!$B$14:$P$89"),15,0)+O11,"")</f>
        <v>20</v>
      </c>
      <c r="P12" s="340">
        <f ca="1">IF(VLOOKUP($A12,INDIRECT(P$1&amp;"!$B$14:$P$89"),15,0)&lt;&gt;"",VLOOKUP($A12,INDIRECT(P$1&amp;"!$B$14:$P$89"),15,0)+P11,"")</f>
        <v>60</v>
      </c>
      <c r="Q12" s="340">
        <f ca="1">IF(VLOOKUP($A12,INDIRECT(Q$1&amp;"!$B$14:$P$89"),15,0)&lt;&gt;"",VLOOKUP($A12,INDIRECT(Q$1&amp;"!$B$14:$P$89"),15,0)+Q11,"")</f>
        <v>20</v>
      </c>
      <c r="R12" s="340">
        <f ca="1">IF(VLOOKUP($A12,INDIRECT(R$1&amp;"!$B$14:$P$89"),15,0)&lt;&gt;"",VLOOKUP($A12,INDIRECT(R$1&amp;"!$B$14:$P$89"),15,0)+R11,"")</f>
        <v>20</v>
      </c>
      <c r="S12" s="340">
        <f ca="1">IF(VLOOKUP($A12,INDIRECT(S$1&amp;"!$B$14:$P$89"),15,0)&lt;&gt;"",VLOOKUP($A12,INDIRECT(S$1&amp;"!$B$14:$P$89"),15,0)+S11,"")</f>
        <v>30</v>
      </c>
      <c r="T12" s="340">
        <f ca="1">IF(VLOOKUP($A12,INDIRECT(T$1&amp;"!$B$14:$P$89"),15,0)&lt;&gt;"",VLOOKUP($A12,INDIRECT(T$1&amp;"!$B$14:$P$89"),15,0)+T11,"")</f>
        <v>45</v>
      </c>
      <c r="U12" s="340">
        <f ca="1">IF(VLOOKUP($A12,INDIRECT(U$1&amp;"!$B$14:$P$89"),15,0)&lt;&gt;"",VLOOKUP($A12,INDIRECT(U$1&amp;"!$B$14:$P$89"),15,0)+U11,"")</f>
        <v>40</v>
      </c>
      <c r="V12" s="340">
        <f ca="1">IF(VLOOKUP($A12,INDIRECT(V$1&amp;"!$B$14:$P$89"),15,0)&lt;&gt;"",VLOOKUP($A12,INDIRECT(V$1&amp;"!$B$14:$P$89"),15,0)+V11,"")</f>
        <v>20</v>
      </c>
      <c r="W12" s="340">
        <f ca="1">IF(VLOOKUP($A12,INDIRECT(W$1&amp;"!$B$14:$P$89"),15,0)&lt;&gt;"",VLOOKUP($A12,INDIRECT(W$1&amp;"!$B$14:$P$89"),15,0)+W11,"")</f>
        <v>25</v>
      </c>
      <c r="X12" s="340">
        <f ca="1">IF(VLOOKUP($A12,INDIRECT(X$1&amp;"!$B$14:$P$89"),15,0)&lt;&gt;"",VLOOKUP($A12,INDIRECT(X$1&amp;"!$B$14:$P$89"),15,0)+X11,"")</f>
        <v>25</v>
      </c>
      <c r="Y12" s="178">
        <f t="shared" ca="1" si="1"/>
        <v>30</v>
      </c>
      <c r="Z12" s="194">
        <f t="shared" ca="1" si="3"/>
        <v>1.1363636363636367</v>
      </c>
      <c r="AA12" s="195">
        <f ca="1">IF(C12&lt;&gt;"",C12-$Y12,"")</f>
        <v>-10</v>
      </c>
      <c r="AB12" s="195">
        <f ca="1">IF(D12&lt;&gt;"",D12-$Y12,"")</f>
        <v>0</v>
      </c>
      <c r="AC12" s="195">
        <f ca="1">IF(E12&lt;&gt;"",E12-$Y12,"")</f>
        <v>5</v>
      </c>
      <c r="AD12" s="195">
        <f ca="1">IF(F12&lt;&gt;"",F12-$Y12,"")</f>
        <v>15</v>
      </c>
      <c r="AE12" s="195">
        <f ca="1">IF(G12&lt;&gt;"",G12-$Y12,"")</f>
        <v>5</v>
      </c>
      <c r="AF12" s="195">
        <f ca="1">IF(H12&lt;&gt;"",H12-$Y12,"")</f>
        <v>10</v>
      </c>
      <c r="AG12" s="195">
        <f ca="1">IF(I12&lt;&gt;"",I12-$Y12,"")</f>
        <v>-10</v>
      </c>
      <c r="AH12" s="195">
        <f ca="1">IF(J12&lt;&gt;"",J12-$Y12,"")</f>
        <v>-10</v>
      </c>
      <c r="AI12" s="195">
        <f ca="1">IF(K12&lt;&gt;"",K12-$Y12,"")</f>
        <v>-5</v>
      </c>
      <c r="AJ12" s="195">
        <f ca="1">IF(L12&lt;&gt;"",L12-$Y12,"")</f>
        <v>20</v>
      </c>
      <c r="AK12" s="195">
        <f ca="1">IF(M12&lt;&gt;"",M12-$Y12,"")</f>
        <v>-10</v>
      </c>
      <c r="AL12" s="195">
        <f ca="1">IF(N12&lt;&gt;"",N12-$Y12,"")</f>
        <v>-15</v>
      </c>
      <c r="AM12" s="195">
        <f ca="1">IF(O12&lt;&gt;"",O12-$Y12,"")</f>
        <v>-10</v>
      </c>
      <c r="AN12" s="195">
        <f ca="1">IF(P12&lt;&gt;"",P12-$Y12,"")</f>
        <v>30</v>
      </c>
      <c r="AO12" s="195">
        <f ca="1">IF(S12&lt;&gt;"",S12-$Y12,"")</f>
        <v>0</v>
      </c>
      <c r="AP12" s="195">
        <f ca="1">IF(T12&lt;&gt;"",T12-$Y12,"")</f>
        <v>15</v>
      </c>
      <c r="AQ12" s="195">
        <f ca="1">IF(U12&lt;&gt;"",U12-$Y12,"")</f>
        <v>10</v>
      </c>
      <c r="AR12" s="195">
        <f ca="1">IF(V12&lt;&gt;"",V12-$Y12,"")</f>
        <v>-10</v>
      </c>
      <c r="AS12" s="195">
        <f ca="1">IF(W12&lt;&gt;"",W12-$Y12,"")</f>
        <v>-5</v>
      </c>
      <c r="AT12" s="195">
        <f ca="1">IF(Q12&lt;&gt;"",Q12-$Y12,"")</f>
        <v>-10</v>
      </c>
      <c r="AU12" s="195">
        <f ca="1">IF(R12&lt;&gt;"",R12-$Y12,"")</f>
        <v>-10</v>
      </c>
      <c r="AV12" s="195">
        <f t="shared" ca="1" si="2"/>
        <v>-5</v>
      </c>
    </row>
    <row r="13" spans="1:48">
      <c r="A13" s="189">
        <v>12</v>
      </c>
      <c r="B13" s="166" t="str">
        <f>VLOOKUP($A13,Willem!$B$14:$P$89,4,0)&amp;"-"&amp;VLOOKUP($A13,Willem!$B$14:$P$89,6,0)</f>
        <v>Nieuw-Zeeland  -  Slowakije</v>
      </c>
      <c r="C13" s="341">
        <f ca="1">IF(VLOOKUP($A13,INDIRECT(C$1&amp;"!$B$14:$P$89"),15,0)&lt;&gt;"",VLOOKUP($A13,INDIRECT(C$1&amp;"!$B$14:$P$89"),15,0)+C12,"")</f>
        <v>20</v>
      </c>
      <c r="D13" s="341">
        <f ca="1">IF(VLOOKUP($A13,INDIRECT(D$1&amp;"!$B$14:$P$89"),15,0)&lt;&gt;"",VLOOKUP($A13,INDIRECT(D$1&amp;"!$B$14:$P$89"),15,0)+D12,"")</f>
        <v>35</v>
      </c>
      <c r="E13" s="341">
        <f ca="1">IF(VLOOKUP($A13,INDIRECT(E$1&amp;"!$B$14:$P$89"),15,0)&lt;&gt;"",VLOOKUP($A13,INDIRECT(E$1&amp;"!$B$14:$P$89"),15,0)+E12,"")</f>
        <v>35</v>
      </c>
      <c r="F13" s="341">
        <f ca="1">IF(VLOOKUP($A13,INDIRECT(F$1&amp;"!$B$14:$P$89"),15,0)&lt;&gt;"",VLOOKUP($A13,INDIRECT(F$1&amp;"!$B$14:$P$89"),15,0)+F12,"")</f>
        <v>45</v>
      </c>
      <c r="G13" s="341">
        <f ca="1">IF(VLOOKUP($A13,INDIRECT(G$1&amp;"!$B$14:$P$89"),15,0)&lt;&gt;"",VLOOKUP($A13,INDIRECT(G$1&amp;"!$B$14:$P$89"),15,0)+G12,"")</f>
        <v>35</v>
      </c>
      <c r="H13" s="341">
        <f ca="1">IF(VLOOKUP($A13,INDIRECT(H$1&amp;"!$B$14:$P$89"),15,0)&lt;&gt;"",VLOOKUP($A13,INDIRECT(H$1&amp;"!$B$14:$P$89"),15,0)+H12,"")</f>
        <v>50</v>
      </c>
      <c r="I13" s="341">
        <f ca="1">IF(VLOOKUP($A13,INDIRECT(I$1&amp;"!$B$14:$P$89"),15,0)&lt;&gt;"",VLOOKUP($A13,INDIRECT(I$1&amp;"!$B$14:$P$89"),15,0)+I12,"")</f>
        <v>25</v>
      </c>
      <c r="J13" s="341">
        <f ca="1">IF(VLOOKUP($A13,INDIRECT(J$1&amp;"!$B$14:$P$89"),15,0)&lt;&gt;"",VLOOKUP($A13,INDIRECT(J$1&amp;"!$B$14:$P$89"),15,0)+J12,"")</f>
        <v>30</v>
      </c>
      <c r="K13" s="341">
        <f ca="1">IF(VLOOKUP($A13,INDIRECT(K$1&amp;"!$B$14:$P$89"),15,0)&lt;&gt;"",VLOOKUP($A13,INDIRECT(K$1&amp;"!$B$14:$P$89"),15,0)+K12,"")</f>
        <v>25</v>
      </c>
      <c r="L13" s="341">
        <f ca="1">IF(VLOOKUP($A13,INDIRECT(L$1&amp;"!$B$14:$P$89"),15,0)&lt;&gt;"",VLOOKUP($A13,INDIRECT(L$1&amp;"!$B$14:$P$89"),15,0)+L12,"")</f>
        <v>50</v>
      </c>
      <c r="M13" s="341">
        <f ca="1">IF(VLOOKUP($A13,INDIRECT(M$1&amp;"!$B$14:$P$89"),15,0)&lt;&gt;"",VLOOKUP($A13,INDIRECT(M$1&amp;"!$B$14:$P$89"),15,0)+M12,"")</f>
        <v>30</v>
      </c>
      <c r="N13" s="341">
        <f ca="1">IF(VLOOKUP($A13,INDIRECT(N$1&amp;"!$B$14:$P$89"),15,0)&lt;&gt;"",VLOOKUP($A13,INDIRECT(N$1&amp;"!$B$14:$P$89"),15,0)+N12,"")</f>
        <v>15</v>
      </c>
      <c r="O13" s="341">
        <f ca="1">IF(VLOOKUP($A13,INDIRECT(O$1&amp;"!$B$14:$P$89"),15,0)&lt;&gt;"",VLOOKUP($A13,INDIRECT(O$1&amp;"!$B$14:$P$89"),15,0)+O12,"")</f>
        <v>20</v>
      </c>
      <c r="P13" s="341">
        <f ca="1">IF(VLOOKUP($A13,INDIRECT(P$1&amp;"!$B$14:$P$89"),15,0)&lt;&gt;"",VLOOKUP($A13,INDIRECT(P$1&amp;"!$B$14:$P$89"),15,0)+P12,"")</f>
        <v>60</v>
      </c>
      <c r="Q13" s="341">
        <f ca="1">IF(VLOOKUP($A13,INDIRECT(Q$1&amp;"!$B$14:$P$89"),15,0)&lt;&gt;"",VLOOKUP($A13,INDIRECT(Q$1&amp;"!$B$14:$P$89"),15,0)+Q12,"")</f>
        <v>30</v>
      </c>
      <c r="R13" s="341">
        <f ca="1">IF(VLOOKUP($A13,INDIRECT(R$1&amp;"!$B$14:$P$89"),15,0)&lt;&gt;"",VLOOKUP($A13,INDIRECT(R$1&amp;"!$B$14:$P$89"),15,0)+R12,"")</f>
        <v>20</v>
      </c>
      <c r="S13" s="341">
        <f ca="1">IF(VLOOKUP($A13,INDIRECT(S$1&amp;"!$B$14:$P$89"),15,0)&lt;&gt;"",VLOOKUP($A13,INDIRECT(S$1&amp;"!$B$14:$P$89"),15,0)+S12,"")</f>
        <v>30</v>
      </c>
      <c r="T13" s="341">
        <f ca="1">IF(VLOOKUP($A13,INDIRECT(T$1&amp;"!$B$14:$P$89"),15,0)&lt;&gt;"",VLOOKUP($A13,INDIRECT(T$1&amp;"!$B$14:$P$89"),15,0)+T12,"")</f>
        <v>55</v>
      </c>
      <c r="U13" s="341">
        <f ca="1">IF(VLOOKUP($A13,INDIRECT(U$1&amp;"!$B$14:$P$89"),15,0)&lt;&gt;"",VLOOKUP($A13,INDIRECT(U$1&amp;"!$B$14:$P$89"),15,0)+U12,"")</f>
        <v>40</v>
      </c>
      <c r="V13" s="341">
        <f ca="1">IF(VLOOKUP($A13,INDIRECT(V$1&amp;"!$B$14:$P$89"),15,0)&lt;&gt;"",VLOOKUP($A13,INDIRECT(V$1&amp;"!$B$14:$P$89"),15,0)+V12,"")</f>
        <v>30</v>
      </c>
      <c r="W13" s="341">
        <f ca="1">IF(VLOOKUP($A13,INDIRECT(W$1&amp;"!$B$14:$P$89"),15,0)&lt;&gt;"",VLOOKUP($A13,INDIRECT(W$1&amp;"!$B$14:$P$89"),15,0)+W12,"")</f>
        <v>25</v>
      </c>
      <c r="X13" s="341">
        <f ca="1">IF(VLOOKUP($A13,INDIRECT(X$1&amp;"!$B$14:$P$89"),15,0)&lt;&gt;"",VLOOKUP($A13,INDIRECT(X$1&amp;"!$B$14:$P$89"),15,0)+X12,"")</f>
        <v>25</v>
      </c>
      <c r="Y13" s="178">
        <f t="shared" ca="1" si="1"/>
        <v>33.18181818181818</v>
      </c>
      <c r="Z13" s="194">
        <f t="shared" ca="1" si="3"/>
        <v>3.1818181818181799</v>
      </c>
      <c r="AA13" s="195">
        <f ca="1">IF(C13&lt;&gt;"",C13-$Y13,"")</f>
        <v>-13.18181818181818</v>
      </c>
      <c r="AB13" s="195">
        <f ca="1">IF(D13&lt;&gt;"",D13-$Y13,"")</f>
        <v>1.8181818181818201</v>
      </c>
      <c r="AC13" s="195">
        <f ca="1">IF(E13&lt;&gt;"",E13-$Y13,"")</f>
        <v>1.8181818181818201</v>
      </c>
      <c r="AD13" s="195">
        <f ca="1">IF(F13&lt;&gt;"",F13-$Y13,"")</f>
        <v>11.81818181818182</v>
      </c>
      <c r="AE13" s="195">
        <f ca="1">IF(G13&lt;&gt;"",G13-$Y13,"")</f>
        <v>1.8181818181818201</v>
      </c>
      <c r="AF13" s="195">
        <f ca="1">IF(H13&lt;&gt;"",H13-$Y13,"")</f>
        <v>16.81818181818182</v>
      </c>
      <c r="AG13" s="195">
        <f ca="1">IF(I13&lt;&gt;"",I13-$Y13,"")</f>
        <v>-8.1818181818181799</v>
      </c>
      <c r="AH13" s="195">
        <f ca="1">IF(J13&lt;&gt;"",J13-$Y13,"")</f>
        <v>-3.1818181818181799</v>
      </c>
      <c r="AI13" s="195">
        <f ca="1">IF(K13&lt;&gt;"",K13-$Y13,"")</f>
        <v>-8.1818181818181799</v>
      </c>
      <c r="AJ13" s="195">
        <f ca="1">IF(L13&lt;&gt;"",L13-$Y13,"")</f>
        <v>16.81818181818182</v>
      </c>
      <c r="AK13" s="195">
        <f ca="1">IF(M13&lt;&gt;"",M13-$Y13,"")</f>
        <v>-3.1818181818181799</v>
      </c>
      <c r="AL13" s="195">
        <f ca="1">IF(N13&lt;&gt;"",N13-$Y13,"")</f>
        <v>-18.18181818181818</v>
      </c>
      <c r="AM13" s="195">
        <f ca="1">IF(O13&lt;&gt;"",O13-$Y13,"")</f>
        <v>-13.18181818181818</v>
      </c>
      <c r="AN13" s="195">
        <f ca="1">IF(P13&lt;&gt;"",P13-$Y13,"")</f>
        <v>26.81818181818182</v>
      </c>
      <c r="AO13" s="195">
        <f ca="1">IF(S13&lt;&gt;"",S13-$Y13,"")</f>
        <v>-3.1818181818181799</v>
      </c>
      <c r="AP13" s="195">
        <f ca="1">IF(T13&lt;&gt;"",T13-$Y13,"")</f>
        <v>21.81818181818182</v>
      </c>
      <c r="AQ13" s="195">
        <f ca="1">IF(U13&lt;&gt;"",U13-$Y13,"")</f>
        <v>6.8181818181818201</v>
      </c>
      <c r="AR13" s="195">
        <f ca="1">IF(V13&lt;&gt;"",V13-$Y13,"")</f>
        <v>-3.1818181818181799</v>
      </c>
      <c r="AS13" s="195">
        <f ca="1">IF(W13&lt;&gt;"",W13-$Y13,"")</f>
        <v>-8.1818181818181799</v>
      </c>
      <c r="AT13" s="195">
        <f ca="1">IF(Q13&lt;&gt;"",Q13-$Y13,"")</f>
        <v>-3.1818181818181799</v>
      </c>
      <c r="AU13" s="195">
        <f ca="1">IF(R13&lt;&gt;"",R13-$Y13,"")</f>
        <v>-13.18181818181818</v>
      </c>
      <c r="AV13" s="195">
        <f t="shared" ca="1" si="2"/>
        <v>-8.1818181818181799</v>
      </c>
    </row>
    <row r="14" spans="1:48" hidden="1">
      <c r="A14" s="189">
        <v>13</v>
      </c>
      <c r="B14" s="165" t="str">
        <f>VLOOKUP($A14,Willem!$B$14:$P$89,4,0)&amp;"-"&amp;VLOOKUP($A14,Willem!$B$14:$P$89,6,0)</f>
        <v>Ivoorkust  -  Portugal</v>
      </c>
      <c r="C14" s="340">
        <f ca="1">IF(VLOOKUP($A14,INDIRECT(C$1&amp;"!$B$14:$P$89"),15,0)&lt;&gt;"",VLOOKUP($A14,INDIRECT(C$1&amp;"!$B$14:$P$89"),15,0)+C13,"")</f>
        <v>25</v>
      </c>
      <c r="D14" s="340">
        <f ca="1">IF(VLOOKUP($A14,INDIRECT(D$1&amp;"!$B$14:$P$89"),15,0)&lt;&gt;"",VLOOKUP($A14,INDIRECT(D$1&amp;"!$B$14:$P$89"),15,0)+D13,"")</f>
        <v>40</v>
      </c>
      <c r="E14" s="340">
        <f ca="1">IF(VLOOKUP($A14,INDIRECT(E$1&amp;"!$B$14:$P$89"),15,0)&lt;&gt;"",VLOOKUP($A14,INDIRECT(E$1&amp;"!$B$14:$P$89"),15,0)+E13,"")</f>
        <v>35</v>
      </c>
      <c r="F14" s="340">
        <f ca="1">IF(VLOOKUP($A14,INDIRECT(F$1&amp;"!$B$14:$P$89"),15,0)&lt;&gt;"",VLOOKUP($A14,INDIRECT(F$1&amp;"!$B$14:$P$89"),15,0)+F13,"")</f>
        <v>45</v>
      </c>
      <c r="G14" s="340">
        <f ca="1">IF(VLOOKUP($A14,INDIRECT(G$1&amp;"!$B$14:$P$89"),15,0)&lt;&gt;"",VLOOKUP($A14,INDIRECT(G$1&amp;"!$B$14:$P$89"),15,0)+G13,"")</f>
        <v>35</v>
      </c>
      <c r="H14" s="340">
        <f ca="1">IF(VLOOKUP($A14,INDIRECT(H$1&amp;"!$B$14:$P$89"),15,0)&lt;&gt;"",VLOOKUP($A14,INDIRECT(H$1&amp;"!$B$14:$P$89"),15,0)+H13,"")</f>
        <v>55</v>
      </c>
      <c r="I14" s="340">
        <f ca="1">IF(VLOOKUP($A14,INDIRECT(I$1&amp;"!$B$14:$P$89"),15,0)&lt;&gt;"",VLOOKUP($A14,INDIRECT(I$1&amp;"!$B$14:$P$89"),15,0)+I13,"")</f>
        <v>25</v>
      </c>
      <c r="J14" s="340">
        <f ca="1">IF(VLOOKUP($A14,INDIRECT(J$1&amp;"!$B$14:$P$89"),15,0)&lt;&gt;"",VLOOKUP($A14,INDIRECT(J$1&amp;"!$B$14:$P$89"),15,0)+J13,"")</f>
        <v>30</v>
      </c>
      <c r="K14" s="340">
        <f ca="1">IF(VLOOKUP($A14,INDIRECT(K$1&amp;"!$B$14:$P$89"),15,0)&lt;&gt;"",VLOOKUP($A14,INDIRECT(K$1&amp;"!$B$14:$P$89"),15,0)+K13,"")</f>
        <v>25</v>
      </c>
      <c r="L14" s="340">
        <f ca="1">IF(VLOOKUP($A14,INDIRECT(L$1&amp;"!$B$14:$P$89"),15,0)&lt;&gt;"",VLOOKUP($A14,INDIRECT(L$1&amp;"!$B$14:$P$89"),15,0)+L13,"")</f>
        <v>50</v>
      </c>
      <c r="M14" s="340">
        <f ca="1">IF(VLOOKUP($A14,INDIRECT(M$1&amp;"!$B$14:$P$89"),15,0)&lt;&gt;"",VLOOKUP($A14,INDIRECT(M$1&amp;"!$B$14:$P$89"),15,0)+M13,"")</f>
        <v>30</v>
      </c>
      <c r="N14" s="340">
        <f ca="1">IF(VLOOKUP($A14,INDIRECT(N$1&amp;"!$B$14:$P$89"),15,0)&lt;&gt;"",VLOOKUP($A14,INDIRECT(N$1&amp;"!$B$14:$P$89"),15,0)+N13,"")</f>
        <v>15</v>
      </c>
      <c r="O14" s="340">
        <f ca="1">IF(VLOOKUP($A14,INDIRECT(O$1&amp;"!$B$14:$P$89"),15,0)&lt;&gt;"",VLOOKUP($A14,INDIRECT(O$1&amp;"!$B$14:$P$89"),15,0)+O13,"")</f>
        <v>20</v>
      </c>
      <c r="P14" s="340">
        <f ca="1">IF(VLOOKUP($A14,INDIRECT(P$1&amp;"!$B$14:$P$89"),15,0)&lt;&gt;"",VLOOKUP($A14,INDIRECT(P$1&amp;"!$B$14:$P$89"),15,0)+P13,"")</f>
        <v>65</v>
      </c>
      <c r="Q14" s="340">
        <f ca="1">IF(VLOOKUP($A14,INDIRECT(Q$1&amp;"!$B$14:$P$89"),15,0)&lt;&gt;"",VLOOKUP($A14,INDIRECT(Q$1&amp;"!$B$14:$P$89"),15,0)+Q13,"")</f>
        <v>30</v>
      </c>
      <c r="R14" s="340">
        <f ca="1">IF(VLOOKUP($A14,INDIRECT(R$1&amp;"!$B$14:$P$89"),15,0)&lt;&gt;"",VLOOKUP($A14,INDIRECT(R$1&amp;"!$B$14:$P$89"),15,0)+R13,"")</f>
        <v>20</v>
      </c>
      <c r="S14" s="340">
        <f ca="1">IF(VLOOKUP($A14,INDIRECT(S$1&amp;"!$B$14:$P$89"),15,0)&lt;&gt;"",VLOOKUP($A14,INDIRECT(S$1&amp;"!$B$14:$P$89"),15,0)+S13,"")</f>
        <v>30</v>
      </c>
      <c r="T14" s="340">
        <f ca="1">IF(VLOOKUP($A14,INDIRECT(T$1&amp;"!$B$14:$P$89"),15,0)&lt;&gt;"",VLOOKUP($A14,INDIRECT(T$1&amp;"!$B$14:$P$89"),15,0)+T13,"")</f>
        <v>55</v>
      </c>
      <c r="U14" s="340">
        <f ca="1">IF(VLOOKUP($A14,INDIRECT(U$1&amp;"!$B$14:$P$89"),15,0)&lt;&gt;"",VLOOKUP($A14,INDIRECT(U$1&amp;"!$B$14:$P$89"),15,0)+U13,"")</f>
        <v>40</v>
      </c>
      <c r="V14" s="340">
        <f ca="1">IF(VLOOKUP($A14,INDIRECT(V$1&amp;"!$B$14:$P$89"),15,0)&lt;&gt;"",VLOOKUP($A14,INDIRECT(V$1&amp;"!$B$14:$P$89"),15,0)+V13,"")</f>
        <v>30</v>
      </c>
      <c r="W14" s="340">
        <f ca="1">IF(VLOOKUP($A14,INDIRECT(W$1&amp;"!$B$14:$P$89"),15,0)&lt;&gt;"",VLOOKUP($A14,INDIRECT(W$1&amp;"!$B$14:$P$89"),15,0)+W13,"")</f>
        <v>25</v>
      </c>
      <c r="X14" s="340">
        <f ca="1">IF(VLOOKUP($A14,INDIRECT(X$1&amp;"!$B$14:$P$89"),15,0)&lt;&gt;"",VLOOKUP($A14,INDIRECT(X$1&amp;"!$B$14:$P$89"),15,0)+X13,"")</f>
        <v>25</v>
      </c>
      <c r="Y14" s="178">
        <f t="shared" ca="1" si="1"/>
        <v>34.090909090909093</v>
      </c>
      <c r="Z14" s="194">
        <f t="shared" ca="1" si="3"/>
        <v>0.90909090909091361</v>
      </c>
      <c r="AA14" s="195">
        <f ca="1">IF(C14&lt;&gt;"",C14-$Y14,"")</f>
        <v>-9.0909090909090935</v>
      </c>
      <c r="AB14" s="195">
        <f ca="1">IF(D14&lt;&gt;"",D14-$Y14,"")</f>
        <v>5.9090909090909065</v>
      </c>
      <c r="AC14" s="195">
        <f ca="1">IF(E14&lt;&gt;"",E14-$Y14,"")</f>
        <v>0.90909090909090651</v>
      </c>
      <c r="AD14" s="195">
        <f ca="1">IF(F14&lt;&gt;"",F14-$Y14,"")</f>
        <v>10.909090909090907</v>
      </c>
      <c r="AE14" s="195">
        <f ca="1">IF(G14&lt;&gt;"",G14-$Y14,"")</f>
        <v>0.90909090909090651</v>
      </c>
      <c r="AF14" s="195">
        <f ca="1">IF(H14&lt;&gt;"",H14-$Y14,"")</f>
        <v>20.909090909090907</v>
      </c>
      <c r="AG14" s="195">
        <f ca="1">IF(I14&lt;&gt;"",I14-$Y14,"")</f>
        <v>-9.0909090909090935</v>
      </c>
      <c r="AH14" s="195">
        <f ca="1">IF(J14&lt;&gt;"",J14-$Y14,"")</f>
        <v>-4.0909090909090935</v>
      </c>
      <c r="AI14" s="195">
        <f ca="1">IF(K14&lt;&gt;"",K14-$Y14,"")</f>
        <v>-9.0909090909090935</v>
      </c>
      <c r="AJ14" s="195">
        <f ca="1">IF(L14&lt;&gt;"",L14-$Y14,"")</f>
        <v>15.909090909090907</v>
      </c>
      <c r="AK14" s="195">
        <f ca="1">IF(M14&lt;&gt;"",M14-$Y14,"")</f>
        <v>-4.0909090909090935</v>
      </c>
      <c r="AL14" s="195">
        <f ca="1">IF(N14&lt;&gt;"",N14-$Y14,"")</f>
        <v>-19.090909090909093</v>
      </c>
      <c r="AM14" s="195">
        <f ca="1">IF(O14&lt;&gt;"",O14-$Y14,"")</f>
        <v>-14.090909090909093</v>
      </c>
      <c r="AN14" s="195">
        <f ca="1">IF(P14&lt;&gt;"",P14-$Y14,"")</f>
        <v>30.909090909090907</v>
      </c>
      <c r="AO14" s="195">
        <f ca="1">IF(S14&lt;&gt;"",S14-$Y14,"")</f>
        <v>-4.0909090909090935</v>
      </c>
      <c r="AP14" s="195">
        <f ca="1">IF(T14&lt;&gt;"",T14-$Y14,"")</f>
        <v>20.909090909090907</v>
      </c>
      <c r="AQ14" s="195">
        <f ca="1">IF(U14&lt;&gt;"",U14-$Y14,"")</f>
        <v>5.9090909090909065</v>
      </c>
      <c r="AR14" s="195">
        <f ca="1">IF(V14&lt;&gt;"",V14-$Y14,"")</f>
        <v>-4.0909090909090935</v>
      </c>
      <c r="AS14" s="195">
        <f ca="1">IF(W14&lt;&gt;"",W14-$Y14,"")</f>
        <v>-9.0909090909090935</v>
      </c>
      <c r="AT14" s="195">
        <f ca="1">IF(Q14&lt;&gt;"",Q14-$Y14,"")</f>
        <v>-4.0909090909090935</v>
      </c>
      <c r="AU14" s="195">
        <f ca="1">IF(R14&lt;&gt;"",R14-$Y14,"")</f>
        <v>-14.090909090909093</v>
      </c>
      <c r="AV14" s="195">
        <f t="shared" ca="1" si="2"/>
        <v>-9.0909090909090935</v>
      </c>
    </row>
    <row r="15" spans="1:48" hidden="1">
      <c r="A15" s="189">
        <v>14</v>
      </c>
      <c r="B15" s="166" t="str">
        <f>VLOOKUP($A15,Willem!$B$14:$P$89,4,0)&amp;"-"&amp;VLOOKUP($A15,Willem!$B$14:$P$89,6,0)</f>
        <v>Brazilië  -  Noord-Korea</v>
      </c>
      <c r="C15" s="341">
        <f ca="1">IF(VLOOKUP($A15,INDIRECT(C$1&amp;"!$B$14:$P$89"),15,0)&lt;&gt;"",VLOOKUP($A15,INDIRECT(C$1&amp;"!$B$14:$P$89"),15,0)+C14,"")</f>
        <v>30</v>
      </c>
      <c r="D15" s="341">
        <f ca="1">IF(VLOOKUP($A15,INDIRECT(D$1&amp;"!$B$14:$P$89"),15,0)&lt;&gt;"",VLOOKUP($A15,INDIRECT(D$1&amp;"!$B$14:$P$89"),15,0)+D14,"")</f>
        <v>45</v>
      </c>
      <c r="E15" s="341">
        <f ca="1">IF(VLOOKUP($A15,INDIRECT(E$1&amp;"!$B$14:$P$89"),15,0)&lt;&gt;"",VLOOKUP($A15,INDIRECT(E$1&amp;"!$B$14:$P$89"),15,0)+E14,"")</f>
        <v>40</v>
      </c>
      <c r="F15" s="341">
        <f ca="1">IF(VLOOKUP($A15,INDIRECT(F$1&amp;"!$B$14:$P$89"),15,0)&lt;&gt;"",VLOOKUP($A15,INDIRECT(F$1&amp;"!$B$14:$P$89"),15,0)+F14,"")</f>
        <v>50</v>
      </c>
      <c r="G15" s="341">
        <f ca="1">IF(VLOOKUP($A15,INDIRECT(G$1&amp;"!$B$14:$P$89"),15,0)&lt;&gt;"",VLOOKUP($A15,INDIRECT(G$1&amp;"!$B$14:$P$89"),15,0)+G14,"")</f>
        <v>40</v>
      </c>
      <c r="H15" s="341">
        <f ca="1">IF(VLOOKUP($A15,INDIRECT(H$1&amp;"!$B$14:$P$89"),15,0)&lt;&gt;"",VLOOKUP($A15,INDIRECT(H$1&amp;"!$B$14:$P$89"),15,0)+H14,"")</f>
        <v>60</v>
      </c>
      <c r="I15" s="341">
        <f ca="1">IF(VLOOKUP($A15,INDIRECT(I$1&amp;"!$B$14:$P$89"),15,0)&lt;&gt;"",VLOOKUP($A15,INDIRECT(I$1&amp;"!$B$14:$P$89"),15,0)+I14,"")</f>
        <v>30</v>
      </c>
      <c r="J15" s="341">
        <f ca="1">IF(VLOOKUP($A15,INDIRECT(J$1&amp;"!$B$14:$P$89"),15,0)&lt;&gt;"",VLOOKUP($A15,INDIRECT(J$1&amp;"!$B$14:$P$89"),15,0)+J14,"")</f>
        <v>35</v>
      </c>
      <c r="K15" s="341">
        <f ca="1">IF(VLOOKUP($A15,INDIRECT(K$1&amp;"!$B$14:$P$89"),15,0)&lt;&gt;"",VLOOKUP($A15,INDIRECT(K$1&amp;"!$B$14:$P$89"),15,0)+K14,"")</f>
        <v>30</v>
      </c>
      <c r="L15" s="341">
        <f ca="1">IF(VLOOKUP($A15,INDIRECT(L$1&amp;"!$B$14:$P$89"),15,0)&lt;&gt;"",VLOOKUP($A15,INDIRECT(L$1&amp;"!$B$14:$P$89"),15,0)+L14,"")</f>
        <v>55</v>
      </c>
      <c r="M15" s="341">
        <f ca="1">IF(VLOOKUP($A15,INDIRECT(M$1&amp;"!$B$14:$P$89"),15,0)&lt;&gt;"",VLOOKUP($A15,INDIRECT(M$1&amp;"!$B$14:$P$89"),15,0)+M14,"")</f>
        <v>35</v>
      </c>
      <c r="N15" s="341">
        <f ca="1">IF(VLOOKUP($A15,INDIRECT(N$1&amp;"!$B$14:$P$89"),15,0)&lt;&gt;"",VLOOKUP($A15,INDIRECT(N$1&amp;"!$B$14:$P$89"),15,0)+N14,"")</f>
        <v>20</v>
      </c>
      <c r="O15" s="341">
        <f ca="1">IF(VLOOKUP($A15,INDIRECT(O$1&amp;"!$B$14:$P$89"),15,0)&lt;&gt;"",VLOOKUP($A15,INDIRECT(O$1&amp;"!$B$14:$P$89"),15,0)+O14,"")</f>
        <v>30</v>
      </c>
      <c r="P15" s="341">
        <f ca="1">IF(VLOOKUP($A15,INDIRECT(P$1&amp;"!$B$14:$P$89"),15,0)&lt;&gt;"",VLOOKUP($A15,INDIRECT(P$1&amp;"!$B$14:$P$89"),15,0)+P14,"")</f>
        <v>70</v>
      </c>
      <c r="Q15" s="341">
        <f ca="1">IF(VLOOKUP($A15,INDIRECT(Q$1&amp;"!$B$14:$P$89"),15,0)&lt;&gt;"",VLOOKUP($A15,INDIRECT(Q$1&amp;"!$B$14:$P$89"),15,0)+Q14,"")</f>
        <v>40</v>
      </c>
      <c r="R15" s="341">
        <f ca="1">IF(VLOOKUP($A15,INDIRECT(R$1&amp;"!$B$14:$P$89"),15,0)&lt;&gt;"",VLOOKUP($A15,INDIRECT(R$1&amp;"!$B$14:$P$89"),15,0)+R14,"")</f>
        <v>25</v>
      </c>
      <c r="S15" s="341">
        <f ca="1">IF(VLOOKUP($A15,INDIRECT(S$1&amp;"!$B$14:$P$89"),15,0)&lt;&gt;"",VLOOKUP($A15,INDIRECT(S$1&amp;"!$B$14:$P$89"),15,0)+S14,"")</f>
        <v>35</v>
      </c>
      <c r="T15" s="341">
        <f ca="1">IF(VLOOKUP($A15,INDIRECT(T$1&amp;"!$B$14:$P$89"),15,0)&lt;&gt;"",VLOOKUP($A15,INDIRECT(T$1&amp;"!$B$14:$P$89"),15,0)+T14,"")</f>
        <v>60</v>
      </c>
      <c r="U15" s="341">
        <f ca="1">IF(VLOOKUP($A15,INDIRECT(U$1&amp;"!$B$14:$P$89"),15,0)&lt;&gt;"",VLOOKUP($A15,INDIRECT(U$1&amp;"!$B$14:$P$89"),15,0)+U14,"")</f>
        <v>45</v>
      </c>
      <c r="V15" s="341">
        <f ca="1">IF(VLOOKUP($A15,INDIRECT(V$1&amp;"!$B$14:$P$89"),15,0)&lt;&gt;"",VLOOKUP($A15,INDIRECT(V$1&amp;"!$B$14:$P$89"),15,0)+V14,"")</f>
        <v>35</v>
      </c>
      <c r="W15" s="341">
        <f ca="1">IF(VLOOKUP($A15,INDIRECT(W$1&amp;"!$B$14:$P$89"),15,0)&lt;&gt;"",VLOOKUP($A15,INDIRECT(W$1&amp;"!$B$14:$P$89"),15,0)+W14,"")</f>
        <v>30</v>
      </c>
      <c r="X15" s="341">
        <f ca="1">IF(VLOOKUP($A15,INDIRECT(X$1&amp;"!$B$14:$P$89"),15,0)&lt;&gt;"",VLOOKUP($A15,INDIRECT(X$1&amp;"!$B$14:$P$89"),15,0)+X14,"")</f>
        <v>30</v>
      </c>
      <c r="Y15" s="178">
        <f t="shared" ca="1" si="1"/>
        <v>39.545454545454547</v>
      </c>
      <c r="Z15" s="194">
        <f t="shared" ca="1" si="3"/>
        <v>5.4545454545454533</v>
      </c>
      <c r="AA15" s="195">
        <f ca="1">IF(C15&lt;&gt;"",C15-$Y15,"")</f>
        <v>-9.5454545454545467</v>
      </c>
      <c r="AB15" s="195">
        <f ca="1">IF(D15&lt;&gt;"",D15-$Y15,"")</f>
        <v>5.4545454545454533</v>
      </c>
      <c r="AC15" s="195">
        <f ca="1">IF(E15&lt;&gt;"",E15-$Y15,"")</f>
        <v>0.45454545454545325</v>
      </c>
      <c r="AD15" s="195">
        <f ca="1">IF(F15&lt;&gt;"",F15-$Y15,"")</f>
        <v>10.454545454545453</v>
      </c>
      <c r="AE15" s="195">
        <f ca="1">IF(G15&lt;&gt;"",G15-$Y15,"")</f>
        <v>0.45454545454545325</v>
      </c>
      <c r="AF15" s="195">
        <f ca="1">IF(H15&lt;&gt;"",H15-$Y15,"")</f>
        <v>20.454545454545453</v>
      </c>
      <c r="AG15" s="195">
        <f ca="1">IF(I15&lt;&gt;"",I15-$Y15,"")</f>
        <v>-9.5454545454545467</v>
      </c>
      <c r="AH15" s="195">
        <f ca="1">IF(J15&lt;&gt;"",J15-$Y15,"")</f>
        <v>-4.5454545454545467</v>
      </c>
      <c r="AI15" s="195">
        <f ca="1">IF(K15&lt;&gt;"",K15-$Y15,"")</f>
        <v>-9.5454545454545467</v>
      </c>
      <c r="AJ15" s="195">
        <f ca="1">IF(L15&lt;&gt;"",L15-$Y15,"")</f>
        <v>15.454545454545453</v>
      </c>
      <c r="AK15" s="195">
        <f ca="1">IF(M15&lt;&gt;"",M15-$Y15,"")</f>
        <v>-4.5454545454545467</v>
      </c>
      <c r="AL15" s="195">
        <f ca="1">IF(N15&lt;&gt;"",N15-$Y15,"")</f>
        <v>-19.545454545454547</v>
      </c>
      <c r="AM15" s="195">
        <f ca="1">IF(O15&lt;&gt;"",O15-$Y15,"")</f>
        <v>-9.5454545454545467</v>
      </c>
      <c r="AN15" s="195">
        <f ca="1">IF(P15&lt;&gt;"",P15-$Y15,"")</f>
        <v>30.454545454545453</v>
      </c>
      <c r="AO15" s="195">
        <f ca="1">IF(S15&lt;&gt;"",S15-$Y15,"")</f>
        <v>-4.5454545454545467</v>
      </c>
      <c r="AP15" s="195">
        <f ca="1">IF(T15&lt;&gt;"",T15-$Y15,"")</f>
        <v>20.454545454545453</v>
      </c>
      <c r="AQ15" s="195">
        <f ca="1">IF(U15&lt;&gt;"",U15-$Y15,"")</f>
        <v>5.4545454545454533</v>
      </c>
      <c r="AR15" s="195">
        <f ca="1">IF(V15&lt;&gt;"",V15-$Y15,"")</f>
        <v>-4.5454545454545467</v>
      </c>
      <c r="AS15" s="195">
        <f ca="1">IF(W15&lt;&gt;"",W15-$Y15,"")</f>
        <v>-9.5454545454545467</v>
      </c>
      <c r="AT15" s="195">
        <f ca="1">IF(Q15&lt;&gt;"",Q15-$Y15,"")</f>
        <v>0.45454545454545325</v>
      </c>
      <c r="AU15" s="195">
        <f ca="1">IF(R15&lt;&gt;"",R15-$Y15,"")</f>
        <v>-14.545454545454547</v>
      </c>
      <c r="AV15" s="195">
        <f t="shared" ca="1" si="2"/>
        <v>-9.5454545454545467</v>
      </c>
    </row>
    <row r="16" spans="1:48" hidden="1">
      <c r="A16" s="189">
        <v>15</v>
      </c>
      <c r="B16" s="165" t="str">
        <f>VLOOKUP($A16,Willem!$B$14:$P$89,4,0)&amp;"-"&amp;VLOOKUP($A16,Willem!$B$14:$P$89,6,0)</f>
        <v>Honduras  -  Chili</v>
      </c>
      <c r="C16" s="340">
        <f ca="1">IF(VLOOKUP($A16,INDIRECT(C$1&amp;"!$B$14:$P$89"),15,0)&lt;&gt;"",VLOOKUP($A16,INDIRECT(C$1&amp;"!$B$14:$P$89"),15,0)+C15,"")</f>
        <v>35</v>
      </c>
      <c r="D16" s="340">
        <f ca="1">IF(VLOOKUP($A16,INDIRECT(D$1&amp;"!$B$14:$P$89"),15,0)&lt;&gt;"",VLOOKUP($A16,INDIRECT(D$1&amp;"!$B$14:$P$89"),15,0)+D15,"")</f>
        <v>45</v>
      </c>
      <c r="E16" s="340">
        <f ca="1">IF(VLOOKUP($A16,INDIRECT(E$1&amp;"!$B$14:$P$89"),15,0)&lt;&gt;"",VLOOKUP($A16,INDIRECT(E$1&amp;"!$B$14:$P$89"),15,0)+E15,"")</f>
        <v>40</v>
      </c>
      <c r="F16" s="340">
        <f ca="1">IF(VLOOKUP($A16,INDIRECT(F$1&amp;"!$B$14:$P$89"),15,0)&lt;&gt;"",VLOOKUP($A16,INDIRECT(F$1&amp;"!$B$14:$P$89"),15,0)+F15,"")</f>
        <v>60</v>
      </c>
      <c r="G16" s="340">
        <f ca="1">IF(VLOOKUP($A16,INDIRECT(G$1&amp;"!$B$14:$P$89"),15,0)&lt;&gt;"",VLOOKUP($A16,INDIRECT(G$1&amp;"!$B$14:$P$89"),15,0)+G15,"")</f>
        <v>45</v>
      </c>
      <c r="H16" s="340">
        <f ca="1">IF(VLOOKUP($A16,INDIRECT(H$1&amp;"!$B$14:$P$89"),15,0)&lt;&gt;"",VLOOKUP($A16,INDIRECT(H$1&amp;"!$B$14:$P$89"),15,0)+H15,"")</f>
        <v>60</v>
      </c>
      <c r="I16" s="340">
        <f ca="1">IF(VLOOKUP($A16,INDIRECT(I$1&amp;"!$B$14:$P$89"),15,0)&lt;&gt;"",VLOOKUP($A16,INDIRECT(I$1&amp;"!$B$14:$P$89"),15,0)+I15,"")</f>
        <v>35</v>
      </c>
      <c r="J16" s="340">
        <f ca="1">IF(VLOOKUP($A16,INDIRECT(J$1&amp;"!$B$14:$P$89"),15,0)&lt;&gt;"",VLOOKUP($A16,INDIRECT(J$1&amp;"!$B$14:$P$89"),15,0)+J15,"")</f>
        <v>45</v>
      </c>
      <c r="K16" s="340">
        <f ca="1">IF(VLOOKUP($A16,INDIRECT(K$1&amp;"!$B$14:$P$89"),15,0)&lt;&gt;"",VLOOKUP($A16,INDIRECT(K$1&amp;"!$B$14:$P$89"),15,0)+K15,"")</f>
        <v>40</v>
      </c>
      <c r="L16" s="340">
        <f ca="1">IF(VLOOKUP($A16,INDIRECT(L$1&amp;"!$B$14:$P$89"),15,0)&lt;&gt;"",VLOOKUP($A16,INDIRECT(L$1&amp;"!$B$14:$P$89"),15,0)+L15,"")</f>
        <v>55</v>
      </c>
      <c r="M16" s="340">
        <f ca="1">IF(VLOOKUP($A16,INDIRECT(M$1&amp;"!$B$14:$P$89"),15,0)&lt;&gt;"",VLOOKUP($A16,INDIRECT(M$1&amp;"!$B$14:$P$89"),15,0)+M15,"")</f>
        <v>40</v>
      </c>
      <c r="N16" s="340">
        <f ca="1">IF(VLOOKUP($A16,INDIRECT(N$1&amp;"!$B$14:$P$89"),15,0)&lt;&gt;"",VLOOKUP($A16,INDIRECT(N$1&amp;"!$B$14:$P$89"),15,0)+N15,"")</f>
        <v>30</v>
      </c>
      <c r="O16" s="340">
        <f ca="1">IF(VLOOKUP($A16,INDIRECT(O$1&amp;"!$B$14:$P$89"),15,0)&lt;&gt;"",VLOOKUP($A16,INDIRECT(O$1&amp;"!$B$14:$P$89"),15,0)+O15,"")</f>
        <v>35</v>
      </c>
      <c r="P16" s="340">
        <f ca="1">IF(VLOOKUP($A16,INDIRECT(P$1&amp;"!$B$14:$P$89"),15,0)&lt;&gt;"",VLOOKUP($A16,INDIRECT(P$1&amp;"!$B$14:$P$89"),15,0)+P15,"")</f>
        <v>75</v>
      </c>
      <c r="Q16" s="340">
        <f ca="1">IF(VLOOKUP($A16,INDIRECT(Q$1&amp;"!$B$14:$P$89"),15,0)&lt;&gt;"",VLOOKUP($A16,INDIRECT(Q$1&amp;"!$B$14:$P$89"),15,0)+Q15,"")</f>
        <v>40</v>
      </c>
      <c r="R16" s="340">
        <f ca="1">IF(VLOOKUP($A16,INDIRECT(R$1&amp;"!$B$14:$P$89"),15,0)&lt;&gt;"",VLOOKUP($A16,INDIRECT(R$1&amp;"!$B$14:$P$89"),15,0)+R15,"")</f>
        <v>30</v>
      </c>
      <c r="S16" s="340">
        <f ca="1">IF(VLOOKUP($A16,INDIRECT(S$1&amp;"!$B$14:$P$89"),15,0)&lt;&gt;"",VLOOKUP($A16,INDIRECT(S$1&amp;"!$B$14:$P$89"),15,0)+S15,"")</f>
        <v>40</v>
      </c>
      <c r="T16" s="340">
        <f ca="1">IF(VLOOKUP($A16,INDIRECT(T$1&amp;"!$B$14:$P$89"),15,0)&lt;&gt;"",VLOOKUP($A16,INDIRECT(T$1&amp;"!$B$14:$P$89"),15,0)+T15,"")</f>
        <v>65</v>
      </c>
      <c r="U16" s="340">
        <f ca="1">IF(VLOOKUP($A16,INDIRECT(U$1&amp;"!$B$14:$P$89"),15,0)&lt;&gt;"",VLOOKUP($A16,INDIRECT(U$1&amp;"!$B$14:$P$89"),15,0)+U15,"")</f>
        <v>50</v>
      </c>
      <c r="V16" s="340">
        <f ca="1">IF(VLOOKUP($A16,INDIRECT(V$1&amp;"!$B$14:$P$89"),15,0)&lt;&gt;"",VLOOKUP($A16,INDIRECT(V$1&amp;"!$B$14:$P$89"),15,0)+V15,"")</f>
        <v>45</v>
      </c>
      <c r="W16" s="340">
        <f ca="1">IF(VLOOKUP($A16,INDIRECT(W$1&amp;"!$B$14:$P$89"),15,0)&lt;&gt;"",VLOOKUP($A16,INDIRECT(W$1&amp;"!$B$14:$P$89"),15,0)+W15,"")</f>
        <v>35</v>
      </c>
      <c r="X16" s="340">
        <f ca="1">IF(VLOOKUP($A16,INDIRECT(X$1&amp;"!$B$14:$P$89"),15,0)&lt;&gt;"",VLOOKUP($A16,INDIRECT(X$1&amp;"!$B$14:$P$89"),15,0)+X15,"")</f>
        <v>30</v>
      </c>
      <c r="Y16" s="178">
        <f t="shared" ca="1" si="1"/>
        <v>44.31818181818182</v>
      </c>
      <c r="Z16" s="194">
        <f t="shared" ca="1" si="3"/>
        <v>4.7727272727272734</v>
      </c>
      <c r="AA16" s="195">
        <f ca="1">IF(C16&lt;&gt;"",C16-$Y16,"")</f>
        <v>-9.3181818181818201</v>
      </c>
      <c r="AB16" s="195">
        <f ca="1">IF(D16&lt;&gt;"",D16-$Y16,"")</f>
        <v>0.68181818181817988</v>
      </c>
      <c r="AC16" s="195">
        <f ca="1">IF(E16&lt;&gt;"",E16-$Y16,"")</f>
        <v>-4.3181818181818201</v>
      </c>
      <c r="AD16" s="195">
        <f ca="1">IF(F16&lt;&gt;"",F16-$Y16,"")</f>
        <v>15.68181818181818</v>
      </c>
      <c r="AE16" s="195">
        <f ca="1">IF(G16&lt;&gt;"",G16-$Y16,"")</f>
        <v>0.68181818181817988</v>
      </c>
      <c r="AF16" s="195">
        <f ca="1">IF(H16&lt;&gt;"",H16-$Y16,"")</f>
        <v>15.68181818181818</v>
      </c>
      <c r="AG16" s="195">
        <f ca="1">IF(I16&lt;&gt;"",I16-$Y16,"")</f>
        <v>-9.3181818181818201</v>
      </c>
      <c r="AH16" s="195">
        <f ca="1">IF(J16&lt;&gt;"",J16-$Y16,"")</f>
        <v>0.68181818181817988</v>
      </c>
      <c r="AI16" s="195">
        <f ca="1">IF(K16&lt;&gt;"",K16-$Y16,"")</f>
        <v>-4.3181818181818201</v>
      </c>
      <c r="AJ16" s="195">
        <f ca="1">IF(L16&lt;&gt;"",L16-$Y16,"")</f>
        <v>10.68181818181818</v>
      </c>
      <c r="AK16" s="195">
        <f ca="1">IF(M16&lt;&gt;"",M16-$Y16,"")</f>
        <v>-4.3181818181818201</v>
      </c>
      <c r="AL16" s="195">
        <f ca="1">IF(N16&lt;&gt;"",N16-$Y16,"")</f>
        <v>-14.31818181818182</v>
      </c>
      <c r="AM16" s="195">
        <f ca="1">IF(O16&lt;&gt;"",O16-$Y16,"")</f>
        <v>-9.3181818181818201</v>
      </c>
      <c r="AN16" s="195">
        <f ca="1">IF(P16&lt;&gt;"",P16-$Y16,"")</f>
        <v>30.68181818181818</v>
      </c>
      <c r="AO16" s="195">
        <f ca="1">IF(S16&lt;&gt;"",S16-$Y16,"")</f>
        <v>-4.3181818181818201</v>
      </c>
      <c r="AP16" s="195">
        <f ca="1">IF(T16&lt;&gt;"",T16-$Y16,"")</f>
        <v>20.68181818181818</v>
      </c>
      <c r="AQ16" s="195">
        <f ca="1">IF(U16&lt;&gt;"",U16-$Y16,"")</f>
        <v>5.6818181818181799</v>
      </c>
      <c r="AR16" s="195">
        <f ca="1">IF(V16&lt;&gt;"",V16-$Y16,"")</f>
        <v>0.68181818181817988</v>
      </c>
      <c r="AS16" s="195">
        <f ca="1">IF(W16&lt;&gt;"",W16-$Y16,"")</f>
        <v>-9.3181818181818201</v>
      </c>
      <c r="AT16" s="195">
        <f ca="1">IF(Q16&lt;&gt;"",Q16-$Y16,"")</f>
        <v>-4.3181818181818201</v>
      </c>
      <c r="AU16" s="195">
        <f ca="1">IF(R16&lt;&gt;"",R16-$Y16,"")</f>
        <v>-14.31818181818182</v>
      </c>
      <c r="AV16" s="195">
        <f t="shared" ca="1" si="2"/>
        <v>-14.31818181818182</v>
      </c>
    </row>
    <row r="17" spans="1:48">
      <c r="A17" s="189">
        <v>16</v>
      </c>
      <c r="B17" s="166" t="str">
        <f>VLOOKUP($A17,Willem!$B$14:$P$89,4,0)&amp;"-"&amp;VLOOKUP($A17,Willem!$B$14:$P$89,6,0)</f>
        <v>Spanje  -  Zwitserland</v>
      </c>
      <c r="C17" s="341">
        <f ca="1">IF(VLOOKUP($A17,INDIRECT(C$1&amp;"!$B$14:$P$89"),15,0)&lt;&gt;"",VLOOKUP($A17,INDIRECT(C$1&amp;"!$B$14:$P$89"),15,0)+C16,"")</f>
        <v>35</v>
      </c>
      <c r="D17" s="341">
        <f ca="1">IF(VLOOKUP($A17,INDIRECT(D$1&amp;"!$B$14:$P$89"),15,0)&lt;&gt;"",VLOOKUP($A17,INDIRECT(D$1&amp;"!$B$14:$P$89"),15,0)+D16,"")</f>
        <v>45</v>
      </c>
      <c r="E17" s="341">
        <f ca="1">IF(VLOOKUP($A17,INDIRECT(E$1&amp;"!$B$14:$P$89"),15,0)&lt;&gt;"",VLOOKUP($A17,INDIRECT(E$1&amp;"!$B$14:$P$89"),15,0)+E16,"")</f>
        <v>40</v>
      </c>
      <c r="F17" s="341">
        <f ca="1">IF(VLOOKUP($A17,INDIRECT(F$1&amp;"!$B$14:$P$89"),15,0)&lt;&gt;"",VLOOKUP($A17,INDIRECT(F$1&amp;"!$B$14:$P$89"),15,0)+F16,"")</f>
        <v>60</v>
      </c>
      <c r="G17" s="341">
        <f ca="1">IF(VLOOKUP($A17,INDIRECT(G$1&amp;"!$B$14:$P$89"),15,0)&lt;&gt;"",VLOOKUP($A17,INDIRECT(G$1&amp;"!$B$14:$P$89"),15,0)+G16,"")</f>
        <v>45</v>
      </c>
      <c r="H17" s="341">
        <f ca="1">IF(VLOOKUP($A17,INDIRECT(H$1&amp;"!$B$14:$P$89"),15,0)&lt;&gt;"",VLOOKUP($A17,INDIRECT(H$1&amp;"!$B$14:$P$89"),15,0)+H16,"")</f>
        <v>60</v>
      </c>
      <c r="I17" s="341">
        <f ca="1">IF(VLOOKUP($A17,INDIRECT(I$1&amp;"!$B$14:$P$89"),15,0)&lt;&gt;"",VLOOKUP($A17,INDIRECT(I$1&amp;"!$B$14:$P$89"),15,0)+I16,"")</f>
        <v>35</v>
      </c>
      <c r="J17" s="341">
        <f ca="1">IF(VLOOKUP($A17,INDIRECT(J$1&amp;"!$B$14:$P$89"),15,0)&lt;&gt;"",VLOOKUP($A17,INDIRECT(J$1&amp;"!$B$14:$P$89"),15,0)+J16,"")</f>
        <v>45</v>
      </c>
      <c r="K17" s="341">
        <f ca="1">IF(VLOOKUP($A17,INDIRECT(K$1&amp;"!$B$14:$P$89"),15,0)&lt;&gt;"",VLOOKUP($A17,INDIRECT(K$1&amp;"!$B$14:$P$89"),15,0)+K16,"")</f>
        <v>40</v>
      </c>
      <c r="L17" s="341">
        <f ca="1">IF(VLOOKUP($A17,INDIRECT(L$1&amp;"!$B$14:$P$89"),15,0)&lt;&gt;"",VLOOKUP($A17,INDIRECT(L$1&amp;"!$B$14:$P$89"),15,0)+L16,"")</f>
        <v>55</v>
      </c>
      <c r="M17" s="341">
        <f ca="1">IF(VLOOKUP($A17,INDIRECT(M$1&amp;"!$B$14:$P$89"),15,0)&lt;&gt;"",VLOOKUP($A17,INDIRECT(M$1&amp;"!$B$14:$P$89"),15,0)+M16,"")</f>
        <v>40</v>
      </c>
      <c r="N17" s="341">
        <f ca="1">IF(VLOOKUP($A17,INDIRECT(N$1&amp;"!$B$14:$P$89"),15,0)&lt;&gt;"",VLOOKUP($A17,INDIRECT(N$1&amp;"!$B$14:$P$89"),15,0)+N16,"")</f>
        <v>30</v>
      </c>
      <c r="O17" s="341">
        <f ca="1">IF(VLOOKUP($A17,INDIRECT(O$1&amp;"!$B$14:$P$89"),15,0)&lt;&gt;"",VLOOKUP($A17,INDIRECT(O$1&amp;"!$B$14:$P$89"),15,0)+O16,"")</f>
        <v>35</v>
      </c>
      <c r="P17" s="341">
        <f ca="1">IF(VLOOKUP($A17,INDIRECT(P$1&amp;"!$B$14:$P$89"),15,0)&lt;&gt;"",VLOOKUP($A17,INDIRECT(P$1&amp;"!$B$14:$P$89"),15,0)+P16,"")</f>
        <v>75</v>
      </c>
      <c r="Q17" s="341">
        <f ca="1">IF(VLOOKUP($A17,INDIRECT(Q$1&amp;"!$B$14:$P$89"),15,0)&lt;&gt;"",VLOOKUP($A17,INDIRECT(Q$1&amp;"!$B$14:$P$89"),15,0)+Q16,"")</f>
        <v>40</v>
      </c>
      <c r="R17" s="341">
        <f ca="1">IF(VLOOKUP($A17,INDIRECT(R$1&amp;"!$B$14:$P$89"),15,0)&lt;&gt;"",VLOOKUP($A17,INDIRECT(R$1&amp;"!$B$14:$P$89"),15,0)+R16,"")</f>
        <v>30</v>
      </c>
      <c r="S17" s="341">
        <f ca="1">IF(VLOOKUP($A17,INDIRECT(S$1&amp;"!$B$14:$P$89"),15,0)&lt;&gt;"",VLOOKUP($A17,INDIRECT(S$1&amp;"!$B$14:$P$89"),15,0)+S16,"")</f>
        <v>40</v>
      </c>
      <c r="T17" s="341">
        <f ca="1">IF(VLOOKUP($A17,INDIRECT(T$1&amp;"!$B$14:$P$89"),15,0)&lt;&gt;"",VLOOKUP($A17,INDIRECT(T$1&amp;"!$B$14:$P$89"),15,0)+T16,"")</f>
        <v>65</v>
      </c>
      <c r="U17" s="341">
        <f ca="1">IF(VLOOKUP($A17,INDIRECT(U$1&amp;"!$B$14:$P$89"),15,0)&lt;&gt;"",VLOOKUP($A17,INDIRECT(U$1&amp;"!$B$14:$P$89"),15,0)+U16,"")</f>
        <v>50</v>
      </c>
      <c r="V17" s="341">
        <f ca="1">IF(VLOOKUP($A17,INDIRECT(V$1&amp;"!$B$14:$P$89"),15,0)&lt;&gt;"",VLOOKUP($A17,INDIRECT(V$1&amp;"!$B$14:$P$89"),15,0)+V16,"")</f>
        <v>45</v>
      </c>
      <c r="W17" s="341">
        <f ca="1">IF(VLOOKUP($A17,INDIRECT(W$1&amp;"!$B$14:$P$89"),15,0)&lt;&gt;"",VLOOKUP($A17,INDIRECT(W$1&amp;"!$B$14:$P$89"),15,0)+W16,"")</f>
        <v>35</v>
      </c>
      <c r="X17" s="341">
        <f ca="1">IF(VLOOKUP($A17,INDIRECT(X$1&amp;"!$B$14:$P$89"),15,0)&lt;&gt;"",VLOOKUP($A17,INDIRECT(X$1&amp;"!$B$14:$P$89"),15,0)+X16,"")</f>
        <v>30</v>
      </c>
      <c r="Y17" s="178">
        <f t="shared" ca="1" si="1"/>
        <v>44.31818181818182</v>
      </c>
      <c r="Z17" s="194">
        <f t="shared" ca="1" si="3"/>
        <v>0</v>
      </c>
      <c r="AA17" s="195">
        <f ca="1">IF(C17&lt;&gt;"",C17-$Y17,"")</f>
        <v>-9.3181818181818201</v>
      </c>
      <c r="AB17" s="195">
        <f ca="1">IF(D17&lt;&gt;"",D17-$Y17,"")</f>
        <v>0.68181818181817988</v>
      </c>
      <c r="AC17" s="195">
        <f ca="1">IF(E17&lt;&gt;"",E17-$Y17,"")</f>
        <v>-4.3181818181818201</v>
      </c>
      <c r="AD17" s="195">
        <f ca="1">IF(F17&lt;&gt;"",F17-$Y17,"")</f>
        <v>15.68181818181818</v>
      </c>
      <c r="AE17" s="195">
        <f ca="1">IF(G17&lt;&gt;"",G17-$Y17,"")</f>
        <v>0.68181818181817988</v>
      </c>
      <c r="AF17" s="195">
        <f ca="1">IF(H17&lt;&gt;"",H17-$Y17,"")</f>
        <v>15.68181818181818</v>
      </c>
      <c r="AG17" s="195">
        <f ca="1">IF(I17&lt;&gt;"",I17-$Y17,"")</f>
        <v>-9.3181818181818201</v>
      </c>
      <c r="AH17" s="195">
        <f ca="1">IF(J17&lt;&gt;"",J17-$Y17,"")</f>
        <v>0.68181818181817988</v>
      </c>
      <c r="AI17" s="195">
        <f ca="1">IF(K17&lt;&gt;"",K17-$Y17,"")</f>
        <v>-4.3181818181818201</v>
      </c>
      <c r="AJ17" s="195">
        <f ca="1">IF(L17&lt;&gt;"",L17-$Y17,"")</f>
        <v>10.68181818181818</v>
      </c>
      <c r="AK17" s="195">
        <f ca="1">IF(M17&lt;&gt;"",M17-$Y17,"")</f>
        <v>-4.3181818181818201</v>
      </c>
      <c r="AL17" s="195">
        <f ca="1">IF(N17&lt;&gt;"",N17-$Y17,"")</f>
        <v>-14.31818181818182</v>
      </c>
      <c r="AM17" s="195">
        <f ca="1">IF(O17&lt;&gt;"",O17-$Y17,"")</f>
        <v>-9.3181818181818201</v>
      </c>
      <c r="AN17" s="195">
        <f ca="1">IF(P17&lt;&gt;"",P17-$Y17,"")</f>
        <v>30.68181818181818</v>
      </c>
      <c r="AO17" s="195">
        <f ca="1">IF(S17&lt;&gt;"",S17-$Y17,"")</f>
        <v>-4.3181818181818201</v>
      </c>
      <c r="AP17" s="195">
        <f ca="1">IF(T17&lt;&gt;"",T17-$Y17,"")</f>
        <v>20.68181818181818</v>
      </c>
      <c r="AQ17" s="195">
        <f ca="1">IF(U17&lt;&gt;"",U17-$Y17,"")</f>
        <v>5.6818181818181799</v>
      </c>
      <c r="AR17" s="195">
        <f ca="1">IF(V17&lt;&gt;"",V17-$Y17,"")</f>
        <v>0.68181818181817988</v>
      </c>
      <c r="AS17" s="195">
        <f ca="1">IF(W17&lt;&gt;"",W17-$Y17,"")</f>
        <v>-9.3181818181818201</v>
      </c>
      <c r="AT17" s="195">
        <f ca="1">IF(Q17&lt;&gt;"",Q17-$Y17,"")</f>
        <v>-4.3181818181818201</v>
      </c>
      <c r="AU17" s="195">
        <f ca="1">IF(R17&lt;&gt;"",R17-$Y17,"")</f>
        <v>-14.31818181818182</v>
      </c>
      <c r="AV17" s="195">
        <f t="shared" ca="1" si="2"/>
        <v>-14.31818181818182</v>
      </c>
    </row>
    <row r="18" spans="1:48" hidden="1">
      <c r="A18" s="189">
        <v>17</v>
      </c>
      <c r="B18" s="165" t="str">
        <f>VLOOKUP($A18,Willem!$B$14:$P$89,4,0)&amp;"-"&amp;VLOOKUP($A18,Willem!$B$14:$P$89,6,0)</f>
        <v>Zuid-Afrika  -  Uruguay</v>
      </c>
      <c r="C18" s="340">
        <f ca="1">IF(VLOOKUP($A18,INDIRECT(C$1&amp;"!$B$14:$P$89"),15,0)&lt;&gt;"",VLOOKUP($A18,INDIRECT(C$1&amp;"!$B$14:$P$89"),15,0)+C17,"")</f>
        <v>35</v>
      </c>
      <c r="D18" s="340">
        <f ca="1">IF(VLOOKUP($A18,INDIRECT(D$1&amp;"!$B$14:$P$89"),15,0)&lt;&gt;"",VLOOKUP($A18,INDIRECT(D$1&amp;"!$B$14:$P$89"),15,0)+D17,"")</f>
        <v>45</v>
      </c>
      <c r="E18" s="340">
        <f ca="1">IF(VLOOKUP($A18,INDIRECT(E$1&amp;"!$B$14:$P$89"),15,0)&lt;&gt;"",VLOOKUP($A18,INDIRECT(E$1&amp;"!$B$14:$P$89"),15,0)+E17,"")</f>
        <v>40</v>
      </c>
      <c r="F18" s="340">
        <f ca="1">IF(VLOOKUP($A18,INDIRECT(F$1&amp;"!$B$14:$P$89"),15,0)&lt;&gt;"",VLOOKUP($A18,INDIRECT(F$1&amp;"!$B$14:$P$89"),15,0)+F17,"")</f>
        <v>60</v>
      </c>
      <c r="G18" s="340">
        <f ca="1">IF(VLOOKUP($A18,INDIRECT(G$1&amp;"!$B$14:$P$89"),15,0)&lt;&gt;"",VLOOKUP($A18,INDIRECT(G$1&amp;"!$B$14:$P$89"),15,0)+G17,"")</f>
        <v>50</v>
      </c>
      <c r="H18" s="340">
        <f ca="1">IF(VLOOKUP($A18,INDIRECT(H$1&amp;"!$B$14:$P$89"),15,0)&lt;&gt;"",VLOOKUP($A18,INDIRECT(H$1&amp;"!$B$14:$P$89"),15,0)+H17,"")</f>
        <v>60</v>
      </c>
      <c r="I18" s="340">
        <f ca="1">IF(VLOOKUP($A18,INDIRECT(I$1&amp;"!$B$14:$P$89"),15,0)&lt;&gt;"",VLOOKUP($A18,INDIRECT(I$1&amp;"!$B$14:$P$89"),15,0)+I17,"")</f>
        <v>40</v>
      </c>
      <c r="J18" s="340">
        <f ca="1">IF(VLOOKUP($A18,INDIRECT(J$1&amp;"!$B$14:$P$89"),15,0)&lt;&gt;"",VLOOKUP($A18,INDIRECT(J$1&amp;"!$B$14:$P$89"),15,0)+J17,"")</f>
        <v>50</v>
      </c>
      <c r="K18" s="340">
        <f ca="1">IF(VLOOKUP($A18,INDIRECT(K$1&amp;"!$B$14:$P$89"),15,0)&lt;&gt;"",VLOOKUP($A18,INDIRECT(K$1&amp;"!$B$14:$P$89"),15,0)+K17,"")</f>
        <v>45</v>
      </c>
      <c r="L18" s="340">
        <f ca="1">IF(VLOOKUP($A18,INDIRECT(L$1&amp;"!$B$14:$P$89"),15,0)&lt;&gt;"",VLOOKUP($A18,INDIRECT(L$1&amp;"!$B$14:$P$89"),15,0)+L17,"")</f>
        <v>65</v>
      </c>
      <c r="M18" s="340">
        <f ca="1">IF(VLOOKUP($A18,INDIRECT(M$1&amp;"!$B$14:$P$89"),15,0)&lt;&gt;"",VLOOKUP($A18,INDIRECT(M$1&amp;"!$B$14:$P$89"),15,0)+M17,"")</f>
        <v>40</v>
      </c>
      <c r="N18" s="340">
        <f ca="1">IF(VLOOKUP($A18,INDIRECT(N$1&amp;"!$B$14:$P$89"),15,0)&lt;&gt;"",VLOOKUP($A18,INDIRECT(N$1&amp;"!$B$14:$P$89"),15,0)+N17,"")</f>
        <v>35</v>
      </c>
      <c r="O18" s="340">
        <f ca="1">IF(VLOOKUP($A18,INDIRECT(O$1&amp;"!$B$14:$P$89"),15,0)&lt;&gt;"",VLOOKUP($A18,INDIRECT(O$1&amp;"!$B$14:$P$89"),15,0)+O17,"")</f>
        <v>40</v>
      </c>
      <c r="P18" s="340">
        <f ca="1">IF(VLOOKUP($A18,INDIRECT(P$1&amp;"!$B$14:$P$89"),15,0)&lt;&gt;"",VLOOKUP($A18,INDIRECT(P$1&amp;"!$B$14:$P$89"),15,0)+P17,"")</f>
        <v>75</v>
      </c>
      <c r="Q18" s="340">
        <f ca="1">IF(VLOOKUP($A18,INDIRECT(Q$1&amp;"!$B$14:$P$89"),15,0)&lt;&gt;"",VLOOKUP($A18,INDIRECT(Q$1&amp;"!$B$14:$P$89"),15,0)+Q17,"")</f>
        <v>40</v>
      </c>
      <c r="R18" s="340">
        <f ca="1">IF(VLOOKUP($A18,INDIRECT(R$1&amp;"!$B$14:$P$89"),15,0)&lt;&gt;"",VLOOKUP($A18,INDIRECT(R$1&amp;"!$B$14:$P$89"),15,0)+R17,"")</f>
        <v>30</v>
      </c>
      <c r="S18" s="340">
        <f ca="1">IF(VLOOKUP($A18,INDIRECT(S$1&amp;"!$B$14:$P$89"),15,0)&lt;&gt;"",VLOOKUP($A18,INDIRECT(S$1&amp;"!$B$14:$P$89"),15,0)+S17,"")</f>
        <v>40</v>
      </c>
      <c r="T18" s="340">
        <f ca="1">IF(VLOOKUP($A18,INDIRECT(T$1&amp;"!$B$14:$P$89"),15,0)&lt;&gt;"",VLOOKUP($A18,INDIRECT(T$1&amp;"!$B$14:$P$89"),15,0)+T17,"")</f>
        <v>65</v>
      </c>
      <c r="U18" s="340">
        <f ca="1">IF(VLOOKUP($A18,INDIRECT(U$1&amp;"!$B$14:$P$89"),15,0)&lt;&gt;"",VLOOKUP($A18,INDIRECT(U$1&amp;"!$B$14:$P$89"),15,0)+U17,"")</f>
        <v>55</v>
      </c>
      <c r="V18" s="340">
        <f ca="1">IF(VLOOKUP($A18,INDIRECT(V$1&amp;"!$B$14:$P$89"),15,0)&lt;&gt;"",VLOOKUP($A18,INDIRECT(V$1&amp;"!$B$14:$P$89"),15,0)+V17,"")</f>
        <v>50</v>
      </c>
      <c r="W18" s="340">
        <f ca="1">IF(VLOOKUP($A18,INDIRECT(W$1&amp;"!$B$14:$P$89"),15,0)&lt;&gt;"",VLOOKUP($A18,INDIRECT(W$1&amp;"!$B$14:$P$89"),15,0)+W17,"")</f>
        <v>40</v>
      </c>
      <c r="X18" s="340">
        <f ca="1">IF(VLOOKUP($A18,INDIRECT(X$1&amp;"!$B$14:$P$89"),15,0)&lt;&gt;"",VLOOKUP($A18,INDIRECT(X$1&amp;"!$B$14:$P$89"),15,0)+X17,"")</f>
        <v>35</v>
      </c>
      <c r="Y18" s="178">
        <f t="shared" ca="1" si="1"/>
        <v>47.045454545454547</v>
      </c>
      <c r="Z18" s="194">
        <f t="shared" ca="1" si="3"/>
        <v>2.7272727272727266</v>
      </c>
      <c r="AA18" s="195">
        <f ca="1">IF(C18&lt;&gt;"",C18-$Y18,"")</f>
        <v>-12.045454545454547</v>
      </c>
      <c r="AB18" s="195">
        <f ca="1">IF(D18&lt;&gt;"",D18-$Y18,"")</f>
        <v>-2.0454545454545467</v>
      </c>
      <c r="AC18" s="195">
        <f ca="1">IF(E18&lt;&gt;"",E18-$Y18,"")</f>
        <v>-7.0454545454545467</v>
      </c>
      <c r="AD18" s="195">
        <f ca="1">IF(F18&lt;&gt;"",F18-$Y18,"")</f>
        <v>12.954545454545453</v>
      </c>
      <c r="AE18" s="195">
        <f ca="1">IF(G18&lt;&gt;"",G18-$Y18,"")</f>
        <v>2.9545454545454533</v>
      </c>
      <c r="AF18" s="195">
        <f ca="1">IF(H18&lt;&gt;"",H18-$Y18,"")</f>
        <v>12.954545454545453</v>
      </c>
      <c r="AG18" s="195">
        <f ca="1">IF(I18&lt;&gt;"",I18-$Y18,"")</f>
        <v>-7.0454545454545467</v>
      </c>
      <c r="AH18" s="195">
        <f ca="1">IF(J18&lt;&gt;"",J18-$Y18,"")</f>
        <v>2.9545454545454533</v>
      </c>
      <c r="AI18" s="195">
        <f ca="1">IF(K18&lt;&gt;"",K18-$Y18,"")</f>
        <v>-2.0454545454545467</v>
      </c>
      <c r="AJ18" s="195">
        <f ca="1">IF(L18&lt;&gt;"",L18-$Y18,"")</f>
        <v>17.954545454545453</v>
      </c>
      <c r="AK18" s="195">
        <f ca="1">IF(M18&lt;&gt;"",M18-$Y18,"")</f>
        <v>-7.0454545454545467</v>
      </c>
      <c r="AL18" s="195">
        <f ca="1">IF(N18&lt;&gt;"",N18-$Y18,"")</f>
        <v>-12.045454545454547</v>
      </c>
      <c r="AM18" s="195">
        <f ca="1">IF(O18&lt;&gt;"",O18-$Y18,"")</f>
        <v>-7.0454545454545467</v>
      </c>
      <c r="AN18" s="195">
        <f ca="1">IF(P18&lt;&gt;"",P18-$Y18,"")</f>
        <v>27.954545454545453</v>
      </c>
      <c r="AO18" s="195">
        <f ca="1">IF(S18&lt;&gt;"",S18-$Y18,"")</f>
        <v>-7.0454545454545467</v>
      </c>
      <c r="AP18" s="195">
        <f ca="1">IF(T18&lt;&gt;"",T18-$Y18,"")</f>
        <v>17.954545454545453</v>
      </c>
      <c r="AQ18" s="195">
        <f ca="1">IF(U18&lt;&gt;"",U18-$Y18,"")</f>
        <v>7.9545454545454533</v>
      </c>
      <c r="AR18" s="195">
        <f ca="1">IF(V18&lt;&gt;"",V18-$Y18,"")</f>
        <v>2.9545454545454533</v>
      </c>
      <c r="AS18" s="195">
        <f ca="1">IF(W18&lt;&gt;"",W18-$Y18,"")</f>
        <v>-7.0454545454545467</v>
      </c>
      <c r="AT18" s="195">
        <f ca="1">IF(Q18&lt;&gt;"",Q18-$Y18,"")</f>
        <v>-7.0454545454545467</v>
      </c>
      <c r="AU18" s="195">
        <f ca="1">IF(R18&lt;&gt;"",R18-$Y18,"")</f>
        <v>-17.045454545454547</v>
      </c>
      <c r="AV18" s="195">
        <f t="shared" ca="1" si="2"/>
        <v>-12.045454545454547</v>
      </c>
    </row>
    <row r="19" spans="1:48" hidden="1">
      <c r="A19" s="189">
        <v>18</v>
      </c>
      <c r="B19" s="166" t="str">
        <f>VLOOKUP($A19,Willem!$B$14:$P$89,4,0)&amp;"-"&amp;VLOOKUP($A19,Willem!$B$14:$P$89,6,0)</f>
        <v>Frankrijk  -  Mexico</v>
      </c>
      <c r="C19" s="341">
        <f ca="1">IF(VLOOKUP($A19,INDIRECT(C$1&amp;"!$B$14:$P$89"),15,0)&lt;&gt;"",VLOOKUP($A19,INDIRECT(C$1&amp;"!$B$14:$P$89"),15,0)+C18,"")</f>
        <v>35</v>
      </c>
      <c r="D19" s="341">
        <f ca="1">IF(VLOOKUP($A19,INDIRECT(D$1&amp;"!$B$14:$P$89"),15,0)&lt;&gt;"",VLOOKUP($A19,INDIRECT(D$1&amp;"!$B$14:$P$89"),15,0)+D18,"")</f>
        <v>45</v>
      </c>
      <c r="E19" s="341">
        <f ca="1">IF(VLOOKUP($A19,INDIRECT(E$1&amp;"!$B$14:$P$89"),15,0)&lt;&gt;"",VLOOKUP($A19,INDIRECT(E$1&amp;"!$B$14:$P$89"),15,0)+E18,"")</f>
        <v>40</v>
      </c>
      <c r="F19" s="341">
        <f ca="1">IF(VLOOKUP($A19,INDIRECT(F$1&amp;"!$B$14:$P$89"),15,0)&lt;&gt;"",VLOOKUP($A19,INDIRECT(F$1&amp;"!$B$14:$P$89"),15,0)+F18,"")</f>
        <v>60</v>
      </c>
      <c r="G19" s="341">
        <f ca="1">IF(VLOOKUP($A19,INDIRECT(G$1&amp;"!$B$14:$P$89"),15,0)&lt;&gt;"",VLOOKUP($A19,INDIRECT(G$1&amp;"!$B$14:$P$89"),15,0)+G18,"")</f>
        <v>50</v>
      </c>
      <c r="H19" s="341">
        <f ca="1">IF(VLOOKUP($A19,INDIRECT(H$1&amp;"!$B$14:$P$89"),15,0)&lt;&gt;"",VLOOKUP($A19,INDIRECT(H$1&amp;"!$B$14:$P$89"),15,0)+H18,"")</f>
        <v>65</v>
      </c>
      <c r="I19" s="341">
        <f ca="1">IF(VLOOKUP($A19,INDIRECT(I$1&amp;"!$B$14:$P$89"),15,0)&lt;&gt;"",VLOOKUP($A19,INDIRECT(I$1&amp;"!$B$14:$P$89"),15,0)+I18,"")</f>
        <v>40</v>
      </c>
      <c r="J19" s="341">
        <f ca="1">IF(VLOOKUP($A19,INDIRECT(J$1&amp;"!$B$14:$P$89"),15,0)&lt;&gt;"",VLOOKUP($A19,INDIRECT(J$1&amp;"!$B$14:$P$89"),15,0)+J18,"")</f>
        <v>50</v>
      </c>
      <c r="K19" s="341">
        <f ca="1">IF(VLOOKUP($A19,INDIRECT(K$1&amp;"!$B$14:$P$89"),15,0)&lt;&gt;"",VLOOKUP($A19,INDIRECT(K$1&amp;"!$B$14:$P$89"),15,0)+K18,"")</f>
        <v>50</v>
      </c>
      <c r="L19" s="341">
        <f ca="1">IF(VLOOKUP($A19,INDIRECT(L$1&amp;"!$B$14:$P$89"),15,0)&lt;&gt;"",VLOOKUP($A19,INDIRECT(L$1&amp;"!$B$14:$P$89"),15,0)+L18,"")</f>
        <v>65</v>
      </c>
      <c r="M19" s="341">
        <f ca="1">IF(VLOOKUP($A19,INDIRECT(M$1&amp;"!$B$14:$P$89"),15,0)&lt;&gt;"",VLOOKUP($A19,INDIRECT(M$1&amp;"!$B$14:$P$89"),15,0)+M18,"")</f>
        <v>40</v>
      </c>
      <c r="N19" s="341">
        <f ca="1">IF(VLOOKUP($A19,INDIRECT(N$1&amp;"!$B$14:$P$89"),15,0)&lt;&gt;"",VLOOKUP($A19,INDIRECT(N$1&amp;"!$B$14:$P$89"),15,0)+N18,"")</f>
        <v>40</v>
      </c>
      <c r="O19" s="341">
        <f ca="1">IF(VLOOKUP($A19,INDIRECT(O$1&amp;"!$B$14:$P$89"),15,0)&lt;&gt;"",VLOOKUP($A19,INDIRECT(O$1&amp;"!$B$14:$P$89"),15,0)+O18,"")</f>
        <v>40</v>
      </c>
      <c r="P19" s="341">
        <f ca="1">IF(VLOOKUP($A19,INDIRECT(P$1&amp;"!$B$14:$P$89"),15,0)&lt;&gt;"",VLOOKUP($A19,INDIRECT(P$1&amp;"!$B$14:$P$89"),15,0)+P18,"")</f>
        <v>75</v>
      </c>
      <c r="Q19" s="341">
        <f ca="1">IF(VLOOKUP($A19,INDIRECT(Q$1&amp;"!$B$14:$P$89"),15,0)&lt;&gt;"",VLOOKUP($A19,INDIRECT(Q$1&amp;"!$B$14:$P$89"),15,0)+Q18,"")</f>
        <v>40</v>
      </c>
      <c r="R19" s="341">
        <f ca="1">IF(VLOOKUP($A19,INDIRECT(R$1&amp;"!$B$14:$P$89"),15,0)&lt;&gt;"",VLOOKUP($A19,INDIRECT(R$1&amp;"!$B$14:$P$89"),15,0)+R18,"")</f>
        <v>30</v>
      </c>
      <c r="S19" s="341">
        <f ca="1">IF(VLOOKUP($A19,INDIRECT(S$1&amp;"!$B$14:$P$89"),15,0)&lt;&gt;"",VLOOKUP($A19,INDIRECT(S$1&amp;"!$B$14:$P$89"),15,0)+S18,"")</f>
        <v>45</v>
      </c>
      <c r="T19" s="341">
        <f ca="1">IF(VLOOKUP($A19,INDIRECT(T$1&amp;"!$B$14:$P$89"),15,0)&lt;&gt;"",VLOOKUP($A19,INDIRECT(T$1&amp;"!$B$14:$P$89"),15,0)+T18,"")</f>
        <v>65</v>
      </c>
      <c r="U19" s="341">
        <f ca="1">IF(VLOOKUP($A19,INDIRECT(U$1&amp;"!$B$14:$P$89"),15,0)&lt;&gt;"",VLOOKUP($A19,INDIRECT(U$1&amp;"!$B$14:$P$89"),15,0)+U18,"")</f>
        <v>55</v>
      </c>
      <c r="V19" s="341">
        <f ca="1">IF(VLOOKUP($A19,INDIRECT(V$1&amp;"!$B$14:$P$89"),15,0)&lt;&gt;"",VLOOKUP($A19,INDIRECT(V$1&amp;"!$B$14:$P$89"),15,0)+V18,"")</f>
        <v>50</v>
      </c>
      <c r="W19" s="341">
        <f ca="1">IF(VLOOKUP($A19,INDIRECT(W$1&amp;"!$B$14:$P$89"),15,0)&lt;&gt;"",VLOOKUP($A19,INDIRECT(W$1&amp;"!$B$14:$P$89"),15,0)+W18,"")</f>
        <v>45</v>
      </c>
      <c r="X19" s="341">
        <f ca="1">IF(VLOOKUP($A19,INDIRECT(X$1&amp;"!$B$14:$P$89"),15,0)&lt;&gt;"",VLOOKUP($A19,INDIRECT(X$1&amp;"!$B$14:$P$89"),15,0)+X18,"")</f>
        <v>35</v>
      </c>
      <c r="Y19" s="178">
        <f t="shared" ca="1" si="1"/>
        <v>48.18181818181818</v>
      </c>
      <c r="Z19" s="194">
        <f t="shared" ca="1" si="3"/>
        <v>1.1363636363636331</v>
      </c>
      <c r="AA19" s="195">
        <f ca="1">IF(C19&lt;&gt;"",C19-$Y19,"")</f>
        <v>-13.18181818181818</v>
      </c>
      <c r="AB19" s="195">
        <f ca="1">IF(D19&lt;&gt;"",D19-$Y19,"")</f>
        <v>-3.1818181818181799</v>
      </c>
      <c r="AC19" s="195">
        <f ca="1">IF(E19&lt;&gt;"",E19-$Y19,"")</f>
        <v>-8.1818181818181799</v>
      </c>
      <c r="AD19" s="195">
        <f ca="1">IF(F19&lt;&gt;"",F19-$Y19,"")</f>
        <v>11.81818181818182</v>
      </c>
      <c r="AE19" s="195">
        <f ca="1">IF(G19&lt;&gt;"",G19-$Y19,"")</f>
        <v>1.8181818181818201</v>
      </c>
      <c r="AF19" s="195">
        <f ca="1">IF(H19&lt;&gt;"",H19-$Y19,"")</f>
        <v>16.81818181818182</v>
      </c>
      <c r="AG19" s="195">
        <f ca="1">IF(I19&lt;&gt;"",I19-$Y19,"")</f>
        <v>-8.1818181818181799</v>
      </c>
      <c r="AH19" s="195">
        <f ca="1">IF(J19&lt;&gt;"",J19-$Y19,"")</f>
        <v>1.8181818181818201</v>
      </c>
      <c r="AI19" s="195">
        <f ca="1">IF(K19&lt;&gt;"",K19-$Y19,"")</f>
        <v>1.8181818181818201</v>
      </c>
      <c r="AJ19" s="195">
        <f ca="1">IF(L19&lt;&gt;"",L19-$Y19,"")</f>
        <v>16.81818181818182</v>
      </c>
      <c r="AK19" s="195">
        <f ca="1">IF(M19&lt;&gt;"",M19-$Y19,"")</f>
        <v>-8.1818181818181799</v>
      </c>
      <c r="AL19" s="195">
        <f ca="1">IF(N19&lt;&gt;"",N19-$Y19,"")</f>
        <v>-8.1818181818181799</v>
      </c>
      <c r="AM19" s="195">
        <f ca="1">IF(O19&lt;&gt;"",O19-$Y19,"")</f>
        <v>-8.1818181818181799</v>
      </c>
      <c r="AN19" s="195">
        <f ca="1">IF(P19&lt;&gt;"",P19-$Y19,"")</f>
        <v>26.81818181818182</v>
      </c>
      <c r="AO19" s="195">
        <f ca="1">IF(S19&lt;&gt;"",S19-$Y19,"")</f>
        <v>-3.1818181818181799</v>
      </c>
      <c r="AP19" s="195">
        <f ca="1">IF(T19&lt;&gt;"",T19-$Y19,"")</f>
        <v>16.81818181818182</v>
      </c>
      <c r="AQ19" s="195">
        <f ca="1">IF(U19&lt;&gt;"",U19-$Y19,"")</f>
        <v>6.8181818181818201</v>
      </c>
      <c r="AR19" s="195">
        <f ca="1">IF(V19&lt;&gt;"",V19-$Y19,"")</f>
        <v>1.8181818181818201</v>
      </c>
      <c r="AS19" s="195">
        <f ca="1">IF(W19&lt;&gt;"",W19-$Y19,"")</f>
        <v>-3.1818181818181799</v>
      </c>
      <c r="AT19" s="195">
        <f ca="1">IF(Q19&lt;&gt;"",Q19-$Y19,"")</f>
        <v>-8.1818181818181799</v>
      </c>
      <c r="AU19" s="195">
        <f ca="1">IF(R19&lt;&gt;"",R19-$Y19,"")</f>
        <v>-18.18181818181818</v>
      </c>
      <c r="AV19" s="195">
        <f t="shared" ca="1" si="2"/>
        <v>-13.18181818181818</v>
      </c>
    </row>
    <row r="20" spans="1:48" hidden="1">
      <c r="A20" s="189">
        <v>19</v>
      </c>
      <c r="B20" s="165" t="str">
        <f>VLOOKUP($A20,Willem!$B$14:$P$89,4,0)&amp;"-"&amp;VLOOKUP($A20,Willem!$B$14:$P$89,6,0)</f>
        <v>Griekenland-  Nigeria</v>
      </c>
      <c r="C20" s="340">
        <f ca="1">IF(VLOOKUP($A20,INDIRECT(C$1&amp;"!$B$14:$P$89"),15,0)&lt;&gt;"",VLOOKUP($A20,INDIRECT(C$1&amp;"!$B$14:$P$89"),15,0)+C19,"")</f>
        <v>35</v>
      </c>
      <c r="D20" s="340">
        <f ca="1">IF(VLOOKUP($A20,INDIRECT(D$1&amp;"!$B$14:$P$89"),15,0)&lt;&gt;"",VLOOKUP($A20,INDIRECT(D$1&amp;"!$B$14:$P$89"),15,0)+D19,"")</f>
        <v>45</v>
      </c>
      <c r="E20" s="340">
        <f ca="1">IF(VLOOKUP($A20,INDIRECT(E$1&amp;"!$B$14:$P$89"),15,0)&lt;&gt;"",VLOOKUP($A20,INDIRECT(E$1&amp;"!$B$14:$P$89"),15,0)+E19,"")</f>
        <v>50</v>
      </c>
      <c r="F20" s="340">
        <f ca="1">IF(VLOOKUP($A20,INDIRECT(F$1&amp;"!$B$14:$P$89"),15,0)&lt;&gt;"",VLOOKUP($A20,INDIRECT(F$1&amp;"!$B$14:$P$89"),15,0)+F19,"")</f>
        <v>65</v>
      </c>
      <c r="G20" s="340">
        <f ca="1">IF(VLOOKUP($A20,INDIRECT(G$1&amp;"!$B$14:$P$89"),15,0)&lt;&gt;"",VLOOKUP($A20,INDIRECT(G$1&amp;"!$B$14:$P$89"),15,0)+G19,"")</f>
        <v>50</v>
      </c>
      <c r="H20" s="340">
        <f ca="1">IF(VLOOKUP($A20,INDIRECT(H$1&amp;"!$B$14:$P$89"),15,0)&lt;&gt;"",VLOOKUP($A20,INDIRECT(H$1&amp;"!$B$14:$P$89"),15,0)+H19,"")</f>
        <v>65</v>
      </c>
      <c r="I20" s="340">
        <f ca="1">IF(VLOOKUP($A20,INDIRECT(I$1&amp;"!$B$14:$P$89"),15,0)&lt;&gt;"",VLOOKUP($A20,INDIRECT(I$1&amp;"!$B$14:$P$89"),15,0)+I19,"")</f>
        <v>45</v>
      </c>
      <c r="J20" s="340">
        <f ca="1">IF(VLOOKUP($A20,INDIRECT(J$1&amp;"!$B$14:$P$89"),15,0)&lt;&gt;"",VLOOKUP($A20,INDIRECT(J$1&amp;"!$B$14:$P$89"),15,0)+J19,"")</f>
        <v>60</v>
      </c>
      <c r="K20" s="340">
        <f ca="1">IF(VLOOKUP($A20,INDIRECT(K$1&amp;"!$B$14:$P$89"),15,0)&lt;&gt;"",VLOOKUP($A20,INDIRECT(K$1&amp;"!$B$14:$P$89"),15,0)+K19,"")</f>
        <v>50</v>
      </c>
      <c r="L20" s="340">
        <f ca="1">IF(VLOOKUP($A20,INDIRECT(L$1&amp;"!$B$14:$P$89"),15,0)&lt;&gt;"",VLOOKUP($A20,INDIRECT(L$1&amp;"!$B$14:$P$89"),15,0)+L19,"")</f>
        <v>65</v>
      </c>
      <c r="M20" s="340">
        <f ca="1">IF(VLOOKUP($A20,INDIRECT(M$1&amp;"!$B$14:$P$89"),15,0)&lt;&gt;"",VLOOKUP($A20,INDIRECT(M$1&amp;"!$B$14:$P$89"),15,0)+M19,"")</f>
        <v>45</v>
      </c>
      <c r="N20" s="340">
        <f ca="1">IF(VLOOKUP($A20,INDIRECT(N$1&amp;"!$B$14:$P$89"),15,0)&lt;&gt;"",VLOOKUP($A20,INDIRECT(N$1&amp;"!$B$14:$P$89"),15,0)+N19,"")</f>
        <v>40</v>
      </c>
      <c r="O20" s="340">
        <f ca="1">IF(VLOOKUP($A20,INDIRECT(O$1&amp;"!$B$14:$P$89"),15,0)&lt;&gt;"",VLOOKUP($A20,INDIRECT(O$1&amp;"!$B$14:$P$89"),15,0)+O19,"")</f>
        <v>40</v>
      </c>
      <c r="P20" s="340">
        <f ca="1">IF(VLOOKUP($A20,INDIRECT(P$1&amp;"!$B$14:$P$89"),15,0)&lt;&gt;"",VLOOKUP($A20,INDIRECT(P$1&amp;"!$B$14:$P$89"),15,0)+P19,"")</f>
        <v>75</v>
      </c>
      <c r="Q20" s="340">
        <f ca="1">IF(VLOOKUP($A20,INDIRECT(Q$1&amp;"!$B$14:$P$89"),15,0)&lt;&gt;"",VLOOKUP($A20,INDIRECT(Q$1&amp;"!$B$14:$P$89"),15,0)+Q19,"")</f>
        <v>40</v>
      </c>
      <c r="R20" s="340">
        <f ca="1">IF(VLOOKUP($A20,INDIRECT(R$1&amp;"!$B$14:$P$89"),15,0)&lt;&gt;"",VLOOKUP($A20,INDIRECT(R$1&amp;"!$B$14:$P$89"),15,0)+R19,"")</f>
        <v>40</v>
      </c>
      <c r="S20" s="340">
        <f ca="1">IF(VLOOKUP($A20,INDIRECT(S$1&amp;"!$B$14:$P$89"),15,0)&lt;&gt;"",VLOOKUP($A20,INDIRECT(S$1&amp;"!$B$14:$P$89"),15,0)+S19,"")</f>
        <v>45</v>
      </c>
      <c r="T20" s="340">
        <f ca="1">IF(VLOOKUP($A20,INDIRECT(T$1&amp;"!$B$14:$P$89"),15,0)&lt;&gt;"",VLOOKUP($A20,INDIRECT(T$1&amp;"!$B$14:$P$89"),15,0)+T19,"")</f>
        <v>65</v>
      </c>
      <c r="U20" s="340">
        <f ca="1">IF(VLOOKUP($A20,INDIRECT(U$1&amp;"!$B$14:$P$89"),15,0)&lt;&gt;"",VLOOKUP($A20,INDIRECT(U$1&amp;"!$B$14:$P$89"),15,0)+U19,"")</f>
        <v>55</v>
      </c>
      <c r="V20" s="340">
        <f ca="1">IF(VLOOKUP($A20,INDIRECT(V$1&amp;"!$B$14:$P$89"),15,0)&lt;&gt;"",VLOOKUP($A20,INDIRECT(V$1&amp;"!$B$14:$P$89"),15,0)+V19,"")</f>
        <v>50</v>
      </c>
      <c r="W20" s="340">
        <f ca="1">IF(VLOOKUP($A20,INDIRECT(W$1&amp;"!$B$14:$P$89"),15,0)&lt;&gt;"",VLOOKUP($A20,INDIRECT(W$1&amp;"!$B$14:$P$89"),15,0)+W19,"")</f>
        <v>45</v>
      </c>
      <c r="X20" s="340">
        <f ca="1">IF(VLOOKUP($A20,INDIRECT(X$1&amp;"!$B$14:$P$89"),15,0)&lt;&gt;"",VLOOKUP($A20,INDIRECT(X$1&amp;"!$B$14:$P$89"),15,0)+X19,"")</f>
        <v>35</v>
      </c>
      <c r="Y20" s="178">
        <f t="shared" ca="1" si="1"/>
        <v>50.227272727272727</v>
      </c>
      <c r="Z20" s="194">
        <f t="shared" ca="1" si="3"/>
        <v>2.0454545454545467</v>
      </c>
      <c r="AA20" s="195">
        <f ca="1">IF(C20&lt;&gt;"",C20-$Y20,"")</f>
        <v>-15.227272727272727</v>
      </c>
      <c r="AB20" s="195">
        <f ca="1">IF(D20&lt;&gt;"",D20-$Y20,"")</f>
        <v>-5.2272727272727266</v>
      </c>
      <c r="AC20" s="195">
        <f ca="1">IF(E20&lt;&gt;"",E20-$Y20,"")</f>
        <v>-0.22727272727272663</v>
      </c>
      <c r="AD20" s="195">
        <f ca="1">IF(F20&lt;&gt;"",F20-$Y20,"")</f>
        <v>14.772727272727273</v>
      </c>
      <c r="AE20" s="195">
        <f ca="1">IF(G20&lt;&gt;"",G20-$Y20,"")</f>
        <v>-0.22727272727272663</v>
      </c>
      <c r="AF20" s="195">
        <f ca="1">IF(H20&lt;&gt;"",H20-$Y20,"")</f>
        <v>14.772727272727273</v>
      </c>
      <c r="AG20" s="195">
        <f ca="1">IF(I20&lt;&gt;"",I20-$Y20,"")</f>
        <v>-5.2272727272727266</v>
      </c>
      <c r="AH20" s="195">
        <f ca="1">IF(J20&lt;&gt;"",J20-$Y20,"")</f>
        <v>9.7727272727272734</v>
      </c>
      <c r="AI20" s="195">
        <f ca="1">IF(K20&lt;&gt;"",K20-$Y20,"")</f>
        <v>-0.22727272727272663</v>
      </c>
      <c r="AJ20" s="195">
        <f ca="1">IF(L20&lt;&gt;"",L20-$Y20,"")</f>
        <v>14.772727272727273</v>
      </c>
      <c r="AK20" s="195">
        <f ca="1">IF(M20&lt;&gt;"",M20-$Y20,"")</f>
        <v>-5.2272727272727266</v>
      </c>
      <c r="AL20" s="195">
        <f ca="1">IF(N20&lt;&gt;"",N20-$Y20,"")</f>
        <v>-10.227272727272727</v>
      </c>
      <c r="AM20" s="195">
        <f ca="1">IF(O20&lt;&gt;"",O20-$Y20,"")</f>
        <v>-10.227272727272727</v>
      </c>
      <c r="AN20" s="195">
        <f ca="1">IF(P20&lt;&gt;"",P20-$Y20,"")</f>
        <v>24.772727272727273</v>
      </c>
      <c r="AO20" s="195">
        <f ca="1">IF(S20&lt;&gt;"",S20-$Y20,"")</f>
        <v>-5.2272727272727266</v>
      </c>
      <c r="AP20" s="195">
        <f ca="1">IF(T20&lt;&gt;"",T20-$Y20,"")</f>
        <v>14.772727272727273</v>
      </c>
      <c r="AQ20" s="195">
        <f ca="1">IF(U20&lt;&gt;"",U20-$Y20,"")</f>
        <v>4.7727272727272734</v>
      </c>
      <c r="AR20" s="195">
        <f ca="1">IF(V20&lt;&gt;"",V20-$Y20,"")</f>
        <v>-0.22727272727272663</v>
      </c>
      <c r="AS20" s="195">
        <f ca="1">IF(W20&lt;&gt;"",W20-$Y20,"")</f>
        <v>-5.2272727272727266</v>
      </c>
      <c r="AT20" s="195">
        <f ca="1">IF(Q20&lt;&gt;"",Q20-$Y20,"")</f>
        <v>-10.227272727272727</v>
      </c>
      <c r="AU20" s="195">
        <f ca="1">IF(R20&lt;&gt;"",R20-$Y20,"")</f>
        <v>-10.227272727272727</v>
      </c>
      <c r="AV20" s="195">
        <f t="shared" ca="1" si="2"/>
        <v>-15.227272727272727</v>
      </c>
    </row>
    <row r="21" spans="1:48">
      <c r="A21" s="189">
        <v>20</v>
      </c>
      <c r="B21" s="166" t="str">
        <f>VLOOKUP($A21,Willem!$B$14:$P$89,4,0)&amp;"-"&amp;VLOOKUP($A21,Willem!$B$14:$P$89,6,0)</f>
        <v>Argentinië-  Zuid-Korea</v>
      </c>
      <c r="C21" s="341">
        <f ca="1">IF(VLOOKUP($A21,INDIRECT(C$1&amp;"!$B$14:$P$89"),15,0)&lt;&gt;"",VLOOKUP($A21,INDIRECT(C$1&amp;"!$B$14:$P$89"),15,0)+C20,"")</f>
        <v>40</v>
      </c>
      <c r="D21" s="341">
        <f ca="1">IF(VLOOKUP($A21,INDIRECT(D$1&amp;"!$B$14:$P$89"),15,0)&lt;&gt;"",VLOOKUP($A21,INDIRECT(D$1&amp;"!$B$14:$P$89"),15,0)+D20,"")</f>
        <v>50</v>
      </c>
      <c r="E21" s="341">
        <f ca="1">IF(VLOOKUP($A21,INDIRECT(E$1&amp;"!$B$14:$P$89"),15,0)&lt;&gt;"",VLOOKUP($A21,INDIRECT(E$1&amp;"!$B$14:$P$89"),15,0)+E20,"")</f>
        <v>50</v>
      </c>
      <c r="F21" s="341">
        <f ca="1">IF(VLOOKUP($A21,INDIRECT(F$1&amp;"!$B$14:$P$89"),15,0)&lt;&gt;"",VLOOKUP($A21,INDIRECT(F$1&amp;"!$B$14:$P$89"),15,0)+F20,"")</f>
        <v>70</v>
      </c>
      <c r="G21" s="341">
        <f ca="1">IF(VLOOKUP($A21,INDIRECT(G$1&amp;"!$B$14:$P$89"),15,0)&lt;&gt;"",VLOOKUP($A21,INDIRECT(G$1&amp;"!$B$14:$P$89"),15,0)+G20,"")</f>
        <v>55</v>
      </c>
      <c r="H21" s="341">
        <f ca="1">IF(VLOOKUP($A21,INDIRECT(H$1&amp;"!$B$14:$P$89"),15,0)&lt;&gt;"",VLOOKUP($A21,INDIRECT(H$1&amp;"!$B$14:$P$89"),15,0)+H20,"")</f>
        <v>70</v>
      </c>
      <c r="I21" s="341">
        <f ca="1">IF(VLOOKUP($A21,INDIRECT(I$1&amp;"!$B$14:$P$89"),15,0)&lt;&gt;"",VLOOKUP($A21,INDIRECT(I$1&amp;"!$B$14:$P$89"),15,0)+I20,"")</f>
        <v>50</v>
      </c>
      <c r="J21" s="341">
        <f ca="1">IF(VLOOKUP($A21,INDIRECT(J$1&amp;"!$B$14:$P$89"),15,0)&lt;&gt;"",VLOOKUP($A21,INDIRECT(J$1&amp;"!$B$14:$P$89"),15,0)+J20,"")</f>
        <v>65</v>
      </c>
      <c r="K21" s="341">
        <f ca="1">IF(VLOOKUP($A21,INDIRECT(K$1&amp;"!$B$14:$P$89"),15,0)&lt;&gt;"",VLOOKUP($A21,INDIRECT(K$1&amp;"!$B$14:$P$89"),15,0)+K20,"")</f>
        <v>55</v>
      </c>
      <c r="L21" s="341">
        <f ca="1">IF(VLOOKUP($A21,INDIRECT(L$1&amp;"!$B$14:$P$89"),15,0)&lt;&gt;"",VLOOKUP($A21,INDIRECT(L$1&amp;"!$B$14:$P$89"),15,0)+L20,"")</f>
        <v>70</v>
      </c>
      <c r="M21" s="341">
        <f ca="1">IF(VLOOKUP($A21,INDIRECT(M$1&amp;"!$B$14:$P$89"),15,0)&lt;&gt;"",VLOOKUP($A21,INDIRECT(M$1&amp;"!$B$14:$P$89"),15,0)+M20,"")</f>
        <v>50</v>
      </c>
      <c r="N21" s="341">
        <f ca="1">IF(VLOOKUP($A21,INDIRECT(N$1&amp;"!$B$14:$P$89"),15,0)&lt;&gt;"",VLOOKUP($A21,INDIRECT(N$1&amp;"!$B$14:$P$89"),15,0)+N20,"")</f>
        <v>45</v>
      </c>
      <c r="O21" s="341">
        <f ca="1">IF(VLOOKUP($A21,INDIRECT(O$1&amp;"!$B$14:$P$89"),15,0)&lt;&gt;"",VLOOKUP($A21,INDIRECT(O$1&amp;"!$B$14:$P$89"),15,0)+O20,"")</f>
        <v>45</v>
      </c>
      <c r="P21" s="341">
        <f ca="1">IF(VLOOKUP($A21,INDIRECT(P$1&amp;"!$B$14:$P$89"),15,0)&lt;&gt;"",VLOOKUP($A21,INDIRECT(P$1&amp;"!$B$14:$P$89"),15,0)+P20,"")</f>
        <v>80</v>
      </c>
      <c r="Q21" s="341">
        <f ca="1">IF(VLOOKUP($A21,INDIRECT(Q$1&amp;"!$B$14:$P$89"),15,0)&lt;&gt;"",VLOOKUP($A21,INDIRECT(Q$1&amp;"!$B$14:$P$89"),15,0)+Q20,"")</f>
        <v>40</v>
      </c>
      <c r="R21" s="341">
        <f ca="1">IF(VLOOKUP($A21,INDIRECT(R$1&amp;"!$B$14:$P$89"),15,0)&lt;&gt;"",VLOOKUP($A21,INDIRECT(R$1&amp;"!$B$14:$P$89"),15,0)+R20,"")</f>
        <v>45</v>
      </c>
      <c r="S21" s="341">
        <f ca="1">IF(VLOOKUP($A21,INDIRECT(S$1&amp;"!$B$14:$P$89"),15,0)&lt;&gt;"",VLOOKUP($A21,INDIRECT(S$1&amp;"!$B$14:$P$89"),15,0)+S20,"")</f>
        <v>50</v>
      </c>
      <c r="T21" s="341">
        <f ca="1">IF(VLOOKUP($A21,INDIRECT(T$1&amp;"!$B$14:$P$89"),15,0)&lt;&gt;"",VLOOKUP($A21,INDIRECT(T$1&amp;"!$B$14:$P$89"),15,0)+T20,"")</f>
        <v>70</v>
      </c>
      <c r="U21" s="341">
        <f ca="1">IF(VLOOKUP($A21,INDIRECT(U$1&amp;"!$B$14:$P$89"),15,0)&lt;&gt;"",VLOOKUP($A21,INDIRECT(U$1&amp;"!$B$14:$P$89"),15,0)+U20,"")</f>
        <v>60</v>
      </c>
      <c r="V21" s="341">
        <f ca="1">IF(VLOOKUP($A21,INDIRECT(V$1&amp;"!$B$14:$P$89"),15,0)&lt;&gt;"",VLOOKUP($A21,INDIRECT(V$1&amp;"!$B$14:$P$89"),15,0)+V20,"")</f>
        <v>55</v>
      </c>
      <c r="W21" s="341">
        <f ca="1">IF(VLOOKUP($A21,INDIRECT(W$1&amp;"!$B$14:$P$89"),15,0)&lt;&gt;"",VLOOKUP($A21,INDIRECT(W$1&amp;"!$B$14:$P$89"),15,0)+W20,"")</f>
        <v>50</v>
      </c>
      <c r="X21" s="341">
        <f ca="1">IF(VLOOKUP($A21,INDIRECT(X$1&amp;"!$B$14:$P$89"),15,0)&lt;&gt;"",VLOOKUP($A21,INDIRECT(X$1&amp;"!$B$14:$P$89"),15,0)+X20,"")</f>
        <v>40</v>
      </c>
      <c r="Y21" s="178">
        <f t="shared" ca="1" si="1"/>
        <v>54.772727272727273</v>
      </c>
      <c r="Z21" s="194">
        <f t="shared" ca="1" si="3"/>
        <v>4.5454545454545467</v>
      </c>
      <c r="AA21" s="195">
        <f ca="1">IF(C21&lt;&gt;"",C21-$Y21,"")</f>
        <v>-14.772727272727273</v>
      </c>
      <c r="AB21" s="195">
        <f ca="1">IF(D21&lt;&gt;"",D21-$Y21,"")</f>
        <v>-4.7727272727272734</v>
      </c>
      <c r="AC21" s="195">
        <f ca="1">IF(E21&lt;&gt;"",E21-$Y21,"")</f>
        <v>-4.7727272727272734</v>
      </c>
      <c r="AD21" s="195">
        <f ca="1">IF(F21&lt;&gt;"",F21-$Y21,"")</f>
        <v>15.227272727272727</v>
      </c>
      <c r="AE21" s="195">
        <f ca="1">IF(G21&lt;&gt;"",G21-$Y21,"")</f>
        <v>0.22727272727272663</v>
      </c>
      <c r="AF21" s="195">
        <f ca="1">IF(H21&lt;&gt;"",H21-$Y21,"")</f>
        <v>15.227272727272727</v>
      </c>
      <c r="AG21" s="195">
        <f ca="1">IF(I21&lt;&gt;"",I21-$Y21,"")</f>
        <v>-4.7727272727272734</v>
      </c>
      <c r="AH21" s="195">
        <f ca="1">IF(J21&lt;&gt;"",J21-$Y21,"")</f>
        <v>10.227272727272727</v>
      </c>
      <c r="AI21" s="195">
        <f ca="1">IF(K21&lt;&gt;"",K21-$Y21,"")</f>
        <v>0.22727272727272663</v>
      </c>
      <c r="AJ21" s="195">
        <f ca="1">IF(L21&lt;&gt;"",L21-$Y21,"")</f>
        <v>15.227272727272727</v>
      </c>
      <c r="AK21" s="195">
        <f ca="1">IF(M21&lt;&gt;"",M21-$Y21,"")</f>
        <v>-4.7727272727272734</v>
      </c>
      <c r="AL21" s="195">
        <f ca="1">IF(N21&lt;&gt;"",N21-$Y21,"")</f>
        <v>-9.7727272727272734</v>
      </c>
      <c r="AM21" s="195">
        <f ca="1">IF(O21&lt;&gt;"",O21-$Y21,"")</f>
        <v>-9.7727272727272734</v>
      </c>
      <c r="AN21" s="195">
        <f ca="1">IF(P21&lt;&gt;"",P21-$Y21,"")</f>
        <v>25.227272727272727</v>
      </c>
      <c r="AO21" s="195">
        <f ca="1">IF(S21&lt;&gt;"",S21-$Y21,"")</f>
        <v>-4.7727272727272734</v>
      </c>
      <c r="AP21" s="195">
        <f ca="1">IF(T21&lt;&gt;"",T21-$Y21,"")</f>
        <v>15.227272727272727</v>
      </c>
      <c r="AQ21" s="195">
        <f ca="1">IF(U21&lt;&gt;"",U21-$Y21,"")</f>
        <v>5.2272727272727266</v>
      </c>
      <c r="AR21" s="195">
        <f ca="1">IF(V21&lt;&gt;"",V21-$Y21,"")</f>
        <v>0.22727272727272663</v>
      </c>
      <c r="AS21" s="195">
        <f ca="1">IF(W21&lt;&gt;"",W21-$Y21,"")</f>
        <v>-4.7727272727272734</v>
      </c>
      <c r="AT21" s="195">
        <f ca="1">IF(Q21&lt;&gt;"",Q21-$Y21,"")</f>
        <v>-14.772727272727273</v>
      </c>
      <c r="AU21" s="195">
        <f ca="1">IF(R21&lt;&gt;"",R21-$Y21,"")</f>
        <v>-9.7727272727272734</v>
      </c>
      <c r="AV21" s="195">
        <f t="shared" ca="1" si="2"/>
        <v>-14.772727272727273</v>
      </c>
    </row>
    <row r="22" spans="1:48" ht="12.75" hidden="1" customHeight="1">
      <c r="A22" s="189">
        <v>21</v>
      </c>
      <c r="B22" s="165" t="str">
        <f>VLOOKUP($A22,Willem!$B$14:$P$89,4,0)&amp;"-"&amp;VLOOKUP($A22,Willem!$B$14:$P$89,6,0)</f>
        <v>Duitsland  -  Servië</v>
      </c>
      <c r="C22" s="340">
        <f ca="1">IF(VLOOKUP($A22,INDIRECT(C$1&amp;"!$B$14:$P$89"),15,0)&lt;&gt;"",VLOOKUP($A22,INDIRECT(C$1&amp;"!$B$14:$P$89"),15,0)+C21,"")</f>
        <v>40</v>
      </c>
      <c r="D22" s="340">
        <f ca="1">IF(VLOOKUP($A22,INDIRECT(D$1&amp;"!$B$14:$P$89"),15,0)&lt;&gt;"",VLOOKUP($A22,INDIRECT(D$1&amp;"!$B$14:$P$89"),15,0)+D21,"")</f>
        <v>50</v>
      </c>
      <c r="E22" s="340">
        <f ca="1">IF(VLOOKUP($A22,INDIRECT(E$1&amp;"!$B$14:$P$89"),15,0)&lt;&gt;"",VLOOKUP($A22,INDIRECT(E$1&amp;"!$B$14:$P$89"),15,0)+E21,"")</f>
        <v>50</v>
      </c>
      <c r="F22" s="340">
        <f ca="1">IF(VLOOKUP($A22,INDIRECT(F$1&amp;"!$B$14:$P$89"),15,0)&lt;&gt;"",VLOOKUP($A22,INDIRECT(F$1&amp;"!$B$14:$P$89"),15,0)+F21,"")</f>
        <v>70</v>
      </c>
      <c r="G22" s="340">
        <f ca="1">IF(VLOOKUP($A22,INDIRECT(G$1&amp;"!$B$14:$P$89"),15,0)&lt;&gt;"",VLOOKUP($A22,INDIRECT(G$1&amp;"!$B$14:$P$89"),15,0)+G21,"")</f>
        <v>55</v>
      </c>
      <c r="H22" s="340">
        <f ca="1">IF(VLOOKUP($A22,INDIRECT(H$1&amp;"!$B$14:$P$89"),15,0)&lt;&gt;"",VLOOKUP($A22,INDIRECT(H$1&amp;"!$B$14:$P$89"),15,0)+H21,"")</f>
        <v>70</v>
      </c>
      <c r="I22" s="340">
        <f ca="1">IF(VLOOKUP($A22,INDIRECT(I$1&amp;"!$B$14:$P$89"),15,0)&lt;&gt;"",VLOOKUP($A22,INDIRECT(I$1&amp;"!$B$14:$P$89"),15,0)+I21,"")</f>
        <v>50</v>
      </c>
      <c r="J22" s="340">
        <f ca="1">IF(VLOOKUP($A22,INDIRECT(J$1&amp;"!$B$14:$P$89"),15,0)&lt;&gt;"",VLOOKUP($A22,INDIRECT(J$1&amp;"!$B$14:$P$89"),15,0)+J21,"")</f>
        <v>65</v>
      </c>
      <c r="K22" s="340">
        <f ca="1">IF(VLOOKUP($A22,INDIRECT(K$1&amp;"!$B$14:$P$89"),15,0)&lt;&gt;"",VLOOKUP($A22,INDIRECT(K$1&amp;"!$B$14:$P$89"),15,0)+K21,"")</f>
        <v>55</v>
      </c>
      <c r="L22" s="340">
        <f ca="1">IF(VLOOKUP($A22,INDIRECT(L$1&amp;"!$B$14:$P$89"),15,0)&lt;&gt;"",VLOOKUP($A22,INDIRECT(L$1&amp;"!$B$14:$P$89"),15,0)+L21,"")</f>
        <v>70</v>
      </c>
      <c r="M22" s="340">
        <f ca="1">IF(VLOOKUP($A22,INDIRECT(M$1&amp;"!$B$14:$P$89"),15,0)&lt;&gt;"",VLOOKUP($A22,INDIRECT(M$1&amp;"!$B$14:$P$89"),15,0)+M21,"")</f>
        <v>50</v>
      </c>
      <c r="N22" s="340">
        <f ca="1">IF(VLOOKUP($A22,INDIRECT(N$1&amp;"!$B$14:$P$89"),15,0)&lt;&gt;"",VLOOKUP($A22,INDIRECT(N$1&amp;"!$B$14:$P$89"),15,0)+N21,"")</f>
        <v>50</v>
      </c>
      <c r="O22" s="340">
        <f ca="1">IF(VLOOKUP($A22,INDIRECT(O$1&amp;"!$B$14:$P$89"),15,0)&lt;&gt;"",VLOOKUP($A22,INDIRECT(O$1&amp;"!$B$14:$P$89"),15,0)+O21,"")</f>
        <v>45</v>
      </c>
      <c r="P22" s="340">
        <f ca="1">IF(VLOOKUP($A22,INDIRECT(P$1&amp;"!$B$14:$P$89"),15,0)&lt;&gt;"",VLOOKUP($A22,INDIRECT(P$1&amp;"!$B$14:$P$89"),15,0)+P21,"")</f>
        <v>80</v>
      </c>
      <c r="Q22" s="340">
        <f ca="1">IF(VLOOKUP($A22,INDIRECT(Q$1&amp;"!$B$14:$P$89"),15,0)&lt;&gt;"",VLOOKUP($A22,INDIRECT(Q$1&amp;"!$B$14:$P$89"),15,0)+Q21,"")</f>
        <v>40</v>
      </c>
      <c r="R22" s="340">
        <f ca="1">IF(VLOOKUP($A22,INDIRECT(R$1&amp;"!$B$14:$P$89"),15,0)&lt;&gt;"",VLOOKUP($A22,INDIRECT(R$1&amp;"!$B$14:$P$89"),15,0)+R21,"")</f>
        <v>45</v>
      </c>
      <c r="S22" s="340">
        <f ca="1">IF(VLOOKUP($A22,INDIRECT(S$1&amp;"!$B$14:$P$89"),15,0)&lt;&gt;"",VLOOKUP($A22,INDIRECT(S$1&amp;"!$B$14:$P$89"),15,0)+S21,"")</f>
        <v>60</v>
      </c>
      <c r="T22" s="340">
        <f ca="1">IF(VLOOKUP($A22,INDIRECT(T$1&amp;"!$B$14:$P$89"),15,0)&lt;&gt;"",VLOOKUP($A22,INDIRECT(T$1&amp;"!$B$14:$P$89"),15,0)+T21,"")</f>
        <v>70</v>
      </c>
      <c r="U22" s="340">
        <f ca="1">IF(VLOOKUP($A22,INDIRECT(U$1&amp;"!$B$14:$P$89"),15,0)&lt;&gt;"",VLOOKUP($A22,INDIRECT(U$1&amp;"!$B$14:$P$89"),15,0)+U21,"")</f>
        <v>60</v>
      </c>
      <c r="V22" s="340">
        <f ca="1">IF(VLOOKUP($A22,INDIRECT(V$1&amp;"!$B$14:$P$89"),15,0)&lt;&gt;"",VLOOKUP($A22,INDIRECT(V$1&amp;"!$B$14:$P$89"),15,0)+V21,"")</f>
        <v>55</v>
      </c>
      <c r="W22" s="340">
        <f ca="1">IF(VLOOKUP($A22,INDIRECT(W$1&amp;"!$B$14:$P$89"),15,0)&lt;&gt;"",VLOOKUP($A22,INDIRECT(W$1&amp;"!$B$14:$P$89"),15,0)+W21,"")</f>
        <v>50</v>
      </c>
      <c r="X22" s="340">
        <f ca="1">IF(VLOOKUP($A22,INDIRECT(X$1&amp;"!$B$14:$P$89"),15,0)&lt;&gt;"",VLOOKUP($A22,INDIRECT(X$1&amp;"!$B$14:$P$89"),15,0)+X21,"")</f>
        <v>40</v>
      </c>
      <c r="Y22" s="178">
        <f t="shared" ca="1" si="1"/>
        <v>55.454545454545453</v>
      </c>
      <c r="Z22" s="194">
        <f t="shared" ca="1" si="3"/>
        <v>0.68181818181817988</v>
      </c>
      <c r="AA22" s="195">
        <f ca="1">IF(C22&lt;&gt;"",C22-$Y22,"")</f>
        <v>-15.454545454545453</v>
      </c>
      <c r="AB22" s="195">
        <f ca="1">IF(D22&lt;&gt;"",D22-$Y22,"")</f>
        <v>-5.4545454545454533</v>
      </c>
      <c r="AC22" s="195">
        <f ca="1">IF(E22&lt;&gt;"",E22-$Y22,"")</f>
        <v>-5.4545454545454533</v>
      </c>
      <c r="AD22" s="195">
        <f ca="1">IF(F22&lt;&gt;"",F22-$Y22,"")</f>
        <v>14.545454545454547</v>
      </c>
      <c r="AE22" s="195">
        <f ca="1">IF(G22&lt;&gt;"",G22-$Y22,"")</f>
        <v>-0.45454545454545325</v>
      </c>
      <c r="AF22" s="195">
        <f ca="1">IF(H22&lt;&gt;"",H22-$Y22,"")</f>
        <v>14.545454545454547</v>
      </c>
      <c r="AG22" s="195">
        <f ca="1">IF(I22&lt;&gt;"",I22-$Y22,"")</f>
        <v>-5.4545454545454533</v>
      </c>
      <c r="AH22" s="195">
        <f ca="1">IF(J22&lt;&gt;"",J22-$Y22,"")</f>
        <v>9.5454545454545467</v>
      </c>
      <c r="AI22" s="195">
        <f ca="1">IF(K22&lt;&gt;"",K22-$Y22,"")</f>
        <v>-0.45454545454545325</v>
      </c>
      <c r="AJ22" s="195">
        <f ca="1">IF(L22&lt;&gt;"",L22-$Y22,"")</f>
        <v>14.545454545454547</v>
      </c>
      <c r="AK22" s="195">
        <f ca="1">IF(M22&lt;&gt;"",M22-$Y22,"")</f>
        <v>-5.4545454545454533</v>
      </c>
      <c r="AL22" s="195">
        <f ca="1">IF(N22&lt;&gt;"",N22-$Y22,"")</f>
        <v>-5.4545454545454533</v>
      </c>
      <c r="AM22" s="195">
        <f ca="1">IF(O22&lt;&gt;"",O22-$Y22,"")</f>
        <v>-10.454545454545453</v>
      </c>
      <c r="AN22" s="195">
        <f ca="1">IF(P22&lt;&gt;"",P22-$Y22,"")</f>
        <v>24.545454545454547</v>
      </c>
      <c r="AO22" s="195">
        <f ca="1">IF(S22&lt;&gt;"",S22-$Y22,"")</f>
        <v>4.5454545454545467</v>
      </c>
      <c r="AP22" s="195">
        <f ca="1">IF(T22&lt;&gt;"",T22-$Y22,"")</f>
        <v>14.545454545454547</v>
      </c>
      <c r="AQ22" s="195">
        <f ca="1">IF(U22&lt;&gt;"",U22-$Y22,"")</f>
        <v>4.5454545454545467</v>
      </c>
      <c r="AR22" s="195">
        <f ca="1">IF(V22&lt;&gt;"",V22-$Y22,"")</f>
        <v>-0.45454545454545325</v>
      </c>
      <c r="AS22" s="195">
        <f ca="1">IF(W22&lt;&gt;"",W22-$Y22,"")</f>
        <v>-5.4545454545454533</v>
      </c>
      <c r="AT22" s="195">
        <f ca="1">IF(Q22&lt;&gt;"",Q22-$Y22,"")</f>
        <v>-15.454545454545453</v>
      </c>
      <c r="AU22" s="195">
        <f ca="1">IF(R22&lt;&gt;"",R22-$Y22,"")</f>
        <v>-10.454545454545453</v>
      </c>
      <c r="AV22" s="195">
        <f t="shared" ca="1" si="2"/>
        <v>-15.454545454545453</v>
      </c>
    </row>
    <row r="23" spans="1:48" ht="12.75" hidden="1" customHeight="1">
      <c r="A23" s="189">
        <v>22</v>
      </c>
      <c r="B23" s="166" t="str">
        <f>VLOOKUP($A23,Willem!$B$14:$P$89,4,0)&amp;"-"&amp;VLOOKUP($A23,Willem!$B$14:$P$89,6,0)</f>
        <v>Slovenië-  USA</v>
      </c>
      <c r="C23" s="341">
        <f ca="1">IF(VLOOKUP($A23,INDIRECT(C$1&amp;"!$B$14:$P$89"),15,0)&lt;&gt;"",VLOOKUP($A23,INDIRECT(C$1&amp;"!$B$14:$P$89"),15,0)+C22,"")</f>
        <v>40</v>
      </c>
      <c r="D23" s="341">
        <f ca="1">IF(VLOOKUP($A23,INDIRECT(D$1&amp;"!$B$14:$P$89"),15,0)&lt;&gt;"",VLOOKUP($A23,INDIRECT(D$1&amp;"!$B$14:$P$89"),15,0)+D22,"")</f>
        <v>50</v>
      </c>
      <c r="E23" s="341">
        <f ca="1">IF(VLOOKUP($A23,INDIRECT(E$1&amp;"!$B$14:$P$89"),15,0)&lt;&gt;"",VLOOKUP($A23,INDIRECT(E$1&amp;"!$B$14:$P$89"),15,0)+E22,"")</f>
        <v>50</v>
      </c>
      <c r="F23" s="341">
        <f ca="1">IF(VLOOKUP($A23,INDIRECT(F$1&amp;"!$B$14:$P$89"),15,0)&lt;&gt;"",VLOOKUP($A23,INDIRECT(F$1&amp;"!$B$14:$P$89"),15,0)+F22,"")</f>
        <v>70</v>
      </c>
      <c r="G23" s="341">
        <f ca="1">IF(VLOOKUP($A23,INDIRECT(G$1&amp;"!$B$14:$P$89"),15,0)&lt;&gt;"",VLOOKUP($A23,INDIRECT(G$1&amp;"!$B$14:$P$89"),15,0)+G22,"")</f>
        <v>60</v>
      </c>
      <c r="H23" s="341">
        <f ca="1">IF(VLOOKUP($A23,INDIRECT(H$1&amp;"!$B$14:$P$89"),15,0)&lt;&gt;"",VLOOKUP($A23,INDIRECT(H$1&amp;"!$B$14:$P$89"),15,0)+H22,"")</f>
        <v>75</v>
      </c>
      <c r="I23" s="341">
        <f ca="1">IF(VLOOKUP($A23,INDIRECT(I$1&amp;"!$B$14:$P$89"),15,0)&lt;&gt;"",VLOOKUP($A23,INDIRECT(I$1&amp;"!$B$14:$P$89"),15,0)+I22,"")</f>
        <v>50</v>
      </c>
      <c r="J23" s="341">
        <f ca="1">IF(VLOOKUP($A23,INDIRECT(J$1&amp;"!$B$14:$P$89"),15,0)&lt;&gt;"",VLOOKUP($A23,INDIRECT(J$1&amp;"!$B$14:$P$89"),15,0)+J22,"")</f>
        <v>65</v>
      </c>
      <c r="K23" s="341">
        <f ca="1">IF(VLOOKUP($A23,INDIRECT(K$1&amp;"!$B$14:$P$89"),15,0)&lt;&gt;"",VLOOKUP($A23,INDIRECT(K$1&amp;"!$B$14:$P$89"),15,0)+K22,"")</f>
        <v>60</v>
      </c>
      <c r="L23" s="341">
        <f ca="1">IF(VLOOKUP($A23,INDIRECT(L$1&amp;"!$B$14:$P$89"),15,0)&lt;&gt;"",VLOOKUP($A23,INDIRECT(L$1&amp;"!$B$14:$P$89"),15,0)+L22,"")</f>
        <v>70</v>
      </c>
      <c r="M23" s="341">
        <f ca="1">IF(VLOOKUP($A23,INDIRECT(M$1&amp;"!$B$14:$P$89"),15,0)&lt;&gt;"",VLOOKUP($A23,INDIRECT(M$1&amp;"!$B$14:$P$89"),15,0)+M22,"")</f>
        <v>55</v>
      </c>
      <c r="N23" s="341">
        <f ca="1">IF(VLOOKUP($A23,INDIRECT(N$1&amp;"!$B$14:$P$89"),15,0)&lt;&gt;"",VLOOKUP($A23,INDIRECT(N$1&amp;"!$B$14:$P$89"),15,0)+N22,"")</f>
        <v>50</v>
      </c>
      <c r="O23" s="341">
        <f ca="1">IF(VLOOKUP($A23,INDIRECT(O$1&amp;"!$B$14:$P$89"),15,0)&lt;&gt;"",VLOOKUP($A23,INDIRECT(O$1&amp;"!$B$14:$P$89"),15,0)+O22,"")</f>
        <v>45</v>
      </c>
      <c r="P23" s="341">
        <f ca="1">IF(VLOOKUP($A23,INDIRECT(P$1&amp;"!$B$14:$P$89"),15,0)&lt;&gt;"",VLOOKUP($A23,INDIRECT(P$1&amp;"!$B$14:$P$89"),15,0)+P22,"")</f>
        <v>80</v>
      </c>
      <c r="Q23" s="341">
        <f ca="1">IF(VLOOKUP($A23,INDIRECT(Q$1&amp;"!$B$14:$P$89"),15,0)&lt;&gt;"",VLOOKUP($A23,INDIRECT(Q$1&amp;"!$B$14:$P$89"),15,0)+Q22,"")</f>
        <v>40</v>
      </c>
      <c r="R23" s="341">
        <f ca="1">IF(VLOOKUP($A23,INDIRECT(R$1&amp;"!$B$14:$P$89"),15,0)&lt;&gt;"",VLOOKUP($A23,INDIRECT(R$1&amp;"!$B$14:$P$89"),15,0)+R22,"")</f>
        <v>50</v>
      </c>
      <c r="S23" s="341">
        <f ca="1">IF(VLOOKUP($A23,INDIRECT(S$1&amp;"!$B$14:$P$89"),15,0)&lt;&gt;"",VLOOKUP($A23,INDIRECT(S$1&amp;"!$B$14:$P$89"),15,0)+S22,"")</f>
        <v>60</v>
      </c>
      <c r="T23" s="341">
        <f ca="1">IF(VLOOKUP($A23,INDIRECT(T$1&amp;"!$B$14:$P$89"),15,0)&lt;&gt;"",VLOOKUP($A23,INDIRECT(T$1&amp;"!$B$14:$P$89"),15,0)+T22,"")</f>
        <v>70</v>
      </c>
      <c r="U23" s="341">
        <f ca="1">IF(VLOOKUP($A23,INDIRECT(U$1&amp;"!$B$14:$P$89"),15,0)&lt;&gt;"",VLOOKUP($A23,INDIRECT(U$1&amp;"!$B$14:$P$89"),15,0)+U22,"")</f>
        <v>60</v>
      </c>
      <c r="V23" s="341">
        <f ca="1">IF(VLOOKUP($A23,INDIRECT(V$1&amp;"!$B$14:$P$89"),15,0)&lt;&gt;"",VLOOKUP($A23,INDIRECT(V$1&amp;"!$B$14:$P$89"),15,0)+V22,"")</f>
        <v>55</v>
      </c>
      <c r="W23" s="341">
        <f ca="1">IF(VLOOKUP($A23,INDIRECT(W$1&amp;"!$B$14:$P$89"),15,0)&lt;&gt;"",VLOOKUP($A23,INDIRECT(W$1&amp;"!$B$14:$P$89"),15,0)+W22,"")</f>
        <v>55</v>
      </c>
      <c r="X23" s="341">
        <f ca="1">IF(VLOOKUP($A23,INDIRECT(X$1&amp;"!$B$14:$P$89"),15,0)&lt;&gt;"",VLOOKUP($A23,INDIRECT(X$1&amp;"!$B$14:$P$89"),15,0)+X22,"")</f>
        <v>45</v>
      </c>
      <c r="Y23" s="178">
        <f t="shared" ca="1" si="1"/>
        <v>57.045454545454547</v>
      </c>
      <c r="Z23" s="194">
        <f t="shared" ca="1" si="3"/>
        <v>1.5909090909090935</v>
      </c>
      <c r="AA23" s="195">
        <f ca="1">IF(C23&lt;&gt;"",C23-$Y23,"")</f>
        <v>-17.045454545454547</v>
      </c>
      <c r="AB23" s="195">
        <f ca="1">IF(D23&lt;&gt;"",D23-$Y23,"")</f>
        <v>-7.0454545454545467</v>
      </c>
      <c r="AC23" s="195">
        <f ca="1">IF(E23&lt;&gt;"",E23-$Y23,"")</f>
        <v>-7.0454545454545467</v>
      </c>
      <c r="AD23" s="195">
        <f ca="1">IF(F23&lt;&gt;"",F23-$Y23,"")</f>
        <v>12.954545454545453</v>
      </c>
      <c r="AE23" s="195">
        <f ca="1">IF(G23&lt;&gt;"",G23-$Y23,"")</f>
        <v>2.9545454545454533</v>
      </c>
      <c r="AF23" s="195">
        <f ca="1">IF(H23&lt;&gt;"",H23-$Y23,"")</f>
        <v>17.954545454545453</v>
      </c>
      <c r="AG23" s="195">
        <f ca="1">IF(I23&lt;&gt;"",I23-$Y23,"")</f>
        <v>-7.0454545454545467</v>
      </c>
      <c r="AH23" s="195">
        <f ca="1">IF(J23&lt;&gt;"",J23-$Y23,"")</f>
        <v>7.9545454545454533</v>
      </c>
      <c r="AI23" s="195">
        <f ca="1">IF(K23&lt;&gt;"",K23-$Y23,"")</f>
        <v>2.9545454545454533</v>
      </c>
      <c r="AJ23" s="195">
        <f ca="1">IF(L23&lt;&gt;"",L23-$Y23,"")</f>
        <v>12.954545454545453</v>
      </c>
      <c r="AK23" s="195">
        <f ca="1">IF(M23&lt;&gt;"",M23-$Y23,"")</f>
        <v>-2.0454545454545467</v>
      </c>
      <c r="AL23" s="195">
        <f ca="1">IF(N23&lt;&gt;"",N23-$Y23,"")</f>
        <v>-7.0454545454545467</v>
      </c>
      <c r="AM23" s="195">
        <f ca="1">IF(O23&lt;&gt;"",O23-$Y23,"")</f>
        <v>-12.045454545454547</v>
      </c>
      <c r="AN23" s="195">
        <f ca="1">IF(P23&lt;&gt;"",P23-$Y23,"")</f>
        <v>22.954545454545453</v>
      </c>
      <c r="AO23" s="195">
        <f ca="1">IF(S23&lt;&gt;"",S23-$Y23,"")</f>
        <v>2.9545454545454533</v>
      </c>
      <c r="AP23" s="195">
        <f ca="1">IF(T23&lt;&gt;"",T23-$Y23,"")</f>
        <v>12.954545454545453</v>
      </c>
      <c r="AQ23" s="195">
        <f ca="1">IF(U23&lt;&gt;"",U23-$Y23,"")</f>
        <v>2.9545454545454533</v>
      </c>
      <c r="AR23" s="195">
        <f ca="1">IF(V23&lt;&gt;"",V23-$Y23,"")</f>
        <v>-2.0454545454545467</v>
      </c>
      <c r="AS23" s="195">
        <f ca="1">IF(W23&lt;&gt;"",W23-$Y23,"")</f>
        <v>-2.0454545454545467</v>
      </c>
      <c r="AT23" s="195">
        <f ca="1">IF(Q23&lt;&gt;"",Q23-$Y23,"")</f>
        <v>-17.045454545454547</v>
      </c>
      <c r="AU23" s="195">
        <f ca="1">IF(R23&lt;&gt;"",R23-$Y23,"")</f>
        <v>-7.0454545454545467</v>
      </c>
      <c r="AV23" s="195">
        <f t="shared" ca="1" si="2"/>
        <v>-12.045454545454547</v>
      </c>
    </row>
    <row r="24" spans="1:48" ht="12.75" hidden="1" customHeight="1">
      <c r="A24" s="189">
        <v>23</v>
      </c>
      <c r="B24" s="165" t="str">
        <f>VLOOKUP($A24,Willem!$B$14:$P$89,4,0)&amp;"-"&amp;VLOOKUP($A24,Willem!$B$14:$P$89,6,0)</f>
        <v>Engeland-  Algerije</v>
      </c>
      <c r="C24" s="340">
        <f ca="1">IF(VLOOKUP($A24,INDIRECT(C$1&amp;"!$B$14:$P$89"),15,0)&lt;&gt;"",VLOOKUP($A24,INDIRECT(C$1&amp;"!$B$14:$P$89"),15,0)+C23,"")</f>
        <v>40</v>
      </c>
      <c r="D24" s="340">
        <f ca="1">IF(VLOOKUP($A24,INDIRECT(D$1&amp;"!$B$14:$P$89"),15,0)&lt;&gt;"",VLOOKUP($A24,INDIRECT(D$1&amp;"!$B$14:$P$89"),15,0)+D23,"")</f>
        <v>50</v>
      </c>
      <c r="E24" s="340">
        <f ca="1">IF(VLOOKUP($A24,INDIRECT(E$1&amp;"!$B$14:$P$89"),15,0)&lt;&gt;"",VLOOKUP($A24,INDIRECT(E$1&amp;"!$B$14:$P$89"),15,0)+E23,"")</f>
        <v>50</v>
      </c>
      <c r="F24" s="340">
        <f ca="1">IF(VLOOKUP($A24,INDIRECT(F$1&amp;"!$B$14:$P$89"),15,0)&lt;&gt;"",VLOOKUP($A24,INDIRECT(F$1&amp;"!$B$14:$P$89"),15,0)+F23,"")</f>
        <v>75</v>
      </c>
      <c r="G24" s="340">
        <f ca="1">IF(VLOOKUP($A24,INDIRECT(G$1&amp;"!$B$14:$P$89"),15,0)&lt;&gt;"",VLOOKUP($A24,INDIRECT(G$1&amp;"!$B$14:$P$89"),15,0)+G23,"")</f>
        <v>60</v>
      </c>
      <c r="H24" s="340">
        <f ca="1">IF(VLOOKUP($A24,INDIRECT(H$1&amp;"!$B$14:$P$89"),15,0)&lt;&gt;"",VLOOKUP($A24,INDIRECT(H$1&amp;"!$B$14:$P$89"),15,0)+H23,"")</f>
        <v>75</v>
      </c>
      <c r="I24" s="340">
        <f ca="1">IF(VLOOKUP($A24,INDIRECT(I$1&amp;"!$B$14:$P$89"),15,0)&lt;&gt;"",VLOOKUP($A24,INDIRECT(I$1&amp;"!$B$14:$P$89"),15,0)+I23,"")</f>
        <v>50</v>
      </c>
      <c r="J24" s="340">
        <f ca="1">IF(VLOOKUP($A24,INDIRECT(J$1&amp;"!$B$14:$P$89"),15,0)&lt;&gt;"",VLOOKUP($A24,INDIRECT(J$1&amp;"!$B$14:$P$89"),15,0)+J23,"")</f>
        <v>65</v>
      </c>
      <c r="K24" s="340">
        <f ca="1">IF(VLOOKUP($A24,INDIRECT(K$1&amp;"!$B$14:$P$89"),15,0)&lt;&gt;"",VLOOKUP($A24,INDIRECT(K$1&amp;"!$B$14:$P$89"),15,0)+K23,"")</f>
        <v>60</v>
      </c>
      <c r="L24" s="340">
        <f ca="1">IF(VLOOKUP($A24,INDIRECT(L$1&amp;"!$B$14:$P$89"),15,0)&lt;&gt;"",VLOOKUP($A24,INDIRECT(L$1&amp;"!$B$14:$P$89"),15,0)+L23,"")</f>
        <v>70</v>
      </c>
      <c r="M24" s="340">
        <f ca="1">IF(VLOOKUP($A24,INDIRECT(M$1&amp;"!$B$14:$P$89"),15,0)&lt;&gt;"",VLOOKUP($A24,INDIRECT(M$1&amp;"!$B$14:$P$89"),15,0)+M23,"")</f>
        <v>55</v>
      </c>
      <c r="N24" s="340">
        <f ca="1">IF(VLOOKUP($A24,INDIRECT(N$1&amp;"!$B$14:$P$89"),15,0)&lt;&gt;"",VLOOKUP($A24,INDIRECT(N$1&amp;"!$B$14:$P$89"),15,0)+N23,"")</f>
        <v>50</v>
      </c>
      <c r="O24" s="340">
        <f ca="1">IF(VLOOKUP($A24,INDIRECT(O$1&amp;"!$B$14:$P$89"),15,0)&lt;&gt;"",VLOOKUP($A24,INDIRECT(O$1&amp;"!$B$14:$P$89"),15,0)+O23,"")</f>
        <v>50</v>
      </c>
      <c r="P24" s="340">
        <f ca="1">IF(VLOOKUP($A24,INDIRECT(P$1&amp;"!$B$14:$P$89"),15,0)&lt;&gt;"",VLOOKUP($A24,INDIRECT(P$1&amp;"!$B$14:$P$89"),15,0)+P23,"")</f>
        <v>80</v>
      </c>
      <c r="Q24" s="340">
        <f ca="1">IF(VLOOKUP($A24,INDIRECT(Q$1&amp;"!$B$14:$P$89"),15,0)&lt;&gt;"",VLOOKUP($A24,INDIRECT(Q$1&amp;"!$B$14:$P$89"),15,0)+Q23,"")</f>
        <v>40</v>
      </c>
      <c r="R24" s="340">
        <f ca="1">IF(VLOOKUP($A24,INDIRECT(R$1&amp;"!$B$14:$P$89"),15,0)&lt;&gt;"",VLOOKUP($A24,INDIRECT(R$1&amp;"!$B$14:$P$89"),15,0)+R23,"")</f>
        <v>50</v>
      </c>
      <c r="S24" s="340">
        <f ca="1">IF(VLOOKUP($A24,INDIRECT(S$1&amp;"!$B$14:$P$89"),15,0)&lt;&gt;"",VLOOKUP($A24,INDIRECT(S$1&amp;"!$B$14:$P$89"),15,0)+S23,"")</f>
        <v>60</v>
      </c>
      <c r="T24" s="340">
        <f ca="1">IF(VLOOKUP($A24,INDIRECT(T$1&amp;"!$B$14:$P$89"),15,0)&lt;&gt;"",VLOOKUP($A24,INDIRECT(T$1&amp;"!$B$14:$P$89"),15,0)+T23,"")</f>
        <v>70</v>
      </c>
      <c r="U24" s="340">
        <f ca="1">IF(VLOOKUP($A24,INDIRECT(U$1&amp;"!$B$14:$P$89"),15,0)&lt;&gt;"",VLOOKUP($A24,INDIRECT(U$1&amp;"!$B$14:$P$89"),15,0)+U23,"")</f>
        <v>60</v>
      </c>
      <c r="V24" s="340">
        <f ca="1">IF(VLOOKUP($A24,INDIRECT(V$1&amp;"!$B$14:$P$89"),15,0)&lt;&gt;"",VLOOKUP($A24,INDIRECT(V$1&amp;"!$B$14:$P$89"),15,0)+V23,"")</f>
        <v>55</v>
      </c>
      <c r="W24" s="340">
        <f ca="1">IF(VLOOKUP($A24,INDIRECT(W$1&amp;"!$B$14:$P$89"),15,0)&lt;&gt;"",VLOOKUP($A24,INDIRECT(W$1&amp;"!$B$14:$P$89"),15,0)+W23,"")</f>
        <v>55</v>
      </c>
      <c r="X24" s="340">
        <f ca="1">IF(VLOOKUP($A24,INDIRECT(X$1&amp;"!$B$14:$P$89"),15,0)&lt;&gt;"",VLOOKUP($A24,INDIRECT(X$1&amp;"!$B$14:$P$89"),15,0)+X23,"")</f>
        <v>45</v>
      </c>
      <c r="Y24" s="178">
        <f t="shared" ca="1" si="1"/>
        <v>57.5</v>
      </c>
      <c r="Z24" s="194">
        <f t="shared" ca="1" si="3"/>
        <v>0.45454545454545325</v>
      </c>
      <c r="AA24" s="195">
        <f ca="1">IF(C24&lt;&gt;"",C24-$Y24,"")</f>
        <v>-17.5</v>
      </c>
      <c r="AB24" s="195">
        <f ca="1">IF(D24&lt;&gt;"",D24-$Y24,"")</f>
        <v>-7.5</v>
      </c>
      <c r="AC24" s="195">
        <f ca="1">IF(E24&lt;&gt;"",E24-$Y24,"")</f>
        <v>-7.5</v>
      </c>
      <c r="AD24" s="195">
        <f ca="1">IF(F24&lt;&gt;"",F24-$Y24,"")</f>
        <v>17.5</v>
      </c>
      <c r="AE24" s="195">
        <f ca="1">IF(G24&lt;&gt;"",G24-$Y24,"")</f>
        <v>2.5</v>
      </c>
      <c r="AF24" s="195">
        <f ca="1">IF(H24&lt;&gt;"",H24-$Y24,"")</f>
        <v>17.5</v>
      </c>
      <c r="AG24" s="195">
        <f ca="1">IF(I24&lt;&gt;"",I24-$Y24,"")</f>
        <v>-7.5</v>
      </c>
      <c r="AH24" s="195">
        <f ca="1">IF(J24&lt;&gt;"",J24-$Y24,"")</f>
        <v>7.5</v>
      </c>
      <c r="AI24" s="195">
        <f ca="1">IF(K24&lt;&gt;"",K24-$Y24,"")</f>
        <v>2.5</v>
      </c>
      <c r="AJ24" s="195">
        <f ca="1">IF(L24&lt;&gt;"",L24-$Y24,"")</f>
        <v>12.5</v>
      </c>
      <c r="AK24" s="195">
        <f ca="1">IF(M24&lt;&gt;"",M24-$Y24,"")</f>
        <v>-2.5</v>
      </c>
      <c r="AL24" s="195">
        <f ca="1">IF(N24&lt;&gt;"",N24-$Y24,"")</f>
        <v>-7.5</v>
      </c>
      <c r="AM24" s="195">
        <f ca="1">IF(O24&lt;&gt;"",O24-$Y24,"")</f>
        <v>-7.5</v>
      </c>
      <c r="AN24" s="195">
        <f ca="1">IF(P24&lt;&gt;"",P24-$Y24,"")</f>
        <v>22.5</v>
      </c>
      <c r="AO24" s="195">
        <f ca="1">IF(S24&lt;&gt;"",S24-$Y24,"")</f>
        <v>2.5</v>
      </c>
      <c r="AP24" s="195">
        <f ca="1">IF(T24&lt;&gt;"",T24-$Y24,"")</f>
        <v>12.5</v>
      </c>
      <c r="AQ24" s="195">
        <f ca="1">IF(U24&lt;&gt;"",U24-$Y24,"")</f>
        <v>2.5</v>
      </c>
      <c r="AR24" s="195">
        <f ca="1">IF(V24&lt;&gt;"",V24-$Y24,"")</f>
        <v>-2.5</v>
      </c>
      <c r="AS24" s="195">
        <f ca="1">IF(W24&lt;&gt;"",W24-$Y24,"")</f>
        <v>-2.5</v>
      </c>
      <c r="AT24" s="195">
        <f ca="1">IF(Q24&lt;&gt;"",Q24-$Y24,"")</f>
        <v>-17.5</v>
      </c>
      <c r="AU24" s="195">
        <f ca="1">IF(R24&lt;&gt;"",R24-$Y24,"")</f>
        <v>-7.5</v>
      </c>
      <c r="AV24" s="195">
        <f t="shared" ca="1" si="2"/>
        <v>-12.5</v>
      </c>
    </row>
    <row r="25" spans="1:48">
      <c r="A25" s="189">
        <v>24</v>
      </c>
      <c r="B25" s="166" t="str">
        <f>VLOOKUP($A25,Willem!$B$14:$P$89,4,0)&amp;"-"&amp;VLOOKUP($A25,Willem!$B$14:$P$89,6,0)</f>
        <v>Ghana  -  Australië</v>
      </c>
      <c r="C25" s="341">
        <f ca="1">IF(VLOOKUP($A25,INDIRECT(C$1&amp;"!$B$14:$P$89"),15,0)&lt;&gt;"",VLOOKUP($A25,INDIRECT(C$1&amp;"!$B$14:$P$89"),15,0)+C24,"")</f>
        <v>50</v>
      </c>
      <c r="D25" s="341">
        <f ca="1">IF(VLOOKUP($A25,INDIRECT(D$1&amp;"!$B$14:$P$89"),15,0)&lt;&gt;"",VLOOKUP($A25,INDIRECT(D$1&amp;"!$B$14:$P$89"),15,0)+D24,"")</f>
        <v>50</v>
      </c>
      <c r="E25" s="341">
        <f ca="1">IF(VLOOKUP($A25,INDIRECT(E$1&amp;"!$B$14:$P$89"),15,0)&lt;&gt;"",VLOOKUP($A25,INDIRECT(E$1&amp;"!$B$14:$P$89"),15,0)+E24,"")</f>
        <v>55</v>
      </c>
      <c r="F25" s="341">
        <f ca="1">IF(VLOOKUP($A25,INDIRECT(F$1&amp;"!$B$14:$P$89"),15,0)&lt;&gt;"",VLOOKUP($A25,INDIRECT(F$1&amp;"!$B$14:$P$89"),15,0)+F24,"")</f>
        <v>85</v>
      </c>
      <c r="G25" s="341">
        <f ca="1">IF(VLOOKUP($A25,INDIRECT(G$1&amp;"!$B$14:$P$89"),15,0)&lt;&gt;"",VLOOKUP($A25,INDIRECT(G$1&amp;"!$B$14:$P$89"),15,0)+G24,"")</f>
        <v>65</v>
      </c>
      <c r="H25" s="341">
        <f ca="1">IF(VLOOKUP($A25,INDIRECT(H$1&amp;"!$B$14:$P$89"),15,0)&lt;&gt;"",VLOOKUP($A25,INDIRECT(H$1&amp;"!$B$14:$P$89"),15,0)+H24,"")</f>
        <v>75</v>
      </c>
      <c r="I25" s="341">
        <f ca="1">IF(VLOOKUP($A25,INDIRECT(I$1&amp;"!$B$14:$P$89"),15,0)&lt;&gt;"",VLOOKUP($A25,INDIRECT(I$1&amp;"!$B$14:$P$89"),15,0)+I24,"")</f>
        <v>50</v>
      </c>
      <c r="J25" s="341">
        <f ca="1">IF(VLOOKUP($A25,INDIRECT(J$1&amp;"!$B$14:$P$89"),15,0)&lt;&gt;"",VLOOKUP($A25,INDIRECT(J$1&amp;"!$B$14:$P$89"),15,0)+J24,"")</f>
        <v>65</v>
      </c>
      <c r="K25" s="341">
        <f ca="1">IF(VLOOKUP($A25,INDIRECT(K$1&amp;"!$B$14:$P$89"),15,0)&lt;&gt;"",VLOOKUP($A25,INDIRECT(K$1&amp;"!$B$14:$P$89"),15,0)+K24,"")</f>
        <v>70</v>
      </c>
      <c r="L25" s="341">
        <f ca="1">IF(VLOOKUP($A25,INDIRECT(L$1&amp;"!$B$14:$P$89"),15,0)&lt;&gt;"",VLOOKUP($A25,INDIRECT(L$1&amp;"!$B$14:$P$89"),15,0)+L24,"")</f>
        <v>70</v>
      </c>
      <c r="M25" s="341">
        <f ca="1">IF(VLOOKUP($A25,INDIRECT(M$1&amp;"!$B$14:$P$89"),15,0)&lt;&gt;"",VLOOKUP($A25,INDIRECT(M$1&amp;"!$B$14:$P$89"),15,0)+M24,"")</f>
        <v>55</v>
      </c>
      <c r="N25" s="341">
        <f ca="1">IF(VLOOKUP($A25,INDIRECT(N$1&amp;"!$B$14:$P$89"),15,0)&lt;&gt;"",VLOOKUP($A25,INDIRECT(N$1&amp;"!$B$14:$P$89"),15,0)+N24,"")</f>
        <v>50</v>
      </c>
      <c r="O25" s="341">
        <f ca="1">IF(VLOOKUP($A25,INDIRECT(O$1&amp;"!$B$14:$P$89"),15,0)&lt;&gt;"",VLOOKUP($A25,INDIRECT(O$1&amp;"!$B$14:$P$89"),15,0)+O24,"")</f>
        <v>50</v>
      </c>
      <c r="P25" s="341">
        <f ca="1">IF(VLOOKUP($A25,INDIRECT(P$1&amp;"!$B$14:$P$89"),15,0)&lt;&gt;"",VLOOKUP($A25,INDIRECT(P$1&amp;"!$B$14:$P$89"),15,0)+P24,"")</f>
        <v>80</v>
      </c>
      <c r="Q25" s="341">
        <f ca="1">IF(VLOOKUP($A25,INDIRECT(Q$1&amp;"!$B$14:$P$89"),15,0)&lt;&gt;"",VLOOKUP($A25,INDIRECT(Q$1&amp;"!$B$14:$P$89"),15,0)+Q24,"")</f>
        <v>40</v>
      </c>
      <c r="R25" s="341">
        <f ca="1">IF(VLOOKUP($A25,INDIRECT(R$1&amp;"!$B$14:$P$89"),15,0)&lt;&gt;"",VLOOKUP($A25,INDIRECT(R$1&amp;"!$B$14:$P$89"),15,0)+R24,"")</f>
        <v>50</v>
      </c>
      <c r="S25" s="341">
        <f ca="1">IF(VLOOKUP($A25,INDIRECT(S$1&amp;"!$B$14:$P$89"),15,0)&lt;&gt;"",VLOOKUP($A25,INDIRECT(S$1&amp;"!$B$14:$P$89"),15,0)+S24,"")</f>
        <v>60</v>
      </c>
      <c r="T25" s="341">
        <f ca="1">IF(VLOOKUP($A25,INDIRECT(T$1&amp;"!$B$14:$P$89"),15,0)&lt;&gt;"",VLOOKUP($A25,INDIRECT(T$1&amp;"!$B$14:$P$89"),15,0)+T24,"")</f>
        <v>70</v>
      </c>
      <c r="U25" s="341">
        <f ca="1">IF(VLOOKUP($A25,INDIRECT(U$1&amp;"!$B$14:$P$89"),15,0)&lt;&gt;"",VLOOKUP($A25,INDIRECT(U$1&amp;"!$B$14:$P$89"),15,0)+U24,"")</f>
        <v>60</v>
      </c>
      <c r="V25" s="341">
        <f ca="1">IF(VLOOKUP($A25,INDIRECT(V$1&amp;"!$B$14:$P$89"),15,0)&lt;&gt;"",VLOOKUP($A25,INDIRECT(V$1&amp;"!$B$14:$P$89"),15,0)+V24,"")</f>
        <v>55</v>
      </c>
      <c r="W25" s="341">
        <f ca="1">IF(VLOOKUP($A25,INDIRECT(W$1&amp;"!$B$14:$P$89"),15,0)&lt;&gt;"",VLOOKUP($A25,INDIRECT(W$1&amp;"!$B$14:$P$89"),15,0)+W24,"")</f>
        <v>55</v>
      </c>
      <c r="X25" s="341">
        <f ca="1">IF(VLOOKUP($A25,INDIRECT(X$1&amp;"!$B$14:$P$89"),15,0)&lt;&gt;"",VLOOKUP($A25,INDIRECT(X$1&amp;"!$B$14:$P$89"),15,0)+X24,"")</f>
        <v>45</v>
      </c>
      <c r="Y25" s="178">
        <f t="shared" ca="1" si="1"/>
        <v>59.31818181818182</v>
      </c>
      <c r="Z25" s="194">
        <f t="shared" ca="1" si="3"/>
        <v>1.8181818181818201</v>
      </c>
      <c r="AA25" s="195">
        <f ca="1">IF(C25&lt;&gt;"",C25-$Y25,"")</f>
        <v>-9.3181818181818201</v>
      </c>
      <c r="AB25" s="195">
        <f ca="1">IF(D25&lt;&gt;"",D25-$Y25,"")</f>
        <v>-9.3181818181818201</v>
      </c>
      <c r="AC25" s="195">
        <f ca="1">IF(E25&lt;&gt;"",E25-$Y25,"")</f>
        <v>-4.3181818181818201</v>
      </c>
      <c r="AD25" s="195">
        <f ca="1">IF(F25&lt;&gt;"",F25-$Y25,"")</f>
        <v>25.68181818181818</v>
      </c>
      <c r="AE25" s="195">
        <f ca="1">IF(G25&lt;&gt;"",G25-$Y25,"")</f>
        <v>5.6818181818181799</v>
      </c>
      <c r="AF25" s="195">
        <f ca="1">IF(H25&lt;&gt;"",H25-$Y25,"")</f>
        <v>15.68181818181818</v>
      </c>
      <c r="AG25" s="195">
        <f ca="1">IF(I25&lt;&gt;"",I25-$Y25,"")</f>
        <v>-9.3181818181818201</v>
      </c>
      <c r="AH25" s="195">
        <f ca="1">IF(J25&lt;&gt;"",J25-$Y25,"")</f>
        <v>5.6818181818181799</v>
      </c>
      <c r="AI25" s="195">
        <f ca="1">IF(K25&lt;&gt;"",K25-$Y25,"")</f>
        <v>10.68181818181818</v>
      </c>
      <c r="AJ25" s="195">
        <f ca="1">IF(L25&lt;&gt;"",L25-$Y25,"")</f>
        <v>10.68181818181818</v>
      </c>
      <c r="AK25" s="195">
        <f ca="1">IF(M25&lt;&gt;"",M25-$Y25,"")</f>
        <v>-4.3181818181818201</v>
      </c>
      <c r="AL25" s="195">
        <f ca="1">IF(N25&lt;&gt;"",N25-$Y25,"")</f>
        <v>-9.3181818181818201</v>
      </c>
      <c r="AM25" s="195">
        <f ca="1">IF(O25&lt;&gt;"",O25-$Y25,"")</f>
        <v>-9.3181818181818201</v>
      </c>
      <c r="AN25" s="195">
        <f ca="1">IF(P25&lt;&gt;"",P25-$Y25,"")</f>
        <v>20.68181818181818</v>
      </c>
      <c r="AO25" s="195">
        <f ca="1">IF(S25&lt;&gt;"",S25-$Y25,"")</f>
        <v>0.68181818181817988</v>
      </c>
      <c r="AP25" s="195">
        <f ca="1">IF(T25&lt;&gt;"",T25-$Y25,"")</f>
        <v>10.68181818181818</v>
      </c>
      <c r="AQ25" s="195">
        <f ca="1">IF(U25&lt;&gt;"",U25-$Y25,"")</f>
        <v>0.68181818181817988</v>
      </c>
      <c r="AR25" s="195">
        <f ca="1">IF(V25&lt;&gt;"",V25-$Y25,"")</f>
        <v>-4.3181818181818201</v>
      </c>
      <c r="AS25" s="195">
        <f ca="1">IF(W25&lt;&gt;"",W25-$Y25,"")</f>
        <v>-4.3181818181818201</v>
      </c>
      <c r="AT25" s="195">
        <f ca="1">IF(Q25&lt;&gt;"",Q25-$Y25,"")</f>
        <v>-19.31818181818182</v>
      </c>
      <c r="AU25" s="195">
        <f ca="1">IF(R25&lt;&gt;"",R25-$Y25,"")</f>
        <v>-9.3181818181818201</v>
      </c>
      <c r="AV25" s="195">
        <f t="shared" ca="1" si="2"/>
        <v>-14.31818181818182</v>
      </c>
    </row>
    <row r="26" spans="1:48" hidden="1">
      <c r="A26" s="189">
        <v>25</v>
      </c>
      <c r="B26" s="165" t="str">
        <f>VLOOKUP($A26,Willem!$B$14:$P$89,4,0)&amp;"-"&amp;VLOOKUP($A26,Willem!$B$14:$P$89,6,0)</f>
        <v>Nederland  -  Japan</v>
      </c>
      <c r="C26" s="340">
        <f ca="1">IF(VLOOKUP($A26,INDIRECT(C$1&amp;"!$B$14:$P$89"),15,0)&lt;&gt;"",VLOOKUP($A26,INDIRECT(C$1&amp;"!$B$14:$P$89"),15,0)+C25,"")</f>
        <v>55</v>
      </c>
      <c r="D26" s="340">
        <f ca="1">IF(VLOOKUP($A26,INDIRECT(D$1&amp;"!$B$14:$P$89"),15,0)&lt;&gt;"",VLOOKUP($A26,INDIRECT(D$1&amp;"!$B$14:$P$89"),15,0)+D25,"")</f>
        <v>55</v>
      </c>
      <c r="E26" s="340">
        <f ca="1">IF(VLOOKUP($A26,INDIRECT(E$1&amp;"!$B$14:$P$89"),15,0)&lt;&gt;"",VLOOKUP($A26,INDIRECT(E$1&amp;"!$B$14:$P$89"),15,0)+E25,"")</f>
        <v>60</v>
      </c>
      <c r="F26" s="340">
        <f ca="1">IF(VLOOKUP($A26,INDIRECT(F$1&amp;"!$B$14:$P$89"),15,0)&lt;&gt;"",VLOOKUP($A26,INDIRECT(F$1&amp;"!$B$14:$P$89"),15,0)+F25,"")</f>
        <v>90</v>
      </c>
      <c r="G26" s="340">
        <f ca="1">IF(VLOOKUP($A26,INDIRECT(G$1&amp;"!$B$14:$P$89"),15,0)&lt;&gt;"",VLOOKUP($A26,INDIRECT(G$1&amp;"!$B$14:$P$89"),15,0)+G25,"")</f>
        <v>70</v>
      </c>
      <c r="H26" s="340">
        <f ca="1">IF(VLOOKUP($A26,INDIRECT(H$1&amp;"!$B$14:$P$89"),15,0)&lt;&gt;"",VLOOKUP($A26,INDIRECT(H$1&amp;"!$B$14:$P$89"),15,0)+H25,"")</f>
        <v>80</v>
      </c>
      <c r="I26" s="340">
        <f ca="1">IF(VLOOKUP($A26,INDIRECT(I$1&amp;"!$B$14:$P$89"),15,0)&lt;&gt;"",VLOOKUP($A26,INDIRECT(I$1&amp;"!$B$14:$P$89"),15,0)+I25,"")</f>
        <v>55</v>
      </c>
      <c r="J26" s="340">
        <f ca="1">IF(VLOOKUP($A26,INDIRECT(J$1&amp;"!$B$14:$P$89"),15,0)&lt;&gt;"",VLOOKUP($A26,INDIRECT(J$1&amp;"!$B$14:$P$89"),15,0)+J25,"")</f>
        <v>70</v>
      </c>
      <c r="K26" s="340">
        <f ca="1">IF(VLOOKUP($A26,INDIRECT(K$1&amp;"!$B$14:$P$89"),15,0)&lt;&gt;"",VLOOKUP($A26,INDIRECT(K$1&amp;"!$B$14:$P$89"),15,0)+K25,"")</f>
        <v>75</v>
      </c>
      <c r="L26" s="340">
        <f ca="1">IF(VLOOKUP($A26,INDIRECT(L$1&amp;"!$B$14:$P$89"),15,0)&lt;&gt;"",VLOOKUP($A26,INDIRECT(L$1&amp;"!$B$14:$P$89"),15,0)+L25,"")</f>
        <v>75</v>
      </c>
      <c r="M26" s="340">
        <f ca="1">IF(VLOOKUP($A26,INDIRECT(M$1&amp;"!$B$14:$P$89"),15,0)&lt;&gt;"",VLOOKUP($A26,INDIRECT(M$1&amp;"!$B$14:$P$89"),15,0)+M25,"")</f>
        <v>60</v>
      </c>
      <c r="N26" s="340">
        <f ca="1">IF(VLOOKUP($A26,INDIRECT(N$1&amp;"!$B$14:$P$89"),15,0)&lt;&gt;"",VLOOKUP($A26,INDIRECT(N$1&amp;"!$B$14:$P$89"),15,0)+N25,"")</f>
        <v>55</v>
      </c>
      <c r="O26" s="340">
        <f ca="1">IF(VLOOKUP($A26,INDIRECT(O$1&amp;"!$B$14:$P$89"),15,0)&lt;&gt;"",VLOOKUP($A26,INDIRECT(O$1&amp;"!$B$14:$P$89"),15,0)+O25,"")</f>
        <v>55</v>
      </c>
      <c r="P26" s="340">
        <f ca="1">IF(VLOOKUP($A26,INDIRECT(P$1&amp;"!$B$14:$P$89"),15,0)&lt;&gt;"",VLOOKUP($A26,INDIRECT(P$1&amp;"!$B$14:$P$89"),15,0)+P25,"")</f>
        <v>85</v>
      </c>
      <c r="Q26" s="340">
        <f ca="1">IF(VLOOKUP($A26,INDIRECT(Q$1&amp;"!$B$14:$P$89"),15,0)&lt;&gt;"",VLOOKUP($A26,INDIRECT(Q$1&amp;"!$B$14:$P$89"),15,0)+Q25,"")</f>
        <v>45</v>
      </c>
      <c r="R26" s="340">
        <f ca="1">IF(VLOOKUP($A26,INDIRECT(R$1&amp;"!$B$14:$P$89"),15,0)&lt;&gt;"",VLOOKUP($A26,INDIRECT(R$1&amp;"!$B$14:$P$89"),15,0)+R25,"")</f>
        <v>55</v>
      </c>
      <c r="S26" s="340">
        <f ca="1">IF(VLOOKUP($A26,INDIRECT(S$1&amp;"!$B$14:$P$89"),15,0)&lt;&gt;"",VLOOKUP($A26,INDIRECT(S$1&amp;"!$B$14:$P$89"),15,0)+S25,"")</f>
        <v>70</v>
      </c>
      <c r="T26" s="340">
        <f ca="1">IF(VLOOKUP($A26,INDIRECT(T$1&amp;"!$B$14:$P$89"),15,0)&lt;&gt;"",VLOOKUP($A26,INDIRECT(T$1&amp;"!$B$14:$P$89"),15,0)+T25,"")</f>
        <v>75</v>
      </c>
      <c r="U26" s="340">
        <f ca="1">IF(VLOOKUP($A26,INDIRECT(U$1&amp;"!$B$14:$P$89"),15,0)&lt;&gt;"",VLOOKUP($A26,INDIRECT(U$1&amp;"!$B$14:$P$89"),15,0)+U25,"")</f>
        <v>65</v>
      </c>
      <c r="V26" s="340">
        <f ca="1">IF(VLOOKUP($A26,INDIRECT(V$1&amp;"!$B$14:$P$89"),15,0)&lt;&gt;"",VLOOKUP($A26,INDIRECT(V$1&amp;"!$B$14:$P$89"),15,0)+V25,"")</f>
        <v>65</v>
      </c>
      <c r="W26" s="340">
        <f ca="1">IF(VLOOKUP($A26,INDIRECT(W$1&amp;"!$B$14:$P$89"),15,0)&lt;&gt;"",VLOOKUP($A26,INDIRECT(W$1&amp;"!$B$14:$P$89"),15,0)+W25,"")</f>
        <v>60</v>
      </c>
      <c r="X26" s="340">
        <f ca="1">IF(VLOOKUP($A26,INDIRECT(X$1&amp;"!$B$14:$P$89"),15,0)&lt;&gt;"",VLOOKUP($A26,INDIRECT(X$1&amp;"!$B$14:$P$89"),15,0)+X25,"")</f>
        <v>45</v>
      </c>
      <c r="Y26" s="178">
        <f t="shared" ca="1" si="1"/>
        <v>64.545454545454547</v>
      </c>
      <c r="Z26" s="194">
        <f t="shared" ca="1" si="3"/>
        <v>5.2272727272727266</v>
      </c>
      <c r="AA26" s="195">
        <f ca="1">IF(C26&lt;&gt;"",C26-$Y26,"")</f>
        <v>-9.5454545454545467</v>
      </c>
      <c r="AB26" s="195">
        <f ca="1">IF(D26&lt;&gt;"",D26-$Y26,"")</f>
        <v>-9.5454545454545467</v>
      </c>
      <c r="AC26" s="195">
        <f ca="1">IF(E26&lt;&gt;"",E26-$Y26,"")</f>
        <v>-4.5454545454545467</v>
      </c>
      <c r="AD26" s="195">
        <f ca="1">IF(F26&lt;&gt;"",F26-$Y26,"")</f>
        <v>25.454545454545453</v>
      </c>
      <c r="AE26" s="195">
        <f ca="1">IF(G26&lt;&gt;"",G26-$Y26,"")</f>
        <v>5.4545454545454533</v>
      </c>
      <c r="AF26" s="195">
        <f ca="1">IF(H26&lt;&gt;"",H26-$Y26,"")</f>
        <v>15.454545454545453</v>
      </c>
      <c r="AG26" s="195">
        <f ca="1">IF(I26&lt;&gt;"",I26-$Y26,"")</f>
        <v>-9.5454545454545467</v>
      </c>
      <c r="AH26" s="195">
        <f ca="1">IF(J26&lt;&gt;"",J26-$Y26,"")</f>
        <v>5.4545454545454533</v>
      </c>
      <c r="AI26" s="195">
        <f ca="1">IF(K26&lt;&gt;"",K26-$Y26,"")</f>
        <v>10.454545454545453</v>
      </c>
      <c r="AJ26" s="195">
        <f ca="1">IF(L26&lt;&gt;"",L26-$Y26,"")</f>
        <v>10.454545454545453</v>
      </c>
      <c r="AK26" s="195">
        <f ca="1">IF(M26&lt;&gt;"",M26-$Y26,"")</f>
        <v>-4.5454545454545467</v>
      </c>
      <c r="AL26" s="195">
        <f ca="1">IF(N26&lt;&gt;"",N26-$Y26,"")</f>
        <v>-9.5454545454545467</v>
      </c>
      <c r="AM26" s="195">
        <f ca="1">IF(O26&lt;&gt;"",O26-$Y26,"")</f>
        <v>-9.5454545454545467</v>
      </c>
      <c r="AN26" s="195">
        <f ca="1">IF(P26&lt;&gt;"",P26-$Y26,"")</f>
        <v>20.454545454545453</v>
      </c>
      <c r="AO26" s="195">
        <f ca="1">IF(S26&lt;&gt;"",S26-$Y26,"")</f>
        <v>5.4545454545454533</v>
      </c>
      <c r="AP26" s="195">
        <f ca="1">IF(T26&lt;&gt;"",T26-$Y26,"")</f>
        <v>10.454545454545453</v>
      </c>
      <c r="AQ26" s="195">
        <f ca="1">IF(U26&lt;&gt;"",U26-$Y26,"")</f>
        <v>0.45454545454545325</v>
      </c>
      <c r="AR26" s="195">
        <f ca="1">IF(V26&lt;&gt;"",V26-$Y26,"")</f>
        <v>0.45454545454545325</v>
      </c>
      <c r="AS26" s="195">
        <f ca="1">IF(W26&lt;&gt;"",W26-$Y26,"")</f>
        <v>-4.5454545454545467</v>
      </c>
      <c r="AT26" s="195">
        <f ca="1">IF(Q26&lt;&gt;"",Q26-$Y26,"")</f>
        <v>-19.545454545454547</v>
      </c>
      <c r="AU26" s="195">
        <f ca="1">IF(R26&lt;&gt;"",R26-$Y26,"")</f>
        <v>-9.5454545454545467</v>
      </c>
      <c r="AV26" s="195">
        <f t="shared" ca="1" si="2"/>
        <v>-19.545454545454547</v>
      </c>
    </row>
    <row r="27" spans="1:48" hidden="1">
      <c r="A27" s="189">
        <v>26</v>
      </c>
      <c r="B27" s="166" t="str">
        <f>VLOOKUP($A27,Willem!$B$14:$P$89,4,0)&amp;"-"&amp;VLOOKUP($A27,Willem!$B$14:$P$89,6,0)</f>
        <v>Kameroen  -  Denemarken</v>
      </c>
      <c r="C27" s="341">
        <f ca="1">IF(VLOOKUP($A27,INDIRECT(C$1&amp;"!$B$14:$P$89"),15,0)&lt;&gt;"",VLOOKUP($A27,INDIRECT(C$1&amp;"!$B$14:$P$89"),15,0)+C26,"")</f>
        <v>55</v>
      </c>
      <c r="D27" s="341">
        <f ca="1">IF(VLOOKUP($A27,INDIRECT(D$1&amp;"!$B$14:$P$89"),15,0)&lt;&gt;"",VLOOKUP($A27,INDIRECT(D$1&amp;"!$B$14:$P$89"),15,0)+D26,"")</f>
        <v>55</v>
      </c>
      <c r="E27" s="341">
        <f ca="1">IF(VLOOKUP($A27,INDIRECT(E$1&amp;"!$B$14:$P$89"),15,0)&lt;&gt;"",VLOOKUP($A27,INDIRECT(E$1&amp;"!$B$14:$P$89"),15,0)+E26,"")</f>
        <v>60</v>
      </c>
      <c r="F27" s="341">
        <f ca="1">IF(VLOOKUP($A27,INDIRECT(F$1&amp;"!$B$14:$P$89"),15,0)&lt;&gt;"",VLOOKUP($A27,INDIRECT(F$1&amp;"!$B$14:$P$89"),15,0)+F26,"")</f>
        <v>100</v>
      </c>
      <c r="G27" s="341">
        <f ca="1">IF(VLOOKUP($A27,INDIRECT(G$1&amp;"!$B$14:$P$89"),15,0)&lt;&gt;"",VLOOKUP($A27,INDIRECT(G$1&amp;"!$B$14:$P$89"),15,0)+G26,"")</f>
        <v>80</v>
      </c>
      <c r="H27" s="341">
        <f ca="1">IF(VLOOKUP($A27,INDIRECT(H$1&amp;"!$B$14:$P$89"),15,0)&lt;&gt;"",VLOOKUP($A27,INDIRECT(H$1&amp;"!$B$14:$P$89"),15,0)+H26,"")</f>
        <v>90</v>
      </c>
      <c r="I27" s="341">
        <f ca="1">IF(VLOOKUP($A27,INDIRECT(I$1&amp;"!$B$14:$P$89"),15,0)&lt;&gt;"",VLOOKUP($A27,INDIRECT(I$1&amp;"!$B$14:$P$89"),15,0)+I26,"")</f>
        <v>55</v>
      </c>
      <c r="J27" s="341">
        <f ca="1">IF(VLOOKUP($A27,INDIRECT(J$1&amp;"!$B$14:$P$89"),15,0)&lt;&gt;"",VLOOKUP($A27,INDIRECT(J$1&amp;"!$B$14:$P$89"),15,0)+J26,"")</f>
        <v>70</v>
      </c>
      <c r="K27" s="341">
        <f ca="1">IF(VLOOKUP($A27,INDIRECT(K$1&amp;"!$B$14:$P$89"),15,0)&lt;&gt;"",VLOOKUP($A27,INDIRECT(K$1&amp;"!$B$14:$P$89"),15,0)+K26,"")</f>
        <v>80</v>
      </c>
      <c r="L27" s="341">
        <f ca="1">IF(VLOOKUP($A27,INDIRECT(L$1&amp;"!$B$14:$P$89"),15,0)&lt;&gt;"",VLOOKUP($A27,INDIRECT(L$1&amp;"!$B$14:$P$89"),15,0)+L26,"")</f>
        <v>75</v>
      </c>
      <c r="M27" s="341">
        <f ca="1">IF(VLOOKUP($A27,INDIRECT(M$1&amp;"!$B$14:$P$89"),15,0)&lt;&gt;"",VLOOKUP($A27,INDIRECT(M$1&amp;"!$B$14:$P$89"),15,0)+M26,"")</f>
        <v>65</v>
      </c>
      <c r="N27" s="341">
        <f ca="1">IF(VLOOKUP($A27,INDIRECT(N$1&amp;"!$B$14:$P$89"),15,0)&lt;&gt;"",VLOOKUP($A27,INDIRECT(N$1&amp;"!$B$14:$P$89"),15,0)+N26,"")</f>
        <v>55</v>
      </c>
      <c r="O27" s="341">
        <f ca="1">IF(VLOOKUP($A27,INDIRECT(O$1&amp;"!$B$14:$P$89"),15,0)&lt;&gt;"",VLOOKUP($A27,INDIRECT(O$1&amp;"!$B$14:$P$89"),15,0)+O26,"")</f>
        <v>65</v>
      </c>
      <c r="P27" s="341">
        <f ca="1">IF(VLOOKUP($A27,INDIRECT(P$1&amp;"!$B$14:$P$89"),15,0)&lt;&gt;"",VLOOKUP($A27,INDIRECT(P$1&amp;"!$B$14:$P$89"),15,0)+P26,"")</f>
        <v>85</v>
      </c>
      <c r="Q27" s="341">
        <f ca="1">IF(VLOOKUP($A27,INDIRECT(Q$1&amp;"!$B$14:$P$89"),15,0)&lt;&gt;"",VLOOKUP($A27,INDIRECT(Q$1&amp;"!$B$14:$P$89"),15,0)+Q26,"")</f>
        <v>55</v>
      </c>
      <c r="R27" s="341">
        <f ca="1">IF(VLOOKUP($A27,INDIRECT(R$1&amp;"!$B$14:$P$89"),15,0)&lt;&gt;"",VLOOKUP($A27,INDIRECT(R$1&amp;"!$B$14:$P$89"),15,0)+R26,"")</f>
        <v>55</v>
      </c>
      <c r="S27" s="341">
        <f ca="1">IF(VLOOKUP($A27,INDIRECT(S$1&amp;"!$B$14:$P$89"),15,0)&lt;&gt;"",VLOOKUP($A27,INDIRECT(S$1&amp;"!$B$14:$P$89"),15,0)+S26,"")</f>
        <v>70</v>
      </c>
      <c r="T27" s="341">
        <f ca="1">IF(VLOOKUP($A27,INDIRECT(T$1&amp;"!$B$14:$P$89"),15,0)&lt;&gt;"",VLOOKUP($A27,INDIRECT(T$1&amp;"!$B$14:$P$89"),15,0)+T26,"")</f>
        <v>75</v>
      </c>
      <c r="U27" s="341">
        <f ca="1">IF(VLOOKUP($A27,INDIRECT(U$1&amp;"!$B$14:$P$89"),15,0)&lt;&gt;"",VLOOKUP($A27,INDIRECT(U$1&amp;"!$B$14:$P$89"),15,0)+U26,"")</f>
        <v>70</v>
      </c>
      <c r="V27" s="341">
        <f ca="1">IF(VLOOKUP($A27,INDIRECT(V$1&amp;"!$B$14:$P$89"),15,0)&lt;&gt;"",VLOOKUP($A27,INDIRECT(V$1&amp;"!$B$14:$P$89"),15,0)+V26,"")</f>
        <v>65</v>
      </c>
      <c r="W27" s="341">
        <f ca="1">IF(VLOOKUP($A27,INDIRECT(W$1&amp;"!$B$14:$P$89"),15,0)&lt;&gt;"",VLOOKUP($A27,INDIRECT(W$1&amp;"!$B$14:$P$89"),15,0)+W26,"")</f>
        <v>60</v>
      </c>
      <c r="X27" s="341">
        <f ca="1">IF(VLOOKUP($A27,INDIRECT(X$1&amp;"!$B$14:$P$89"),15,0)&lt;&gt;"",VLOOKUP($A27,INDIRECT(X$1&amp;"!$B$14:$P$89"),15,0)+X26,"")</f>
        <v>45</v>
      </c>
      <c r="Y27" s="178">
        <f t="shared" ca="1" si="1"/>
        <v>67.5</v>
      </c>
      <c r="Z27" s="194">
        <f t="shared" ca="1" si="3"/>
        <v>2.9545454545454533</v>
      </c>
      <c r="AA27" s="195">
        <f ca="1">IF(C27&lt;&gt;"",C27-$Y27,"")</f>
        <v>-12.5</v>
      </c>
      <c r="AB27" s="195">
        <f ca="1">IF(D27&lt;&gt;"",D27-$Y27,"")</f>
        <v>-12.5</v>
      </c>
      <c r="AC27" s="195">
        <f ca="1">IF(E27&lt;&gt;"",E27-$Y27,"")</f>
        <v>-7.5</v>
      </c>
      <c r="AD27" s="195">
        <f ca="1">IF(F27&lt;&gt;"",F27-$Y27,"")</f>
        <v>32.5</v>
      </c>
      <c r="AE27" s="195">
        <f ca="1">IF(G27&lt;&gt;"",G27-$Y27,"")</f>
        <v>12.5</v>
      </c>
      <c r="AF27" s="195">
        <f ca="1">IF(H27&lt;&gt;"",H27-$Y27,"")</f>
        <v>22.5</v>
      </c>
      <c r="AG27" s="195">
        <f ca="1">IF(I27&lt;&gt;"",I27-$Y27,"")</f>
        <v>-12.5</v>
      </c>
      <c r="AH27" s="195">
        <f ca="1">IF(J27&lt;&gt;"",J27-$Y27,"")</f>
        <v>2.5</v>
      </c>
      <c r="AI27" s="195">
        <f ca="1">IF(K27&lt;&gt;"",K27-$Y27,"")</f>
        <v>12.5</v>
      </c>
      <c r="AJ27" s="195">
        <f ca="1">IF(L27&lt;&gt;"",L27-$Y27,"")</f>
        <v>7.5</v>
      </c>
      <c r="AK27" s="195">
        <f ca="1">IF(M27&lt;&gt;"",M27-$Y27,"")</f>
        <v>-2.5</v>
      </c>
      <c r="AL27" s="195">
        <f ca="1">IF(N27&lt;&gt;"",N27-$Y27,"")</f>
        <v>-12.5</v>
      </c>
      <c r="AM27" s="195">
        <f ca="1">IF(O27&lt;&gt;"",O27-$Y27,"")</f>
        <v>-2.5</v>
      </c>
      <c r="AN27" s="195">
        <f ca="1">IF(P27&lt;&gt;"",P27-$Y27,"")</f>
        <v>17.5</v>
      </c>
      <c r="AO27" s="195">
        <f ca="1">IF(S27&lt;&gt;"",S27-$Y27,"")</f>
        <v>2.5</v>
      </c>
      <c r="AP27" s="195">
        <f ca="1">IF(T27&lt;&gt;"",T27-$Y27,"")</f>
        <v>7.5</v>
      </c>
      <c r="AQ27" s="195">
        <f ca="1">IF(U27&lt;&gt;"",U27-$Y27,"")</f>
        <v>2.5</v>
      </c>
      <c r="AR27" s="195">
        <f ca="1">IF(V27&lt;&gt;"",V27-$Y27,"")</f>
        <v>-2.5</v>
      </c>
      <c r="AS27" s="195">
        <f ca="1">IF(W27&lt;&gt;"",W27-$Y27,"")</f>
        <v>-7.5</v>
      </c>
      <c r="AT27" s="195">
        <f ca="1">IF(Q27&lt;&gt;"",Q27-$Y27,"")</f>
        <v>-12.5</v>
      </c>
      <c r="AU27" s="195">
        <f ca="1">IF(R27&lt;&gt;"",R27-$Y27,"")</f>
        <v>-12.5</v>
      </c>
      <c r="AV27" s="195">
        <f t="shared" ca="1" si="2"/>
        <v>-22.5</v>
      </c>
    </row>
    <row r="28" spans="1:48" hidden="1">
      <c r="A28" s="189">
        <v>27</v>
      </c>
      <c r="B28" s="165" t="str">
        <f>VLOOKUP($A28,Willem!$B$14:$P$89,4,0)&amp;"-"&amp;VLOOKUP($A28,Willem!$B$14:$P$89,6,0)</f>
        <v>Slowakije  -  Paraguay</v>
      </c>
      <c r="C28" s="340">
        <f ca="1">IF(VLOOKUP($A28,INDIRECT(C$1&amp;"!$B$14:$P$89"),15,0)&lt;&gt;"",VLOOKUP($A28,INDIRECT(C$1&amp;"!$B$14:$P$89"),15,0)+C27,"")</f>
        <v>60</v>
      </c>
      <c r="D28" s="340">
        <f ca="1">IF(VLOOKUP($A28,INDIRECT(D$1&amp;"!$B$14:$P$89"),15,0)&lt;&gt;"",VLOOKUP($A28,INDIRECT(D$1&amp;"!$B$14:$P$89"),15,0)+D27,"")</f>
        <v>65</v>
      </c>
      <c r="E28" s="340">
        <f ca="1">IF(VLOOKUP($A28,INDIRECT(E$1&amp;"!$B$14:$P$89"),15,0)&lt;&gt;"",VLOOKUP($A28,INDIRECT(E$1&amp;"!$B$14:$P$89"),15,0)+E27,"")</f>
        <v>65</v>
      </c>
      <c r="F28" s="340">
        <f ca="1">IF(VLOOKUP($A28,INDIRECT(F$1&amp;"!$B$14:$P$89"),15,0)&lt;&gt;"",VLOOKUP($A28,INDIRECT(F$1&amp;"!$B$14:$P$89"),15,0)+F27,"")</f>
        <v>100</v>
      </c>
      <c r="G28" s="340">
        <f ca="1">IF(VLOOKUP($A28,INDIRECT(G$1&amp;"!$B$14:$P$89"),15,0)&lt;&gt;"",VLOOKUP($A28,INDIRECT(G$1&amp;"!$B$14:$P$89"),15,0)+G27,"")</f>
        <v>80</v>
      </c>
      <c r="H28" s="340">
        <f ca="1">IF(VLOOKUP($A28,INDIRECT(H$1&amp;"!$B$14:$P$89"),15,0)&lt;&gt;"",VLOOKUP($A28,INDIRECT(H$1&amp;"!$B$14:$P$89"),15,0)+H27,"")</f>
        <v>90</v>
      </c>
      <c r="I28" s="340">
        <f ca="1">IF(VLOOKUP($A28,INDIRECT(I$1&amp;"!$B$14:$P$89"),15,0)&lt;&gt;"",VLOOKUP($A28,INDIRECT(I$1&amp;"!$B$14:$P$89"),15,0)+I27,"")</f>
        <v>60</v>
      </c>
      <c r="J28" s="340">
        <f ca="1">IF(VLOOKUP($A28,INDIRECT(J$1&amp;"!$B$14:$P$89"),15,0)&lt;&gt;"",VLOOKUP($A28,INDIRECT(J$1&amp;"!$B$14:$P$89"),15,0)+J27,"")</f>
        <v>75</v>
      </c>
      <c r="K28" s="340">
        <f ca="1">IF(VLOOKUP($A28,INDIRECT(K$1&amp;"!$B$14:$P$89"),15,0)&lt;&gt;"",VLOOKUP($A28,INDIRECT(K$1&amp;"!$B$14:$P$89"),15,0)+K27,"")</f>
        <v>80</v>
      </c>
      <c r="L28" s="340">
        <f ca="1">IF(VLOOKUP($A28,INDIRECT(L$1&amp;"!$B$14:$P$89"),15,0)&lt;&gt;"",VLOOKUP($A28,INDIRECT(L$1&amp;"!$B$14:$P$89"),15,0)+L27,"")</f>
        <v>80</v>
      </c>
      <c r="M28" s="340">
        <f ca="1">IF(VLOOKUP($A28,INDIRECT(M$1&amp;"!$B$14:$P$89"),15,0)&lt;&gt;"",VLOOKUP($A28,INDIRECT(M$1&amp;"!$B$14:$P$89"),15,0)+M27,"")</f>
        <v>70</v>
      </c>
      <c r="N28" s="340">
        <f ca="1">IF(VLOOKUP($A28,INDIRECT(N$1&amp;"!$B$14:$P$89"),15,0)&lt;&gt;"",VLOOKUP($A28,INDIRECT(N$1&amp;"!$B$14:$P$89"),15,0)+N27,"")</f>
        <v>60</v>
      </c>
      <c r="O28" s="340">
        <f ca="1">IF(VLOOKUP($A28,INDIRECT(O$1&amp;"!$B$14:$P$89"),15,0)&lt;&gt;"",VLOOKUP($A28,INDIRECT(O$1&amp;"!$B$14:$P$89"),15,0)+O27,"")</f>
        <v>65</v>
      </c>
      <c r="P28" s="340">
        <f ca="1">IF(VLOOKUP($A28,INDIRECT(P$1&amp;"!$B$14:$P$89"),15,0)&lt;&gt;"",VLOOKUP($A28,INDIRECT(P$1&amp;"!$B$14:$P$89"),15,0)+P27,"")</f>
        <v>90</v>
      </c>
      <c r="Q28" s="340">
        <f ca="1">IF(VLOOKUP($A28,INDIRECT(Q$1&amp;"!$B$14:$P$89"),15,0)&lt;&gt;"",VLOOKUP($A28,INDIRECT(Q$1&amp;"!$B$14:$P$89"),15,0)+Q27,"")</f>
        <v>65</v>
      </c>
      <c r="R28" s="340">
        <f ca="1">IF(VLOOKUP($A28,INDIRECT(R$1&amp;"!$B$14:$P$89"),15,0)&lt;&gt;"",VLOOKUP($A28,INDIRECT(R$1&amp;"!$B$14:$P$89"),15,0)+R27,"")</f>
        <v>60</v>
      </c>
      <c r="S28" s="340">
        <f ca="1">IF(VLOOKUP($A28,INDIRECT(S$1&amp;"!$B$14:$P$89"),15,0)&lt;&gt;"",VLOOKUP($A28,INDIRECT(S$1&amp;"!$B$14:$P$89"),15,0)+S27,"")</f>
        <v>70</v>
      </c>
      <c r="T28" s="340">
        <f ca="1">IF(VLOOKUP($A28,INDIRECT(T$1&amp;"!$B$14:$P$89"),15,0)&lt;&gt;"",VLOOKUP($A28,INDIRECT(T$1&amp;"!$B$14:$P$89"),15,0)+T27,"")</f>
        <v>85</v>
      </c>
      <c r="U28" s="340">
        <f ca="1">IF(VLOOKUP($A28,INDIRECT(U$1&amp;"!$B$14:$P$89"),15,0)&lt;&gt;"",VLOOKUP($A28,INDIRECT(U$1&amp;"!$B$14:$P$89"),15,0)+U27,"")</f>
        <v>70</v>
      </c>
      <c r="V28" s="340">
        <f ca="1">IF(VLOOKUP($A28,INDIRECT(V$1&amp;"!$B$14:$P$89"),15,0)&lt;&gt;"",VLOOKUP($A28,INDIRECT(V$1&amp;"!$B$14:$P$89"),15,0)+V27,"")</f>
        <v>65</v>
      </c>
      <c r="W28" s="340">
        <f ca="1">IF(VLOOKUP($A28,INDIRECT(W$1&amp;"!$B$14:$P$89"),15,0)&lt;&gt;"",VLOOKUP($A28,INDIRECT(W$1&amp;"!$B$14:$P$89"),15,0)+W27,"")</f>
        <v>60</v>
      </c>
      <c r="X28" s="340">
        <f ca="1">IF(VLOOKUP($A28,INDIRECT(X$1&amp;"!$B$14:$P$89"),15,0)&lt;&gt;"",VLOOKUP($A28,INDIRECT(X$1&amp;"!$B$14:$P$89"),15,0)+X27,"")</f>
        <v>45</v>
      </c>
      <c r="Y28" s="178">
        <f t="shared" ca="1" si="1"/>
        <v>70.909090909090907</v>
      </c>
      <c r="Z28" s="194">
        <f t="shared" ca="1" si="3"/>
        <v>3.4090909090909065</v>
      </c>
      <c r="AA28" s="195">
        <f ca="1">IF(C28&lt;&gt;"",C28-$Y28,"")</f>
        <v>-10.909090909090907</v>
      </c>
      <c r="AB28" s="195">
        <f ca="1">IF(D28&lt;&gt;"",D28-$Y28,"")</f>
        <v>-5.9090909090909065</v>
      </c>
      <c r="AC28" s="195">
        <f ca="1">IF(E28&lt;&gt;"",E28-$Y28,"")</f>
        <v>-5.9090909090909065</v>
      </c>
      <c r="AD28" s="195">
        <f ca="1">IF(F28&lt;&gt;"",F28-$Y28,"")</f>
        <v>29.090909090909093</v>
      </c>
      <c r="AE28" s="195">
        <f ca="1">IF(G28&lt;&gt;"",G28-$Y28,"")</f>
        <v>9.0909090909090935</v>
      </c>
      <c r="AF28" s="195">
        <f ca="1">IF(H28&lt;&gt;"",H28-$Y28,"")</f>
        <v>19.090909090909093</v>
      </c>
      <c r="AG28" s="195">
        <f ca="1">IF(I28&lt;&gt;"",I28-$Y28,"")</f>
        <v>-10.909090909090907</v>
      </c>
      <c r="AH28" s="195">
        <f ca="1">IF(J28&lt;&gt;"",J28-$Y28,"")</f>
        <v>4.0909090909090935</v>
      </c>
      <c r="AI28" s="195">
        <f ca="1">IF(K28&lt;&gt;"",K28-$Y28,"")</f>
        <v>9.0909090909090935</v>
      </c>
      <c r="AJ28" s="195">
        <f ca="1">IF(L28&lt;&gt;"",L28-$Y28,"")</f>
        <v>9.0909090909090935</v>
      </c>
      <c r="AK28" s="195">
        <f ca="1">IF(M28&lt;&gt;"",M28-$Y28,"")</f>
        <v>-0.90909090909090651</v>
      </c>
      <c r="AL28" s="195">
        <f ca="1">IF(N28&lt;&gt;"",N28-$Y28,"")</f>
        <v>-10.909090909090907</v>
      </c>
      <c r="AM28" s="195">
        <f ca="1">IF(O28&lt;&gt;"",O28-$Y28,"")</f>
        <v>-5.9090909090909065</v>
      </c>
      <c r="AN28" s="195">
        <f ca="1">IF(P28&lt;&gt;"",P28-$Y28,"")</f>
        <v>19.090909090909093</v>
      </c>
      <c r="AO28" s="195">
        <f ca="1">IF(S28&lt;&gt;"",S28-$Y28,"")</f>
        <v>-0.90909090909090651</v>
      </c>
      <c r="AP28" s="195">
        <f ca="1">IF(T28&lt;&gt;"",T28-$Y28,"")</f>
        <v>14.090909090909093</v>
      </c>
      <c r="AQ28" s="195">
        <f ca="1">IF(U28&lt;&gt;"",U28-$Y28,"")</f>
        <v>-0.90909090909090651</v>
      </c>
      <c r="AR28" s="195">
        <f ca="1">IF(V28&lt;&gt;"",V28-$Y28,"")</f>
        <v>-5.9090909090909065</v>
      </c>
      <c r="AS28" s="195">
        <f ca="1">IF(W28&lt;&gt;"",W28-$Y28,"")</f>
        <v>-10.909090909090907</v>
      </c>
      <c r="AT28" s="195">
        <f ca="1">IF(Q28&lt;&gt;"",Q28-$Y28,"")</f>
        <v>-5.9090909090909065</v>
      </c>
      <c r="AU28" s="195">
        <f ca="1">IF(R28&lt;&gt;"",R28-$Y28,"")</f>
        <v>-10.909090909090907</v>
      </c>
      <c r="AV28" s="195">
        <f t="shared" ca="1" si="2"/>
        <v>-25.909090909090907</v>
      </c>
    </row>
    <row r="29" spans="1:48">
      <c r="A29" s="189">
        <v>28</v>
      </c>
      <c r="B29" s="166" t="str">
        <f>VLOOKUP($A29,Willem!$B$14:$P$89,4,0)&amp;"-"&amp;VLOOKUP($A29,Willem!$B$14:$P$89,6,0)</f>
        <v>Italië  -  Nieuw-Zeeland</v>
      </c>
      <c r="C29" s="341">
        <f ca="1">IF(VLOOKUP($A29,INDIRECT(C$1&amp;"!$B$14:$P$89"),15,0)&lt;&gt;"",VLOOKUP($A29,INDIRECT(C$1&amp;"!$B$14:$P$89"),15,0)+C28,"")</f>
        <v>60</v>
      </c>
      <c r="D29" s="341">
        <f ca="1">IF(VLOOKUP($A29,INDIRECT(D$1&amp;"!$B$14:$P$89"),15,0)&lt;&gt;"",VLOOKUP($A29,INDIRECT(D$1&amp;"!$B$14:$P$89"),15,0)+D28,"")</f>
        <v>65</v>
      </c>
      <c r="E29" s="341">
        <f ca="1">IF(VLOOKUP($A29,INDIRECT(E$1&amp;"!$B$14:$P$89"),15,0)&lt;&gt;"",VLOOKUP($A29,INDIRECT(E$1&amp;"!$B$14:$P$89"),15,0)+E28,"")</f>
        <v>65</v>
      </c>
      <c r="F29" s="341">
        <f ca="1">IF(VLOOKUP($A29,INDIRECT(F$1&amp;"!$B$14:$P$89"),15,0)&lt;&gt;"",VLOOKUP($A29,INDIRECT(F$1&amp;"!$B$14:$P$89"),15,0)+F28,"")</f>
        <v>100</v>
      </c>
      <c r="G29" s="341">
        <f ca="1">IF(VLOOKUP($A29,INDIRECT(G$1&amp;"!$B$14:$P$89"),15,0)&lt;&gt;"",VLOOKUP($A29,INDIRECT(G$1&amp;"!$B$14:$P$89"),15,0)+G28,"")</f>
        <v>80</v>
      </c>
      <c r="H29" s="341">
        <f ca="1">IF(VLOOKUP($A29,INDIRECT(H$1&amp;"!$B$14:$P$89"),15,0)&lt;&gt;"",VLOOKUP($A29,INDIRECT(H$1&amp;"!$B$14:$P$89"),15,0)+H28,"")</f>
        <v>90</v>
      </c>
      <c r="I29" s="341">
        <f ca="1">IF(VLOOKUP($A29,INDIRECT(I$1&amp;"!$B$14:$P$89"),15,0)&lt;&gt;"",VLOOKUP($A29,INDIRECT(I$1&amp;"!$B$14:$P$89"),15,0)+I28,"")</f>
        <v>60</v>
      </c>
      <c r="J29" s="341">
        <f ca="1">IF(VLOOKUP($A29,INDIRECT(J$1&amp;"!$B$14:$P$89"),15,0)&lt;&gt;"",VLOOKUP($A29,INDIRECT(J$1&amp;"!$B$14:$P$89"),15,0)+J28,"")</f>
        <v>75</v>
      </c>
      <c r="K29" s="341">
        <f ca="1">IF(VLOOKUP($A29,INDIRECT(K$1&amp;"!$B$14:$P$89"),15,0)&lt;&gt;"",VLOOKUP($A29,INDIRECT(K$1&amp;"!$B$14:$P$89"),15,0)+K28,"")</f>
        <v>80</v>
      </c>
      <c r="L29" s="341">
        <f ca="1">IF(VLOOKUP($A29,INDIRECT(L$1&amp;"!$B$14:$P$89"),15,0)&lt;&gt;"",VLOOKUP($A29,INDIRECT(L$1&amp;"!$B$14:$P$89"),15,0)+L28,"")</f>
        <v>80</v>
      </c>
      <c r="M29" s="341">
        <f ca="1">IF(VLOOKUP($A29,INDIRECT(M$1&amp;"!$B$14:$P$89"),15,0)&lt;&gt;"",VLOOKUP($A29,INDIRECT(M$1&amp;"!$B$14:$P$89"),15,0)+M28,"")</f>
        <v>70</v>
      </c>
      <c r="N29" s="341">
        <f ca="1">IF(VLOOKUP($A29,INDIRECT(N$1&amp;"!$B$14:$P$89"),15,0)&lt;&gt;"",VLOOKUP($A29,INDIRECT(N$1&amp;"!$B$14:$P$89"),15,0)+N28,"")</f>
        <v>60</v>
      </c>
      <c r="O29" s="341">
        <f ca="1">IF(VLOOKUP($A29,INDIRECT(O$1&amp;"!$B$14:$P$89"),15,0)&lt;&gt;"",VLOOKUP($A29,INDIRECT(O$1&amp;"!$B$14:$P$89"),15,0)+O28,"")</f>
        <v>65</v>
      </c>
      <c r="P29" s="341">
        <f ca="1">IF(VLOOKUP($A29,INDIRECT(P$1&amp;"!$B$14:$P$89"),15,0)&lt;&gt;"",VLOOKUP($A29,INDIRECT(P$1&amp;"!$B$14:$P$89"),15,0)+P28,"")</f>
        <v>90</v>
      </c>
      <c r="Q29" s="341">
        <f ca="1">IF(VLOOKUP($A29,INDIRECT(Q$1&amp;"!$B$14:$P$89"),15,0)&lt;&gt;"",VLOOKUP($A29,INDIRECT(Q$1&amp;"!$B$14:$P$89"),15,0)+Q28,"")</f>
        <v>65</v>
      </c>
      <c r="R29" s="341">
        <f ca="1">IF(VLOOKUP($A29,INDIRECT(R$1&amp;"!$B$14:$P$89"),15,0)&lt;&gt;"",VLOOKUP($A29,INDIRECT(R$1&amp;"!$B$14:$P$89"),15,0)+R28,"")</f>
        <v>60</v>
      </c>
      <c r="S29" s="341">
        <f ca="1">IF(VLOOKUP($A29,INDIRECT(S$1&amp;"!$B$14:$P$89"),15,0)&lt;&gt;"",VLOOKUP($A29,INDIRECT(S$1&amp;"!$B$14:$P$89"),15,0)+S28,"")</f>
        <v>70</v>
      </c>
      <c r="T29" s="341">
        <f ca="1">IF(VLOOKUP($A29,INDIRECT(T$1&amp;"!$B$14:$P$89"),15,0)&lt;&gt;"",VLOOKUP($A29,INDIRECT(T$1&amp;"!$B$14:$P$89"),15,0)+T28,"")</f>
        <v>85</v>
      </c>
      <c r="U29" s="341">
        <f ca="1">IF(VLOOKUP($A29,INDIRECT(U$1&amp;"!$B$14:$P$89"),15,0)&lt;&gt;"",VLOOKUP($A29,INDIRECT(U$1&amp;"!$B$14:$P$89"),15,0)+U28,"")</f>
        <v>70</v>
      </c>
      <c r="V29" s="341">
        <f ca="1">IF(VLOOKUP($A29,INDIRECT(V$1&amp;"!$B$14:$P$89"),15,0)&lt;&gt;"",VLOOKUP($A29,INDIRECT(V$1&amp;"!$B$14:$P$89"),15,0)+V28,"")</f>
        <v>65</v>
      </c>
      <c r="W29" s="341">
        <f ca="1">IF(VLOOKUP($A29,INDIRECT(W$1&amp;"!$B$14:$P$89"),15,0)&lt;&gt;"",VLOOKUP($A29,INDIRECT(W$1&amp;"!$B$14:$P$89"),15,0)+W28,"")</f>
        <v>60</v>
      </c>
      <c r="X29" s="341">
        <f ca="1">IF(VLOOKUP($A29,INDIRECT(X$1&amp;"!$B$14:$P$89"),15,0)&lt;&gt;"",VLOOKUP($A29,INDIRECT(X$1&amp;"!$B$14:$P$89"),15,0)+X28,"")</f>
        <v>45</v>
      </c>
      <c r="Y29" s="178">
        <f t="shared" ca="1" si="1"/>
        <v>70.909090909090907</v>
      </c>
      <c r="Z29" s="194">
        <f t="shared" ca="1" si="3"/>
        <v>0</v>
      </c>
      <c r="AA29" s="195">
        <f ca="1">IF(C29&lt;&gt;"",C29-$Y29,"")</f>
        <v>-10.909090909090907</v>
      </c>
      <c r="AB29" s="195">
        <f ca="1">IF(D29&lt;&gt;"",D29-$Y29,"")</f>
        <v>-5.9090909090909065</v>
      </c>
      <c r="AC29" s="195">
        <f ca="1">IF(E29&lt;&gt;"",E29-$Y29,"")</f>
        <v>-5.9090909090909065</v>
      </c>
      <c r="AD29" s="195">
        <f ca="1">IF(F29&lt;&gt;"",F29-$Y29,"")</f>
        <v>29.090909090909093</v>
      </c>
      <c r="AE29" s="195">
        <f ca="1">IF(G29&lt;&gt;"",G29-$Y29,"")</f>
        <v>9.0909090909090935</v>
      </c>
      <c r="AF29" s="195">
        <f ca="1">IF(H29&lt;&gt;"",H29-$Y29,"")</f>
        <v>19.090909090909093</v>
      </c>
      <c r="AG29" s="195">
        <f ca="1">IF(I29&lt;&gt;"",I29-$Y29,"")</f>
        <v>-10.909090909090907</v>
      </c>
      <c r="AH29" s="195">
        <f ca="1">IF(J29&lt;&gt;"",J29-$Y29,"")</f>
        <v>4.0909090909090935</v>
      </c>
      <c r="AI29" s="195">
        <f ca="1">IF(K29&lt;&gt;"",K29-$Y29,"")</f>
        <v>9.0909090909090935</v>
      </c>
      <c r="AJ29" s="195">
        <f ca="1">IF(L29&lt;&gt;"",L29-$Y29,"")</f>
        <v>9.0909090909090935</v>
      </c>
      <c r="AK29" s="195">
        <f ca="1">IF(M29&lt;&gt;"",M29-$Y29,"")</f>
        <v>-0.90909090909090651</v>
      </c>
      <c r="AL29" s="195">
        <f ca="1">IF(N29&lt;&gt;"",N29-$Y29,"")</f>
        <v>-10.909090909090907</v>
      </c>
      <c r="AM29" s="195">
        <f ca="1">IF(O29&lt;&gt;"",O29-$Y29,"")</f>
        <v>-5.9090909090909065</v>
      </c>
      <c r="AN29" s="195">
        <f ca="1">IF(P29&lt;&gt;"",P29-$Y29,"")</f>
        <v>19.090909090909093</v>
      </c>
      <c r="AO29" s="195">
        <f ca="1">IF(S29&lt;&gt;"",S29-$Y29,"")</f>
        <v>-0.90909090909090651</v>
      </c>
      <c r="AP29" s="195">
        <f ca="1">IF(T29&lt;&gt;"",T29-$Y29,"")</f>
        <v>14.090909090909093</v>
      </c>
      <c r="AQ29" s="195">
        <f ca="1">IF(U29&lt;&gt;"",U29-$Y29,"")</f>
        <v>-0.90909090909090651</v>
      </c>
      <c r="AR29" s="195">
        <f ca="1">IF(V29&lt;&gt;"",V29-$Y29,"")</f>
        <v>-5.9090909090909065</v>
      </c>
      <c r="AS29" s="195">
        <f ca="1">IF(W29&lt;&gt;"",W29-$Y29,"")</f>
        <v>-10.909090909090907</v>
      </c>
      <c r="AT29" s="195">
        <f ca="1">IF(Q29&lt;&gt;"",Q29-$Y29,"")</f>
        <v>-5.9090909090909065</v>
      </c>
      <c r="AU29" s="195">
        <f ca="1">IF(R29&lt;&gt;"",R29-$Y29,"")</f>
        <v>-10.909090909090907</v>
      </c>
      <c r="AV29" s="195">
        <f t="shared" ca="1" si="2"/>
        <v>-25.909090909090907</v>
      </c>
    </row>
    <row r="30" spans="1:48" hidden="1">
      <c r="A30" s="189">
        <v>29</v>
      </c>
      <c r="B30" s="165" t="str">
        <f>VLOOKUP($A30,Willem!$B$14:$P$89,4,0)&amp;"-"&amp;VLOOKUP($A30,Willem!$B$14:$P$89,6,0)</f>
        <v>Brazilië  -  Ivoorkust</v>
      </c>
      <c r="C30" s="340">
        <f ca="1">IF(VLOOKUP($A30,INDIRECT(C$1&amp;"!$B$14:$P$89"),15,0)&lt;&gt;"",VLOOKUP($A30,INDIRECT(C$1&amp;"!$B$14:$P$89"),15,0)+C29,"")</f>
        <v>70</v>
      </c>
      <c r="D30" s="340">
        <f ca="1">IF(VLOOKUP($A30,INDIRECT(D$1&amp;"!$B$14:$P$89"),15,0)&lt;&gt;"",VLOOKUP($A30,INDIRECT(D$1&amp;"!$B$14:$P$89"),15,0)+D29,"")</f>
        <v>65</v>
      </c>
      <c r="E30" s="340">
        <f ca="1">IF(VLOOKUP($A30,INDIRECT(E$1&amp;"!$B$14:$P$89"),15,0)&lt;&gt;"",VLOOKUP($A30,INDIRECT(E$1&amp;"!$B$14:$P$89"),15,0)+E29,"")</f>
        <v>70</v>
      </c>
      <c r="F30" s="340">
        <f ca="1">IF(VLOOKUP($A30,INDIRECT(F$1&amp;"!$B$14:$P$89"),15,0)&lt;&gt;"",VLOOKUP($A30,INDIRECT(F$1&amp;"!$B$14:$P$89"),15,0)+F29,"")</f>
        <v>110</v>
      </c>
      <c r="G30" s="340">
        <f ca="1">IF(VLOOKUP($A30,INDIRECT(G$1&amp;"!$B$14:$P$89"),15,0)&lt;&gt;"",VLOOKUP($A30,INDIRECT(G$1&amp;"!$B$14:$P$89"),15,0)+G29,"")</f>
        <v>80</v>
      </c>
      <c r="H30" s="340">
        <f ca="1">IF(VLOOKUP($A30,INDIRECT(H$1&amp;"!$B$14:$P$89"),15,0)&lt;&gt;"",VLOOKUP($A30,INDIRECT(H$1&amp;"!$B$14:$P$89"),15,0)+H29,"")</f>
        <v>90</v>
      </c>
      <c r="I30" s="340">
        <f ca="1">IF(VLOOKUP($A30,INDIRECT(I$1&amp;"!$B$14:$P$89"),15,0)&lt;&gt;"",VLOOKUP($A30,INDIRECT(I$1&amp;"!$B$14:$P$89"),15,0)+I29,"")</f>
        <v>65</v>
      </c>
      <c r="J30" s="340">
        <f ca="1">IF(VLOOKUP($A30,INDIRECT(J$1&amp;"!$B$14:$P$89"),15,0)&lt;&gt;"",VLOOKUP($A30,INDIRECT(J$1&amp;"!$B$14:$P$89"),15,0)+J29,"")</f>
        <v>80</v>
      </c>
      <c r="K30" s="340">
        <f ca="1">IF(VLOOKUP($A30,INDIRECT(K$1&amp;"!$B$14:$P$89"),15,0)&lt;&gt;"",VLOOKUP($A30,INDIRECT(K$1&amp;"!$B$14:$P$89"),15,0)+K29,"")</f>
        <v>90</v>
      </c>
      <c r="L30" s="340">
        <f ca="1">IF(VLOOKUP($A30,INDIRECT(L$1&amp;"!$B$14:$P$89"),15,0)&lt;&gt;"",VLOOKUP($A30,INDIRECT(L$1&amp;"!$B$14:$P$89"),15,0)+L29,"")</f>
        <v>90</v>
      </c>
      <c r="M30" s="340">
        <f ca="1">IF(VLOOKUP($A30,INDIRECT(M$1&amp;"!$B$14:$P$89"),15,0)&lt;&gt;"",VLOOKUP($A30,INDIRECT(M$1&amp;"!$B$14:$P$89"),15,0)+M29,"")</f>
        <v>75</v>
      </c>
      <c r="N30" s="340">
        <f ca="1">IF(VLOOKUP($A30,INDIRECT(N$1&amp;"!$B$14:$P$89"),15,0)&lt;&gt;"",VLOOKUP($A30,INDIRECT(N$1&amp;"!$B$14:$P$89"),15,0)+N29,"")</f>
        <v>65</v>
      </c>
      <c r="O30" s="340">
        <f ca="1">IF(VLOOKUP($A30,INDIRECT(O$1&amp;"!$B$14:$P$89"),15,0)&lt;&gt;"",VLOOKUP($A30,INDIRECT(O$1&amp;"!$B$14:$P$89"),15,0)+O29,"")</f>
        <v>70</v>
      </c>
      <c r="P30" s="340">
        <f ca="1">IF(VLOOKUP($A30,INDIRECT(P$1&amp;"!$B$14:$P$89"),15,0)&lt;&gt;"",VLOOKUP($A30,INDIRECT(P$1&amp;"!$B$14:$P$89"),15,0)+P29,"")</f>
        <v>95</v>
      </c>
      <c r="Q30" s="340">
        <f ca="1">IF(VLOOKUP($A30,INDIRECT(Q$1&amp;"!$B$14:$P$89"),15,0)&lt;&gt;"",VLOOKUP($A30,INDIRECT(Q$1&amp;"!$B$14:$P$89"),15,0)+Q29,"")</f>
        <v>70</v>
      </c>
      <c r="R30" s="340">
        <f ca="1">IF(VLOOKUP($A30,INDIRECT(R$1&amp;"!$B$14:$P$89"),15,0)&lt;&gt;"",VLOOKUP($A30,INDIRECT(R$1&amp;"!$B$14:$P$89"),15,0)+R29,"")</f>
        <v>65</v>
      </c>
      <c r="S30" s="340">
        <f ca="1">IF(VLOOKUP($A30,INDIRECT(S$1&amp;"!$B$14:$P$89"),15,0)&lt;&gt;"",VLOOKUP($A30,INDIRECT(S$1&amp;"!$B$14:$P$89"),15,0)+S29,"")</f>
        <v>80</v>
      </c>
      <c r="T30" s="340">
        <f ca="1">IF(VLOOKUP($A30,INDIRECT(T$1&amp;"!$B$14:$P$89"),15,0)&lt;&gt;"",VLOOKUP($A30,INDIRECT(T$1&amp;"!$B$14:$P$89"),15,0)+T29,"")</f>
        <v>90</v>
      </c>
      <c r="U30" s="340">
        <f ca="1">IF(VLOOKUP($A30,INDIRECT(U$1&amp;"!$B$14:$P$89"),15,0)&lt;&gt;"",VLOOKUP($A30,INDIRECT(U$1&amp;"!$B$14:$P$89"),15,0)+U29,"")</f>
        <v>75</v>
      </c>
      <c r="V30" s="340">
        <f ca="1">IF(VLOOKUP($A30,INDIRECT(V$1&amp;"!$B$14:$P$89"),15,0)&lt;&gt;"",VLOOKUP($A30,INDIRECT(V$1&amp;"!$B$14:$P$89"),15,0)+V29,"")</f>
        <v>70</v>
      </c>
      <c r="W30" s="340">
        <f ca="1">IF(VLOOKUP($A30,INDIRECT(W$1&amp;"!$B$14:$P$89"),15,0)&lt;&gt;"",VLOOKUP($A30,INDIRECT(W$1&amp;"!$B$14:$P$89"),15,0)+W29,"")</f>
        <v>65</v>
      </c>
      <c r="X30" s="340">
        <f ca="1">IF(VLOOKUP($A30,INDIRECT(X$1&amp;"!$B$14:$P$89"),15,0)&lt;&gt;"",VLOOKUP($A30,INDIRECT(X$1&amp;"!$B$14:$P$89"),15,0)+X29,"")</f>
        <v>45</v>
      </c>
      <c r="Y30" s="178">
        <f t="shared" ca="1" si="1"/>
        <v>76.13636363636364</v>
      </c>
      <c r="Z30" s="194">
        <f t="shared" ca="1" si="3"/>
        <v>5.2272727272727337</v>
      </c>
      <c r="AA30" s="195">
        <f ca="1">IF(C30&lt;&gt;"",C30-$Y30,"")</f>
        <v>-6.1363636363636402</v>
      </c>
      <c r="AB30" s="195">
        <f ca="1">IF(D30&lt;&gt;"",D30-$Y30,"")</f>
        <v>-11.13636363636364</v>
      </c>
      <c r="AC30" s="195">
        <f ca="1">IF(E30&lt;&gt;"",E30-$Y30,"")</f>
        <v>-6.1363636363636402</v>
      </c>
      <c r="AD30" s="195">
        <f ca="1">IF(F30&lt;&gt;"",F30-$Y30,"")</f>
        <v>33.86363636363636</v>
      </c>
      <c r="AE30" s="195">
        <f ca="1">IF(G30&lt;&gt;"",G30-$Y30,"")</f>
        <v>3.8636363636363598</v>
      </c>
      <c r="AF30" s="195">
        <f ca="1">IF(H30&lt;&gt;"",H30-$Y30,"")</f>
        <v>13.86363636363636</v>
      </c>
      <c r="AG30" s="195">
        <f ca="1">IF(I30&lt;&gt;"",I30-$Y30,"")</f>
        <v>-11.13636363636364</v>
      </c>
      <c r="AH30" s="195">
        <f ca="1">IF(J30&lt;&gt;"",J30-$Y30,"")</f>
        <v>3.8636363636363598</v>
      </c>
      <c r="AI30" s="195">
        <f ca="1">IF(K30&lt;&gt;"",K30-$Y30,"")</f>
        <v>13.86363636363636</v>
      </c>
      <c r="AJ30" s="195">
        <f ca="1">IF(L30&lt;&gt;"",L30-$Y30,"")</f>
        <v>13.86363636363636</v>
      </c>
      <c r="AK30" s="195">
        <f ca="1">IF(M30&lt;&gt;"",M30-$Y30,"")</f>
        <v>-1.1363636363636402</v>
      </c>
      <c r="AL30" s="195">
        <f ca="1">IF(N30&lt;&gt;"",N30-$Y30,"")</f>
        <v>-11.13636363636364</v>
      </c>
      <c r="AM30" s="195">
        <f ca="1">IF(O30&lt;&gt;"",O30-$Y30,"")</f>
        <v>-6.1363636363636402</v>
      </c>
      <c r="AN30" s="195">
        <f ca="1">IF(P30&lt;&gt;"",P30-$Y30,"")</f>
        <v>18.86363636363636</v>
      </c>
      <c r="AO30" s="195">
        <f ca="1">IF(S30&lt;&gt;"",S30-$Y30,"")</f>
        <v>3.8636363636363598</v>
      </c>
      <c r="AP30" s="195">
        <f ca="1">IF(T30&lt;&gt;"",T30-$Y30,"")</f>
        <v>13.86363636363636</v>
      </c>
      <c r="AQ30" s="195">
        <f ca="1">IF(U30&lt;&gt;"",U30-$Y30,"")</f>
        <v>-1.1363636363636402</v>
      </c>
      <c r="AR30" s="195">
        <f ca="1">IF(V30&lt;&gt;"",V30-$Y30,"")</f>
        <v>-6.1363636363636402</v>
      </c>
      <c r="AS30" s="195">
        <f ca="1">IF(W30&lt;&gt;"",W30-$Y30,"")</f>
        <v>-11.13636363636364</v>
      </c>
      <c r="AT30" s="195">
        <f ca="1">IF(Q30&lt;&gt;"",Q30-$Y30,"")</f>
        <v>-6.1363636363636402</v>
      </c>
      <c r="AU30" s="195">
        <f ca="1">IF(R30&lt;&gt;"",R30-$Y30,"")</f>
        <v>-11.13636363636364</v>
      </c>
      <c r="AV30" s="195">
        <f t="shared" ca="1" si="2"/>
        <v>-31.13636363636364</v>
      </c>
    </row>
    <row r="31" spans="1:48" hidden="1">
      <c r="A31" s="189">
        <v>30</v>
      </c>
      <c r="B31" s="166" t="str">
        <f>VLOOKUP($A31,Willem!$B$14:$P$89,4,0)&amp;"-"&amp;VLOOKUP($A31,Willem!$B$14:$P$89,6,0)</f>
        <v>Portugal  -  Noord-Korea</v>
      </c>
      <c r="C31" s="341">
        <f ca="1">IF(VLOOKUP($A31,INDIRECT(C$1&amp;"!$B$14:$P$89"),15,0)&lt;&gt;"",VLOOKUP($A31,INDIRECT(C$1&amp;"!$B$14:$P$89"),15,0)+C30,"")</f>
        <v>75</v>
      </c>
      <c r="D31" s="341">
        <f ca="1">IF(VLOOKUP($A31,INDIRECT(D$1&amp;"!$B$14:$P$89"),15,0)&lt;&gt;"",VLOOKUP($A31,INDIRECT(D$1&amp;"!$B$14:$P$89"),15,0)+D30,"")</f>
        <v>70</v>
      </c>
      <c r="E31" s="341">
        <f ca="1">IF(VLOOKUP($A31,INDIRECT(E$1&amp;"!$B$14:$P$89"),15,0)&lt;&gt;"",VLOOKUP($A31,INDIRECT(E$1&amp;"!$B$14:$P$89"),15,0)+E30,"")</f>
        <v>75</v>
      </c>
      <c r="F31" s="341">
        <f ca="1">IF(VLOOKUP($A31,INDIRECT(F$1&amp;"!$B$14:$P$89"),15,0)&lt;&gt;"",VLOOKUP($A31,INDIRECT(F$1&amp;"!$B$14:$P$89"),15,0)+F30,"")</f>
        <v>115</v>
      </c>
      <c r="G31" s="341">
        <f ca="1">IF(VLOOKUP($A31,INDIRECT(G$1&amp;"!$B$14:$P$89"),15,0)&lt;&gt;"",VLOOKUP($A31,INDIRECT(G$1&amp;"!$B$14:$P$89"),15,0)+G30,"")</f>
        <v>85</v>
      </c>
      <c r="H31" s="341">
        <f ca="1">IF(VLOOKUP($A31,INDIRECT(H$1&amp;"!$B$14:$P$89"),15,0)&lt;&gt;"",VLOOKUP($A31,INDIRECT(H$1&amp;"!$B$14:$P$89"),15,0)+H30,"")</f>
        <v>90</v>
      </c>
      <c r="I31" s="341">
        <f ca="1">IF(VLOOKUP($A31,INDIRECT(I$1&amp;"!$B$14:$P$89"),15,0)&lt;&gt;"",VLOOKUP($A31,INDIRECT(I$1&amp;"!$B$14:$P$89"),15,0)+I30,"")</f>
        <v>70</v>
      </c>
      <c r="J31" s="341">
        <f ca="1">IF(VLOOKUP($A31,INDIRECT(J$1&amp;"!$B$14:$P$89"),15,0)&lt;&gt;"",VLOOKUP($A31,INDIRECT(J$1&amp;"!$B$14:$P$89"),15,0)+J30,"")</f>
        <v>85</v>
      </c>
      <c r="K31" s="341">
        <f ca="1">IF(VLOOKUP($A31,INDIRECT(K$1&amp;"!$B$14:$P$89"),15,0)&lt;&gt;"",VLOOKUP($A31,INDIRECT(K$1&amp;"!$B$14:$P$89"),15,0)+K30,"")</f>
        <v>95</v>
      </c>
      <c r="L31" s="341">
        <f ca="1">IF(VLOOKUP($A31,INDIRECT(L$1&amp;"!$B$14:$P$89"),15,0)&lt;&gt;"",VLOOKUP($A31,INDIRECT(L$1&amp;"!$B$14:$P$89"),15,0)+L30,"")</f>
        <v>95</v>
      </c>
      <c r="M31" s="341">
        <f ca="1">IF(VLOOKUP($A31,INDIRECT(M$1&amp;"!$B$14:$P$89"),15,0)&lt;&gt;"",VLOOKUP($A31,INDIRECT(M$1&amp;"!$B$14:$P$89"),15,0)+M30,"")</f>
        <v>80</v>
      </c>
      <c r="N31" s="341">
        <f ca="1">IF(VLOOKUP($A31,INDIRECT(N$1&amp;"!$B$14:$P$89"),15,0)&lt;&gt;"",VLOOKUP($A31,INDIRECT(N$1&amp;"!$B$14:$P$89"),15,0)+N30,"")</f>
        <v>70</v>
      </c>
      <c r="O31" s="341">
        <f ca="1">IF(VLOOKUP($A31,INDIRECT(O$1&amp;"!$B$14:$P$89"),15,0)&lt;&gt;"",VLOOKUP($A31,INDIRECT(O$1&amp;"!$B$14:$P$89"),15,0)+O30,"")</f>
        <v>75</v>
      </c>
      <c r="P31" s="341">
        <f ca="1">IF(VLOOKUP($A31,INDIRECT(P$1&amp;"!$B$14:$P$89"),15,0)&lt;&gt;"",VLOOKUP($A31,INDIRECT(P$1&amp;"!$B$14:$P$89"),15,0)+P30,"")</f>
        <v>100</v>
      </c>
      <c r="Q31" s="341">
        <f ca="1">IF(VLOOKUP($A31,INDIRECT(Q$1&amp;"!$B$14:$P$89"),15,0)&lt;&gt;"",VLOOKUP($A31,INDIRECT(Q$1&amp;"!$B$14:$P$89"),15,0)+Q30,"")</f>
        <v>75</v>
      </c>
      <c r="R31" s="341">
        <f ca="1">IF(VLOOKUP($A31,INDIRECT(R$1&amp;"!$B$14:$P$89"),15,0)&lt;&gt;"",VLOOKUP($A31,INDIRECT(R$1&amp;"!$B$14:$P$89"),15,0)+R30,"")</f>
        <v>70</v>
      </c>
      <c r="S31" s="341">
        <f ca="1">IF(VLOOKUP($A31,INDIRECT(S$1&amp;"!$B$14:$P$89"),15,0)&lt;&gt;"",VLOOKUP($A31,INDIRECT(S$1&amp;"!$B$14:$P$89"),15,0)+S30,"")</f>
        <v>80</v>
      </c>
      <c r="T31" s="341">
        <f ca="1">IF(VLOOKUP($A31,INDIRECT(T$1&amp;"!$B$14:$P$89"),15,0)&lt;&gt;"",VLOOKUP($A31,INDIRECT(T$1&amp;"!$B$14:$P$89"),15,0)+T30,"")</f>
        <v>95</v>
      </c>
      <c r="U31" s="341">
        <f ca="1">IF(VLOOKUP($A31,INDIRECT(U$1&amp;"!$B$14:$P$89"),15,0)&lt;&gt;"",VLOOKUP($A31,INDIRECT(U$1&amp;"!$B$14:$P$89"),15,0)+U30,"")</f>
        <v>80</v>
      </c>
      <c r="V31" s="341">
        <f ca="1">IF(VLOOKUP($A31,INDIRECT(V$1&amp;"!$B$14:$P$89"),15,0)&lt;&gt;"",VLOOKUP($A31,INDIRECT(V$1&amp;"!$B$14:$P$89"),15,0)+V30,"")</f>
        <v>75</v>
      </c>
      <c r="W31" s="341">
        <f ca="1">IF(VLOOKUP($A31,INDIRECT(W$1&amp;"!$B$14:$P$89"),15,0)&lt;&gt;"",VLOOKUP($A31,INDIRECT(W$1&amp;"!$B$14:$P$89"),15,0)+W30,"")</f>
        <v>70</v>
      </c>
      <c r="X31" s="341">
        <f ca="1">IF(VLOOKUP($A31,INDIRECT(X$1&amp;"!$B$14:$P$89"),15,0)&lt;&gt;"",VLOOKUP($A31,INDIRECT(X$1&amp;"!$B$14:$P$89"),15,0)+X30,"")</f>
        <v>50</v>
      </c>
      <c r="Y31" s="178">
        <f t="shared" ca="1" si="1"/>
        <v>80.681818181818187</v>
      </c>
      <c r="Z31" s="194">
        <f t="shared" ca="1" si="3"/>
        <v>4.5454545454545467</v>
      </c>
      <c r="AA31" s="195">
        <f ca="1">IF(C31&lt;&gt;"",C31-$Y31,"")</f>
        <v>-5.681818181818187</v>
      </c>
      <c r="AB31" s="195">
        <f ca="1">IF(D31&lt;&gt;"",D31-$Y31,"")</f>
        <v>-10.681818181818187</v>
      </c>
      <c r="AC31" s="195">
        <f ca="1">IF(E31&lt;&gt;"",E31-$Y31,"")</f>
        <v>-5.681818181818187</v>
      </c>
      <c r="AD31" s="195">
        <f ca="1">IF(F31&lt;&gt;"",F31-$Y31,"")</f>
        <v>34.318181818181813</v>
      </c>
      <c r="AE31" s="195">
        <f ca="1">IF(G31&lt;&gt;"",G31-$Y31,"")</f>
        <v>4.318181818181813</v>
      </c>
      <c r="AF31" s="195">
        <f ca="1">IF(H31&lt;&gt;"",H31-$Y31,"")</f>
        <v>9.318181818181813</v>
      </c>
      <c r="AG31" s="195">
        <f ca="1">IF(I31&lt;&gt;"",I31-$Y31,"")</f>
        <v>-10.681818181818187</v>
      </c>
      <c r="AH31" s="195">
        <f ca="1">IF(J31&lt;&gt;"",J31-$Y31,"")</f>
        <v>4.318181818181813</v>
      </c>
      <c r="AI31" s="195">
        <f ca="1">IF(K31&lt;&gt;"",K31-$Y31,"")</f>
        <v>14.318181818181813</v>
      </c>
      <c r="AJ31" s="195">
        <f ca="1">IF(L31&lt;&gt;"",L31-$Y31,"")</f>
        <v>14.318181818181813</v>
      </c>
      <c r="AK31" s="195">
        <f ca="1">IF(M31&lt;&gt;"",M31-$Y31,"")</f>
        <v>-0.68181818181818699</v>
      </c>
      <c r="AL31" s="195">
        <f ca="1">IF(N31&lt;&gt;"",N31-$Y31,"")</f>
        <v>-10.681818181818187</v>
      </c>
      <c r="AM31" s="195">
        <f ca="1">IF(O31&lt;&gt;"",O31-$Y31,"")</f>
        <v>-5.681818181818187</v>
      </c>
      <c r="AN31" s="195">
        <f ca="1">IF(P31&lt;&gt;"",P31-$Y31,"")</f>
        <v>19.318181818181813</v>
      </c>
      <c r="AO31" s="195">
        <f ca="1">IF(S31&lt;&gt;"",S31-$Y31,"")</f>
        <v>-0.68181818181818699</v>
      </c>
      <c r="AP31" s="195">
        <f ca="1">IF(T31&lt;&gt;"",T31-$Y31,"")</f>
        <v>14.318181818181813</v>
      </c>
      <c r="AQ31" s="195">
        <f ca="1">IF(U31&lt;&gt;"",U31-$Y31,"")</f>
        <v>-0.68181818181818699</v>
      </c>
      <c r="AR31" s="195">
        <f ca="1">IF(V31&lt;&gt;"",V31-$Y31,"")</f>
        <v>-5.681818181818187</v>
      </c>
      <c r="AS31" s="195">
        <f ca="1">IF(W31&lt;&gt;"",W31-$Y31,"")</f>
        <v>-10.681818181818187</v>
      </c>
      <c r="AT31" s="195">
        <f ca="1">IF(Q31&lt;&gt;"",Q31-$Y31,"")</f>
        <v>-5.681818181818187</v>
      </c>
      <c r="AU31" s="195">
        <f ca="1">IF(R31&lt;&gt;"",R31-$Y31,"")</f>
        <v>-10.681818181818187</v>
      </c>
      <c r="AV31" s="195">
        <f t="shared" ca="1" si="2"/>
        <v>-30.681818181818187</v>
      </c>
    </row>
    <row r="32" spans="1:48" hidden="1">
      <c r="A32" s="189">
        <v>31</v>
      </c>
      <c r="B32" s="165" t="str">
        <f>VLOOKUP($A32,Willem!$B$14:$P$89,4,0)&amp;"-"&amp;VLOOKUP($A32,Willem!$B$14:$P$89,6,0)</f>
        <v>Chili  -  Zwitserland</v>
      </c>
      <c r="C32" s="340">
        <f ca="1">IF(VLOOKUP($A32,INDIRECT(C$1&amp;"!$B$14:$P$89"),15,0)&lt;&gt;"",VLOOKUP($A32,INDIRECT(C$1&amp;"!$B$14:$P$89"),15,0)+C31,"")</f>
        <v>85</v>
      </c>
      <c r="D32" s="340">
        <f ca="1">IF(VLOOKUP($A32,INDIRECT(D$1&amp;"!$B$14:$P$89"),15,0)&lt;&gt;"",VLOOKUP($A32,INDIRECT(D$1&amp;"!$B$14:$P$89"),15,0)+D31,"")</f>
        <v>80</v>
      </c>
      <c r="E32" s="340">
        <f ca="1">IF(VLOOKUP($A32,INDIRECT(E$1&amp;"!$B$14:$P$89"),15,0)&lt;&gt;"",VLOOKUP($A32,INDIRECT(E$1&amp;"!$B$14:$P$89"),15,0)+E31,"")</f>
        <v>75</v>
      </c>
      <c r="F32" s="340">
        <f ca="1">IF(VLOOKUP($A32,INDIRECT(F$1&amp;"!$B$14:$P$89"),15,0)&lt;&gt;"",VLOOKUP($A32,INDIRECT(F$1&amp;"!$B$14:$P$89"),15,0)+F31,"")</f>
        <v>115</v>
      </c>
      <c r="G32" s="340">
        <f ca="1">IF(VLOOKUP($A32,INDIRECT(G$1&amp;"!$B$14:$P$89"),15,0)&lt;&gt;"",VLOOKUP($A32,INDIRECT(G$1&amp;"!$B$14:$P$89"),15,0)+G31,"")</f>
        <v>85</v>
      </c>
      <c r="H32" s="340">
        <f ca="1">IF(VLOOKUP($A32,INDIRECT(H$1&amp;"!$B$14:$P$89"),15,0)&lt;&gt;"",VLOOKUP($A32,INDIRECT(H$1&amp;"!$B$14:$P$89"),15,0)+H31,"")</f>
        <v>95</v>
      </c>
      <c r="I32" s="340">
        <f ca="1">IF(VLOOKUP($A32,INDIRECT(I$1&amp;"!$B$14:$P$89"),15,0)&lt;&gt;"",VLOOKUP($A32,INDIRECT(I$1&amp;"!$B$14:$P$89"),15,0)+I31,"")</f>
        <v>70</v>
      </c>
      <c r="J32" s="340">
        <f ca="1">IF(VLOOKUP($A32,INDIRECT(J$1&amp;"!$B$14:$P$89"),15,0)&lt;&gt;"",VLOOKUP($A32,INDIRECT(J$1&amp;"!$B$14:$P$89"),15,0)+J31,"")</f>
        <v>85</v>
      </c>
      <c r="K32" s="340">
        <f ca="1">IF(VLOOKUP($A32,INDIRECT(K$1&amp;"!$B$14:$P$89"),15,0)&lt;&gt;"",VLOOKUP($A32,INDIRECT(K$1&amp;"!$B$14:$P$89"),15,0)+K31,"")</f>
        <v>95</v>
      </c>
      <c r="L32" s="340">
        <f ca="1">IF(VLOOKUP($A32,INDIRECT(L$1&amp;"!$B$14:$P$89"),15,0)&lt;&gt;"",VLOOKUP($A32,INDIRECT(L$1&amp;"!$B$14:$P$89"),15,0)+L31,"")</f>
        <v>100</v>
      </c>
      <c r="M32" s="340">
        <f ca="1">IF(VLOOKUP($A32,INDIRECT(M$1&amp;"!$B$14:$P$89"),15,0)&lt;&gt;"",VLOOKUP($A32,INDIRECT(M$1&amp;"!$B$14:$P$89"),15,0)+M31,"")</f>
        <v>80</v>
      </c>
      <c r="N32" s="340">
        <f ca="1">IF(VLOOKUP($A32,INDIRECT(N$1&amp;"!$B$14:$P$89"),15,0)&lt;&gt;"",VLOOKUP($A32,INDIRECT(N$1&amp;"!$B$14:$P$89"),15,0)+N31,"")</f>
        <v>80</v>
      </c>
      <c r="O32" s="340">
        <f ca="1">IF(VLOOKUP($A32,INDIRECT(O$1&amp;"!$B$14:$P$89"),15,0)&lt;&gt;"",VLOOKUP($A32,INDIRECT(O$1&amp;"!$B$14:$P$89"),15,0)+O31,"")</f>
        <v>80</v>
      </c>
      <c r="P32" s="340">
        <f ca="1">IF(VLOOKUP($A32,INDIRECT(P$1&amp;"!$B$14:$P$89"),15,0)&lt;&gt;"",VLOOKUP($A32,INDIRECT(P$1&amp;"!$B$14:$P$89"),15,0)+P31,"")</f>
        <v>110</v>
      </c>
      <c r="Q32" s="340">
        <f ca="1">IF(VLOOKUP($A32,INDIRECT(Q$1&amp;"!$B$14:$P$89"),15,0)&lt;&gt;"",VLOOKUP($A32,INDIRECT(Q$1&amp;"!$B$14:$P$89"),15,0)+Q31,"")</f>
        <v>75</v>
      </c>
      <c r="R32" s="340">
        <f ca="1">IF(VLOOKUP($A32,INDIRECT(R$1&amp;"!$B$14:$P$89"),15,0)&lt;&gt;"",VLOOKUP($A32,INDIRECT(R$1&amp;"!$B$14:$P$89"),15,0)+R31,"")</f>
        <v>80</v>
      </c>
      <c r="S32" s="340">
        <f ca="1">IF(VLOOKUP($A32,INDIRECT(S$1&amp;"!$B$14:$P$89"),15,0)&lt;&gt;"",VLOOKUP($A32,INDIRECT(S$1&amp;"!$B$14:$P$89"),15,0)+S31,"")</f>
        <v>80</v>
      </c>
      <c r="T32" s="340">
        <f ca="1">IF(VLOOKUP($A32,INDIRECT(T$1&amp;"!$B$14:$P$89"),15,0)&lt;&gt;"",VLOOKUP($A32,INDIRECT(T$1&amp;"!$B$14:$P$89"),15,0)+T31,"")</f>
        <v>95</v>
      </c>
      <c r="U32" s="340">
        <f ca="1">IF(VLOOKUP($A32,INDIRECT(U$1&amp;"!$B$14:$P$89"),15,0)&lt;&gt;"",VLOOKUP($A32,INDIRECT(U$1&amp;"!$B$14:$P$89"),15,0)+U31,"")</f>
        <v>85</v>
      </c>
      <c r="V32" s="340">
        <f ca="1">IF(VLOOKUP($A32,INDIRECT(V$1&amp;"!$B$14:$P$89"),15,0)&lt;&gt;"",VLOOKUP($A32,INDIRECT(V$1&amp;"!$B$14:$P$89"),15,0)+V31,"")</f>
        <v>75</v>
      </c>
      <c r="W32" s="340">
        <f ca="1">IF(VLOOKUP($A32,INDIRECT(W$1&amp;"!$B$14:$P$89"),15,0)&lt;&gt;"",VLOOKUP($A32,INDIRECT(W$1&amp;"!$B$14:$P$89"),15,0)+W31,"")</f>
        <v>70</v>
      </c>
      <c r="X32" s="340">
        <f ca="1">IF(VLOOKUP($A32,INDIRECT(X$1&amp;"!$B$14:$P$89"),15,0)&lt;&gt;"",VLOOKUP($A32,INDIRECT(X$1&amp;"!$B$14:$P$89"),15,0)+X31,"")</f>
        <v>50</v>
      </c>
      <c r="Y32" s="178">
        <f t="shared" ca="1" si="1"/>
        <v>83.86363636363636</v>
      </c>
      <c r="Z32" s="194">
        <f t="shared" ca="1" si="3"/>
        <v>3.1818181818181728</v>
      </c>
      <c r="AA32" s="195">
        <f ca="1">IF(C32&lt;&gt;"",C32-$Y32,"")</f>
        <v>1.1363636363636402</v>
      </c>
      <c r="AB32" s="195">
        <f ca="1">IF(D32&lt;&gt;"",D32-$Y32,"")</f>
        <v>-3.8636363636363598</v>
      </c>
      <c r="AC32" s="195">
        <f ca="1">IF(E32&lt;&gt;"",E32-$Y32,"")</f>
        <v>-8.8636363636363598</v>
      </c>
      <c r="AD32" s="195">
        <f ca="1">IF(F32&lt;&gt;"",F32-$Y32,"")</f>
        <v>31.13636363636364</v>
      </c>
      <c r="AE32" s="195">
        <f ca="1">IF(G32&lt;&gt;"",G32-$Y32,"")</f>
        <v>1.1363636363636402</v>
      </c>
      <c r="AF32" s="195">
        <f ca="1">IF(H32&lt;&gt;"",H32-$Y32,"")</f>
        <v>11.13636363636364</v>
      </c>
      <c r="AG32" s="195">
        <f ca="1">IF(I32&lt;&gt;"",I32-$Y32,"")</f>
        <v>-13.86363636363636</v>
      </c>
      <c r="AH32" s="195">
        <f ca="1">IF(J32&lt;&gt;"",J32-$Y32,"")</f>
        <v>1.1363636363636402</v>
      </c>
      <c r="AI32" s="195">
        <f ca="1">IF(K32&lt;&gt;"",K32-$Y32,"")</f>
        <v>11.13636363636364</v>
      </c>
      <c r="AJ32" s="195">
        <f ca="1">IF(L32&lt;&gt;"",L32-$Y32,"")</f>
        <v>16.13636363636364</v>
      </c>
      <c r="AK32" s="195">
        <f ca="1">IF(M32&lt;&gt;"",M32-$Y32,"")</f>
        <v>-3.8636363636363598</v>
      </c>
      <c r="AL32" s="195">
        <f ca="1">IF(N32&lt;&gt;"",N32-$Y32,"")</f>
        <v>-3.8636363636363598</v>
      </c>
      <c r="AM32" s="195">
        <f ca="1">IF(O32&lt;&gt;"",O32-$Y32,"")</f>
        <v>-3.8636363636363598</v>
      </c>
      <c r="AN32" s="195">
        <f ca="1">IF(P32&lt;&gt;"",P32-$Y32,"")</f>
        <v>26.13636363636364</v>
      </c>
      <c r="AO32" s="195">
        <f ca="1">IF(S32&lt;&gt;"",S32-$Y32,"")</f>
        <v>-3.8636363636363598</v>
      </c>
      <c r="AP32" s="195">
        <f ca="1">IF(T32&lt;&gt;"",T32-$Y32,"")</f>
        <v>11.13636363636364</v>
      </c>
      <c r="AQ32" s="195">
        <f ca="1">IF(U32&lt;&gt;"",U32-$Y32,"")</f>
        <v>1.1363636363636402</v>
      </c>
      <c r="AR32" s="195">
        <f ca="1">IF(V32&lt;&gt;"",V32-$Y32,"")</f>
        <v>-8.8636363636363598</v>
      </c>
      <c r="AS32" s="195">
        <f ca="1">IF(W32&lt;&gt;"",W32-$Y32,"")</f>
        <v>-13.86363636363636</v>
      </c>
      <c r="AT32" s="195">
        <f ca="1">IF(Q32&lt;&gt;"",Q32-$Y32,"")</f>
        <v>-8.8636363636363598</v>
      </c>
      <c r="AU32" s="195">
        <f ca="1">IF(R32&lt;&gt;"",R32-$Y32,"")</f>
        <v>-3.8636363636363598</v>
      </c>
      <c r="AV32" s="195">
        <f t="shared" ca="1" si="2"/>
        <v>-33.86363636363636</v>
      </c>
    </row>
    <row r="33" spans="1:48">
      <c r="A33" s="189">
        <v>32</v>
      </c>
      <c r="B33" s="166" t="str">
        <f>VLOOKUP($A33,Willem!$B$14:$P$89,4,0)&amp;"-"&amp;VLOOKUP($A33,Willem!$B$14:$P$89,6,0)</f>
        <v>Spanje  -  Honduras</v>
      </c>
      <c r="C33" s="341">
        <f ca="1">IF(VLOOKUP($A33,INDIRECT(C$1&amp;"!$B$14:$P$89"),15,0)&lt;&gt;"",VLOOKUP($A33,INDIRECT(C$1&amp;"!$B$14:$P$89"),15,0)+C32,"")</f>
        <v>90</v>
      </c>
      <c r="D33" s="341">
        <f ca="1">IF(VLOOKUP($A33,INDIRECT(D$1&amp;"!$B$14:$P$89"),15,0)&lt;&gt;"",VLOOKUP($A33,INDIRECT(D$1&amp;"!$B$14:$P$89"),15,0)+D32,"")</f>
        <v>90</v>
      </c>
      <c r="E33" s="341">
        <f ca="1">IF(VLOOKUP($A33,INDIRECT(E$1&amp;"!$B$14:$P$89"),15,0)&lt;&gt;"",VLOOKUP($A33,INDIRECT(E$1&amp;"!$B$14:$P$89"),15,0)+E32,"")</f>
        <v>85</v>
      </c>
      <c r="F33" s="341">
        <f ca="1">IF(VLOOKUP($A33,INDIRECT(F$1&amp;"!$B$14:$P$89"),15,0)&lt;&gt;"",VLOOKUP($A33,INDIRECT(F$1&amp;"!$B$14:$P$89"),15,0)+F32,"")</f>
        <v>120</v>
      </c>
      <c r="G33" s="341">
        <f ca="1">IF(VLOOKUP($A33,INDIRECT(G$1&amp;"!$B$14:$P$89"),15,0)&lt;&gt;"",VLOOKUP($A33,INDIRECT(G$1&amp;"!$B$14:$P$89"),15,0)+G32,"")</f>
        <v>90</v>
      </c>
      <c r="H33" s="341">
        <f ca="1">IF(VLOOKUP($A33,INDIRECT(H$1&amp;"!$B$14:$P$89"),15,0)&lt;&gt;"",VLOOKUP($A33,INDIRECT(H$1&amp;"!$B$14:$P$89"),15,0)+H32,"")</f>
        <v>95</v>
      </c>
      <c r="I33" s="341">
        <f ca="1">IF(VLOOKUP($A33,INDIRECT(I$1&amp;"!$B$14:$P$89"),15,0)&lt;&gt;"",VLOOKUP($A33,INDIRECT(I$1&amp;"!$B$14:$P$89"),15,0)+I32,"")</f>
        <v>80</v>
      </c>
      <c r="J33" s="341">
        <f ca="1">IF(VLOOKUP($A33,INDIRECT(J$1&amp;"!$B$14:$P$89"),15,0)&lt;&gt;"",VLOOKUP($A33,INDIRECT(J$1&amp;"!$B$14:$P$89"),15,0)+J32,"")</f>
        <v>90</v>
      </c>
      <c r="K33" s="341">
        <f ca="1">IF(VLOOKUP($A33,INDIRECT(K$1&amp;"!$B$14:$P$89"),15,0)&lt;&gt;"",VLOOKUP($A33,INDIRECT(K$1&amp;"!$B$14:$P$89"),15,0)+K32,"")</f>
        <v>100</v>
      </c>
      <c r="L33" s="341">
        <f ca="1">IF(VLOOKUP($A33,INDIRECT(L$1&amp;"!$B$14:$P$89"),15,0)&lt;&gt;"",VLOOKUP($A33,INDIRECT(L$1&amp;"!$B$14:$P$89"),15,0)+L32,"")</f>
        <v>105</v>
      </c>
      <c r="M33" s="341">
        <f ca="1">IF(VLOOKUP($A33,INDIRECT(M$1&amp;"!$B$14:$P$89"),15,0)&lt;&gt;"",VLOOKUP($A33,INDIRECT(M$1&amp;"!$B$14:$P$89"),15,0)+M32,"")</f>
        <v>85</v>
      </c>
      <c r="N33" s="341">
        <f ca="1">IF(VLOOKUP($A33,INDIRECT(N$1&amp;"!$B$14:$P$89"),15,0)&lt;&gt;"",VLOOKUP($A33,INDIRECT(N$1&amp;"!$B$14:$P$89"),15,0)+N32,"")</f>
        <v>85</v>
      </c>
      <c r="O33" s="341">
        <f ca="1">IF(VLOOKUP($A33,INDIRECT(O$1&amp;"!$B$14:$P$89"),15,0)&lt;&gt;"",VLOOKUP($A33,INDIRECT(O$1&amp;"!$B$14:$P$89"),15,0)+O32,"")</f>
        <v>90</v>
      </c>
      <c r="P33" s="341">
        <f ca="1">IF(VLOOKUP($A33,INDIRECT(P$1&amp;"!$B$14:$P$89"),15,0)&lt;&gt;"",VLOOKUP($A33,INDIRECT(P$1&amp;"!$B$14:$P$89"),15,0)+P32,"")</f>
        <v>115</v>
      </c>
      <c r="Q33" s="341">
        <f ca="1">IF(VLOOKUP($A33,INDIRECT(Q$1&amp;"!$B$14:$P$89"),15,0)&lt;&gt;"",VLOOKUP($A33,INDIRECT(Q$1&amp;"!$B$14:$P$89"),15,0)+Q32,"")</f>
        <v>80</v>
      </c>
      <c r="R33" s="341">
        <f ca="1">IF(VLOOKUP($A33,INDIRECT(R$1&amp;"!$B$14:$P$89"),15,0)&lt;&gt;"",VLOOKUP($A33,INDIRECT(R$1&amp;"!$B$14:$P$89"),15,0)+R32,"")</f>
        <v>85</v>
      </c>
      <c r="S33" s="341">
        <f ca="1">IF(VLOOKUP($A33,INDIRECT(S$1&amp;"!$B$14:$P$89"),15,0)&lt;&gt;"",VLOOKUP($A33,INDIRECT(S$1&amp;"!$B$14:$P$89"),15,0)+S32,"")</f>
        <v>80</v>
      </c>
      <c r="T33" s="341">
        <f ca="1">IF(VLOOKUP($A33,INDIRECT(T$1&amp;"!$B$14:$P$89"),15,0)&lt;&gt;"",VLOOKUP($A33,INDIRECT(T$1&amp;"!$B$14:$P$89"),15,0)+T32,"")</f>
        <v>100</v>
      </c>
      <c r="U33" s="341">
        <f ca="1">IF(VLOOKUP($A33,INDIRECT(U$1&amp;"!$B$14:$P$89"),15,0)&lt;&gt;"",VLOOKUP($A33,INDIRECT(U$1&amp;"!$B$14:$P$89"),15,0)+U32,"")</f>
        <v>90</v>
      </c>
      <c r="V33" s="341">
        <f ca="1">IF(VLOOKUP($A33,INDIRECT(V$1&amp;"!$B$14:$P$89"),15,0)&lt;&gt;"",VLOOKUP($A33,INDIRECT(V$1&amp;"!$B$14:$P$89"),15,0)+V32,"")</f>
        <v>85</v>
      </c>
      <c r="W33" s="341">
        <f ca="1">IF(VLOOKUP($A33,INDIRECT(W$1&amp;"!$B$14:$P$89"),15,0)&lt;&gt;"",VLOOKUP($A33,INDIRECT(W$1&amp;"!$B$14:$P$89"),15,0)+W32,"")</f>
        <v>75</v>
      </c>
      <c r="X33" s="341">
        <f ca="1">IF(VLOOKUP($A33,INDIRECT(X$1&amp;"!$B$14:$P$89"),15,0)&lt;&gt;"",VLOOKUP($A33,INDIRECT(X$1&amp;"!$B$14:$P$89"),15,0)+X32,"")</f>
        <v>55</v>
      </c>
      <c r="Y33" s="178">
        <f t="shared" ca="1" si="1"/>
        <v>89.545454545454547</v>
      </c>
      <c r="Z33" s="194">
        <f t="shared" ca="1" si="3"/>
        <v>5.681818181818187</v>
      </c>
      <c r="AA33" s="195">
        <f ca="1">IF(C33&lt;&gt;"",C33-$Y33,"")</f>
        <v>0.45454545454545325</v>
      </c>
      <c r="AB33" s="195">
        <f ca="1">IF(D33&lt;&gt;"",D33-$Y33,"")</f>
        <v>0.45454545454545325</v>
      </c>
      <c r="AC33" s="195">
        <f ca="1">IF(E33&lt;&gt;"",E33-$Y33,"")</f>
        <v>-4.5454545454545467</v>
      </c>
      <c r="AD33" s="195">
        <f ca="1">IF(F33&lt;&gt;"",F33-$Y33,"")</f>
        <v>30.454545454545453</v>
      </c>
      <c r="AE33" s="195">
        <f ca="1">IF(G33&lt;&gt;"",G33-$Y33,"")</f>
        <v>0.45454545454545325</v>
      </c>
      <c r="AF33" s="195">
        <f ca="1">IF(H33&lt;&gt;"",H33-$Y33,"")</f>
        <v>5.4545454545454533</v>
      </c>
      <c r="AG33" s="195">
        <f ca="1">IF(I33&lt;&gt;"",I33-$Y33,"")</f>
        <v>-9.5454545454545467</v>
      </c>
      <c r="AH33" s="195">
        <f ca="1">IF(J33&lt;&gt;"",J33-$Y33,"")</f>
        <v>0.45454545454545325</v>
      </c>
      <c r="AI33" s="195">
        <f ca="1">IF(K33&lt;&gt;"",K33-$Y33,"")</f>
        <v>10.454545454545453</v>
      </c>
      <c r="AJ33" s="195">
        <f ca="1">IF(L33&lt;&gt;"",L33-$Y33,"")</f>
        <v>15.454545454545453</v>
      </c>
      <c r="AK33" s="195">
        <f ca="1">IF(M33&lt;&gt;"",M33-$Y33,"")</f>
        <v>-4.5454545454545467</v>
      </c>
      <c r="AL33" s="195">
        <f ca="1">IF(N33&lt;&gt;"",N33-$Y33,"")</f>
        <v>-4.5454545454545467</v>
      </c>
      <c r="AM33" s="195">
        <f ca="1">IF(O33&lt;&gt;"",O33-$Y33,"")</f>
        <v>0.45454545454545325</v>
      </c>
      <c r="AN33" s="195">
        <f ca="1">IF(P33&lt;&gt;"",P33-$Y33,"")</f>
        <v>25.454545454545453</v>
      </c>
      <c r="AO33" s="195">
        <f ca="1">IF(S33&lt;&gt;"",S33-$Y33,"")</f>
        <v>-9.5454545454545467</v>
      </c>
      <c r="AP33" s="195">
        <f ca="1">IF(T33&lt;&gt;"",T33-$Y33,"")</f>
        <v>10.454545454545453</v>
      </c>
      <c r="AQ33" s="195">
        <f ca="1">IF(U33&lt;&gt;"",U33-$Y33,"")</f>
        <v>0.45454545454545325</v>
      </c>
      <c r="AR33" s="195">
        <f ca="1">IF(V33&lt;&gt;"",V33-$Y33,"")</f>
        <v>-4.5454545454545467</v>
      </c>
      <c r="AS33" s="195">
        <f ca="1">IF(W33&lt;&gt;"",W33-$Y33,"")</f>
        <v>-14.545454545454547</v>
      </c>
      <c r="AT33" s="195">
        <f ca="1">IF(Q33&lt;&gt;"",Q33-$Y33,"")</f>
        <v>-9.5454545454545467</v>
      </c>
      <c r="AU33" s="195">
        <f ca="1">IF(R33&lt;&gt;"",R33-$Y33,"")</f>
        <v>-4.5454545454545467</v>
      </c>
      <c r="AV33" s="195">
        <f t="shared" ca="1" si="2"/>
        <v>-34.545454545454547</v>
      </c>
    </row>
    <row r="34" spans="1:48">
      <c r="A34" s="189">
        <v>33</v>
      </c>
      <c r="B34" s="165" t="str">
        <f>VLOOKUP($A34,Willem!$B$14:$P$89,4,0)&amp;"-"&amp;VLOOKUP($A34,Willem!$B$14:$P$89,6,0)</f>
        <v>Mexico  -  Uruguay</v>
      </c>
      <c r="C34" s="340">
        <f ca="1">IF(VLOOKUP($A34,INDIRECT(C$1&amp;"!$B$14:$P$89"),15,0)&lt;&gt;"",VLOOKUP($A34,INDIRECT(C$1&amp;"!$B$14:$P$89"),15,0)+C33,"")</f>
        <v>95</v>
      </c>
      <c r="D34" s="340">
        <f ca="1">IF(VLOOKUP($A34,INDIRECT(D$1&amp;"!$B$14:$P$89"),15,0)&lt;&gt;"",VLOOKUP($A34,INDIRECT(D$1&amp;"!$B$14:$P$89"),15,0)+D33,"")</f>
        <v>90</v>
      </c>
      <c r="E34" s="340">
        <f ca="1">IF(VLOOKUP($A34,INDIRECT(E$1&amp;"!$B$14:$P$89"),15,0)&lt;&gt;"",VLOOKUP($A34,INDIRECT(E$1&amp;"!$B$14:$P$89"),15,0)+E33,"")</f>
        <v>85</v>
      </c>
      <c r="F34" s="340">
        <f ca="1">IF(VLOOKUP($A34,INDIRECT(F$1&amp;"!$B$14:$P$89"),15,0)&lt;&gt;"",VLOOKUP($A34,INDIRECT(F$1&amp;"!$B$14:$P$89"),15,0)+F33,"")</f>
        <v>120</v>
      </c>
      <c r="G34" s="340">
        <f ca="1">IF(VLOOKUP($A34,INDIRECT(G$1&amp;"!$B$14:$P$89"),15,0)&lt;&gt;"",VLOOKUP($A34,INDIRECT(G$1&amp;"!$B$14:$P$89"),15,0)+G33,"")</f>
        <v>90</v>
      </c>
      <c r="H34" s="340">
        <f ca="1">IF(VLOOKUP($A34,INDIRECT(H$1&amp;"!$B$14:$P$89"),15,0)&lt;&gt;"",VLOOKUP($A34,INDIRECT(H$1&amp;"!$B$14:$P$89"),15,0)+H33,"")</f>
        <v>95</v>
      </c>
      <c r="I34" s="340">
        <f ca="1">IF(VLOOKUP($A34,INDIRECT(I$1&amp;"!$B$14:$P$89"),15,0)&lt;&gt;"",VLOOKUP($A34,INDIRECT(I$1&amp;"!$B$14:$P$89"),15,0)+I33,"")</f>
        <v>80</v>
      </c>
      <c r="J34" s="340">
        <f ca="1">IF(VLOOKUP($A34,INDIRECT(J$1&amp;"!$B$14:$P$89"),15,0)&lt;&gt;"",VLOOKUP($A34,INDIRECT(J$1&amp;"!$B$14:$P$89"),15,0)+J33,"")</f>
        <v>90</v>
      </c>
      <c r="K34" s="340">
        <f ca="1">IF(VLOOKUP($A34,INDIRECT(K$1&amp;"!$B$14:$P$89"),15,0)&lt;&gt;"",VLOOKUP($A34,INDIRECT(K$1&amp;"!$B$14:$P$89"),15,0)+K33,"")</f>
        <v>100</v>
      </c>
      <c r="L34" s="340">
        <f ca="1">IF(VLOOKUP($A34,INDIRECT(L$1&amp;"!$B$14:$P$89"),15,0)&lt;&gt;"",VLOOKUP($A34,INDIRECT(L$1&amp;"!$B$14:$P$89"),15,0)+L33,"")</f>
        <v>105</v>
      </c>
      <c r="M34" s="340">
        <f ca="1">IF(VLOOKUP($A34,INDIRECT(M$1&amp;"!$B$14:$P$89"),15,0)&lt;&gt;"",VLOOKUP($A34,INDIRECT(M$1&amp;"!$B$14:$P$89"),15,0)+M33,"")</f>
        <v>85</v>
      </c>
      <c r="N34" s="340">
        <f ca="1">IF(VLOOKUP($A34,INDIRECT(N$1&amp;"!$B$14:$P$89"),15,0)&lt;&gt;"",VLOOKUP($A34,INDIRECT(N$1&amp;"!$B$14:$P$89"),15,0)+N33,"")</f>
        <v>85</v>
      </c>
      <c r="O34" s="340">
        <f ca="1">IF(VLOOKUP($A34,INDIRECT(O$1&amp;"!$B$14:$P$89"),15,0)&lt;&gt;"",VLOOKUP($A34,INDIRECT(O$1&amp;"!$B$14:$P$89"),15,0)+O33,"")</f>
        <v>90</v>
      </c>
      <c r="P34" s="340">
        <f ca="1">IF(VLOOKUP($A34,INDIRECT(P$1&amp;"!$B$14:$P$89"),15,0)&lt;&gt;"",VLOOKUP($A34,INDIRECT(P$1&amp;"!$B$14:$P$89"),15,0)+P33,"")</f>
        <v>115</v>
      </c>
      <c r="Q34" s="340">
        <f ca="1">IF(VLOOKUP($A34,INDIRECT(Q$1&amp;"!$B$14:$P$89"),15,0)&lt;&gt;"",VLOOKUP($A34,INDIRECT(Q$1&amp;"!$B$14:$P$89"),15,0)+Q33,"")</f>
        <v>80</v>
      </c>
      <c r="R34" s="340">
        <f ca="1">IF(VLOOKUP($A34,INDIRECT(R$1&amp;"!$B$14:$P$89"),15,0)&lt;&gt;"",VLOOKUP($A34,INDIRECT(R$1&amp;"!$B$14:$P$89"),15,0)+R33,"")</f>
        <v>85</v>
      </c>
      <c r="S34" s="340">
        <f ca="1">IF(VLOOKUP($A34,INDIRECT(S$1&amp;"!$B$14:$P$89"),15,0)&lt;&gt;"",VLOOKUP($A34,INDIRECT(S$1&amp;"!$B$14:$P$89"),15,0)+S33,"")</f>
        <v>80</v>
      </c>
      <c r="T34" s="340">
        <f ca="1">IF(VLOOKUP($A34,INDIRECT(T$1&amp;"!$B$14:$P$89"),15,0)&lt;&gt;"",VLOOKUP($A34,INDIRECT(T$1&amp;"!$B$14:$P$89"),15,0)+T33,"")</f>
        <v>100</v>
      </c>
      <c r="U34" s="340">
        <f ca="1">IF(VLOOKUP($A34,INDIRECT(U$1&amp;"!$B$14:$P$89"),15,0)&lt;&gt;"",VLOOKUP($A34,INDIRECT(U$1&amp;"!$B$14:$P$89"),15,0)+U33,"")</f>
        <v>90</v>
      </c>
      <c r="V34" s="340">
        <f ca="1">IF(VLOOKUP($A34,INDIRECT(V$1&amp;"!$B$14:$P$89"),15,0)&lt;&gt;"",VLOOKUP($A34,INDIRECT(V$1&amp;"!$B$14:$P$89"),15,0)+V33,"")</f>
        <v>90</v>
      </c>
      <c r="W34" s="340">
        <f ca="1">IF(VLOOKUP($A34,INDIRECT(W$1&amp;"!$B$14:$P$89"),15,0)&lt;&gt;"",VLOOKUP($A34,INDIRECT(W$1&amp;"!$B$14:$P$89"),15,0)+W33,"")</f>
        <v>85</v>
      </c>
      <c r="X34" s="340">
        <f ca="1">IF(VLOOKUP($A34,INDIRECT(X$1&amp;"!$B$14:$P$89"),15,0)&lt;&gt;"",VLOOKUP($A34,INDIRECT(X$1&amp;"!$B$14:$P$89"),15,0)+X33,"")</f>
        <v>60</v>
      </c>
      <c r="Y34" s="178">
        <f t="shared" ref="Y34:Y65" ca="1" si="4">AVERAGE(C34:X34)</f>
        <v>90.681818181818187</v>
      </c>
      <c r="Z34" s="194">
        <f ca="1">Y34-Y33</f>
        <v>1.1363636363636402</v>
      </c>
      <c r="AA34" s="195">
        <f ca="1">IF(C34&lt;&gt;"",C34-$Y34,"")</f>
        <v>4.318181818181813</v>
      </c>
      <c r="AB34" s="195">
        <f ca="1">IF(D34&lt;&gt;"",D34-$Y34,"")</f>
        <v>-0.68181818181818699</v>
      </c>
      <c r="AC34" s="195">
        <f ca="1">IF(E34&lt;&gt;"",E34-$Y34,"")</f>
        <v>-5.681818181818187</v>
      </c>
      <c r="AD34" s="195">
        <f ca="1">IF(F34&lt;&gt;"",F34-$Y34,"")</f>
        <v>29.318181818181813</v>
      </c>
      <c r="AE34" s="195">
        <f ca="1">IF(G34&lt;&gt;"",G34-$Y34,"")</f>
        <v>-0.68181818181818699</v>
      </c>
      <c r="AF34" s="195">
        <f ca="1">IF(H34&lt;&gt;"",H34-$Y34,"")</f>
        <v>4.318181818181813</v>
      </c>
      <c r="AG34" s="195">
        <f ca="1">IF(I34&lt;&gt;"",I34-$Y34,"")</f>
        <v>-10.681818181818187</v>
      </c>
      <c r="AH34" s="195">
        <f ca="1">IF(J34&lt;&gt;"",J34-$Y34,"")</f>
        <v>-0.68181818181818699</v>
      </c>
      <c r="AI34" s="195">
        <f ca="1">IF(K34&lt;&gt;"",K34-$Y34,"")</f>
        <v>9.318181818181813</v>
      </c>
      <c r="AJ34" s="195">
        <f ca="1">IF(L34&lt;&gt;"",L34-$Y34,"")</f>
        <v>14.318181818181813</v>
      </c>
      <c r="AK34" s="195">
        <f ca="1">IF(M34&lt;&gt;"",M34-$Y34,"")</f>
        <v>-5.681818181818187</v>
      </c>
      <c r="AL34" s="195">
        <f ca="1">IF(N34&lt;&gt;"",N34-$Y34,"")</f>
        <v>-5.681818181818187</v>
      </c>
      <c r="AM34" s="195">
        <f ca="1">IF(O34&lt;&gt;"",O34-$Y34,"")</f>
        <v>-0.68181818181818699</v>
      </c>
      <c r="AN34" s="195">
        <f ca="1">IF(P34&lt;&gt;"",P34-$Y34,"")</f>
        <v>24.318181818181813</v>
      </c>
      <c r="AO34" s="195">
        <f ca="1">IF(S34&lt;&gt;"",S34-$Y34,"")</f>
        <v>-10.681818181818187</v>
      </c>
      <c r="AP34" s="195">
        <f ca="1">IF(T34&lt;&gt;"",T34-$Y34,"")</f>
        <v>9.318181818181813</v>
      </c>
      <c r="AQ34" s="195">
        <f ca="1">IF(U34&lt;&gt;"",U34-$Y34,"")</f>
        <v>-0.68181818181818699</v>
      </c>
      <c r="AR34" s="195">
        <f ca="1">IF(V34&lt;&gt;"",V34-$Y34,"")</f>
        <v>-0.68181818181818699</v>
      </c>
      <c r="AS34" s="195">
        <f ca="1">IF(W34&lt;&gt;"",W34-$Y34,"")</f>
        <v>-5.681818181818187</v>
      </c>
      <c r="AT34" s="195">
        <f ca="1">IF(Q34&lt;&gt;"",Q34-$Y34,"")</f>
        <v>-10.681818181818187</v>
      </c>
      <c r="AU34" s="195">
        <f ca="1">IF(R34&lt;&gt;"",R34-$Y34,"")</f>
        <v>-5.681818181818187</v>
      </c>
      <c r="AV34" s="195">
        <f t="shared" ref="AV34:AV65" ca="1" si="5">IF(X34&lt;&gt;"",X34-$Y34,"")</f>
        <v>-30.681818181818187</v>
      </c>
    </row>
    <row r="35" spans="1:48">
      <c r="A35" s="189">
        <v>34</v>
      </c>
      <c r="B35" s="166" t="str">
        <f>VLOOKUP($A35,Willem!$B$14:$P$89,4,0)&amp;"-"&amp;VLOOKUP($A35,Willem!$B$14:$P$89,6,0)</f>
        <v>Frankrijk  -  Zuid-Afrika</v>
      </c>
      <c r="C35" s="341">
        <f ca="1">IF(VLOOKUP($A35,INDIRECT(C$1&amp;"!$B$14:$P$89"),15,0)&lt;&gt;"",VLOOKUP($A35,INDIRECT(C$1&amp;"!$B$14:$P$89"),15,0)+C34,"")</f>
        <v>95</v>
      </c>
      <c r="D35" s="341">
        <f ca="1">IF(VLOOKUP($A35,INDIRECT(D$1&amp;"!$B$14:$P$89"),15,0)&lt;&gt;"",VLOOKUP($A35,INDIRECT(D$1&amp;"!$B$14:$P$89"),15,0)+D34,"")</f>
        <v>90</v>
      </c>
      <c r="E35" s="341">
        <f ca="1">IF(VLOOKUP($A35,INDIRECT(E$1&amp;"!$B$14:$P$89"),15,0)&lt;&gt;"",VLOOKUP($A35,INDIRECT(E$1&amp;"!$B$14:$P$89"),15,0)+E34,"")</f>
        <v>85</v>
      </c>
      <c r="F35" s="341">
        <f ca="1">IF(VLOOKUP($A35,INDIRECT(F$1&amp;"!$B$14:$P$89"),15,0)&lt;&gt;"",VLOOKUP($A35,INDIRECT(F$1&amp;"!$B$14:$P$89"),15,0)+F34,"")</f>
        <v>120</v>
      </c>
      <c r="G35" s="341">
        <f ca="1">IF(VLOOKUP($A35,INDIRECT(G$1&amp;"!$B$14:$P$89"),15,0)&lt;&gt;"",VLOOKUP($A35,INDIRECT(G$1&amp;"!$B$14:$P$89"),15,0)+G34,"")</f>
        <v>90</v>
      </c>
      <c r="H35" s="341">
        <f ca="1">IF(VLOOKUP($A35,INDIRECT(H$1&amp;"!$B$14:$P$89"),15,0)&lt;&gt;"",VLOOKUP($A35,INDIRECT(H$1&amp;"!$B$14:$P$89"),15,0)+H34,"")</f>
        <v>95</v>
      </c>
      <c r="I35" s="341">
        <f ca="1">IF(VLOOKUP($A35,INDIRECT(I$1&amp;"!$B$14:$P$89"),15,0)&lt;&gt;"",VLOOKUP($A35,INDIRECT(I$1&amp;"!$B$14:$P$89"),15,0)+I34,"")</f>
        <v>80</v>
      </c>
      <c r="J35" s="341">
        <f ca="1">IF(VLOOKUP($A35,INDIRECT(J$1&amp;"!$B$14:$P$89"),15,0)&lt;&gt;"",VLOOKUP($A35,INDIRECT(J$1&amp;"!$B$14:$P$89"),15,0)+J34,"")</f>
        <v>90</v>
      </c>
      <c r="K35" s="341">
        <f ca="1">IF(VLOOKUP($A35,INDIRECT(K$1&amp;"!$B$14:$P$89"),15,0)&lt;&gt;"",VLOOKUP($A35,INDIRECT(K$1&amp;"!$B$14:$P$89"),15,0)+K34,"")</f>
        <v>100</v>
      </c>
      <c r="L35" s="341">
        <f ca="1">IF(VLOOKUP($A35,INDIRECT(L$1&amp;"!$B$14:$P$89"),15,0)&lt;&gt;"",VLOOKUP($A35,INDIRECT(L$1&amp;"!$B$14:$P$89"),15,0)+L34,"")</f>
        <v>105</v>
      </c>
      <c r="M35" s="341">
        <f ca="1">IF(VLOOKUP($A35,INDIRECT(M$1&amp;"!$B$14:$P$89"),15,0)&lt;&gt;"",VLOOKUP($A35,INDIRECT(M$1&amp;"!$B$14:$P$89"),15,0)+M34,"")</f>
        <v>85</v>
      </c>
      <c r="N35" s="341">
        <f ca="1">IF(VLOOKUP($A35,INDIRECT(N$1&amp;"!$B$14:$P$89"),15,0)&lt;&gt;"",VLOOKUP($A35,INDIRECT(N$1&amp;"!$B$14:$P$89"),15,0)+N34,"")</f>
        <v>85</v>
      </c>
      <c r="O35" s="341">
        <f ca="1">IF(VLOOKUP($A35,INDIRECT(O$1&amp;"!$B$14:$P$89"),15,0)&lt;&gt;"",VLOOKUP($A35,INDIRECT(O$1&amp;"!$B$14:$P$89"),15,0)+O34,"")</f>
        <v>90</v>
      </c>
      <c r="P35" s="341">
        <f ca="1">IF(VLOOKUP($A35,INDIRECT(P$1&amp;"!$B$14:$P$89"),15,0)&lt;&gt;"",VLOOKUP($A35,INDIRECT(P$1&amp;"!$B$14:$P$89"),15,0)+P34,"")</f>
        <v>115</v>
      </c>
      <c r="Q35" s="341">
        <f ca="1">IF(VLOOKUP($A35,INDIRECT(Q$1&amp;"!$B$14:$P$89"),15,0)&lt;&gt;"",VLOOKUP($A35,INDIRECT(Q$1&amp;"!$B$14:$P$89"),15,0)+Q34,"")</f>
        <v>80</v>
      </c>
      <c r="R35" s="341">
        <f ca="1">IF(VLOOKUP($A35,INDIRECT(R$1&amp;"!$B$14:$P$89"),15,0)&lt;&gt;"",VLOOKUP($A35,INDIRECT(R$1&amp;"!$B$14:$P$89"),15,0)+R34,"")</f>
        <v>90</v>
      </c>
      <c r="S35" s="341">
        <f ca="1">IF(VLOOKUP($A35,INDIRECT(S$1&amp;"!$B$14:$P$89"),15,0)&lt;&gt;"",VLOOKUP($A35,INDIRECT(S$1&amp;"!$B$14:$P$89"),15,0)+S34,"")</f>
        <v>80</v>
      </c>
      <c r="T35" s="341">
        <f ca="1">IF(VLOOKUP($A35,INDIRECT(T$1&amp;"!$B$14:$P$89"),15,0)&lt;&gt;"",VLOOKUP($A35,INDIRECT(T$1&amp;"!$B$14:$P$89"),15,0)+T34,"")</f>
        <v>100</v>
      </c>
      <c r="U35" s="341">
        <f ca="1">IF(VLOOKUP($A35,INDIRECT(U$1&amp;"!$B$14:$P$89"),15,0)&lt;&gt;"",VLOOKUP($A35,INDIRECT(U$1&amp;"!$B$14:$P$89"),15,0)+U34,"")</f>
        <v>90</v>
      </c>
      <c r="V35" s="341">
        <f ca="1">IF(VLOOKUP($A35,INDIRECT(V$1&amp;"!$B$14:$P$89"),15,0)&lt;&gt;"",VLOOKUP($A35,INDIRECT(V$1&amp;"!$B$14:$P$89"),15,0)+V34,"")</f>
        <v>90</v>
      </c>
      <c r="W35" s="341">
        <f ca="1">IF(VLOOKUP($A35,INDIRECT(W$1&amp;"!$B$14:$P$89"),15,0)&lt;&gt;"",VLOOKUP($A35,INDIRECT(W$1&amp;"!$B$14:$P$89"),15,0)+W34,"")</f>
        <v>85</v>
      </c>
      <c r="X35" s="341">
        <f ca="1">IF(VLOOKUP($A35,INDIRECT(X$1&amp;"!$B$14:$P$89"),15,0)&lt;&gt;"",VLOOKUP($A35,INDIRECT(X$1&amp;"!$B$14:$P$89"),15,0)+X34,"")</f>
        <v>60</v>
      </c>
      <c r="Y35" s="178">
        <f t="shared" ca="1" si="4"/>
        <v>90.909090909090907</v>
      </c>
      <c r="Z35" s="194">
        <f t="shared" ref="Z35:Z65" ca="1" si="6">Y35-Y34</f>
        <v>0.22727272727271952</v>
      </c>
      <c r="AA35" s="195">
        <f ca="1">IF(C35&lt;&gt;"",C35-$Y35,"")</f>
        <v>4.0909090909090935</v>
      </c>
      <c r="AB35" s="195">
        <f ca="1">IF(D35&lt;&gt;"",D35-$Y35,"")</f>
        <v>-0.90909090909090651</v>
      </c>
      <c r="AC35" s="195">
        <f ca="1">IF(E35&lt;&gt;"",E35-$Y35,"")</f>
        <v>-5.9090909090909065</v>
      </c>
      <c r="AD35" s="195">
        <f ca="1">IF(F35&lt;&gt;"",F35-$Y35,"")</f>
        <v>29.090909090909093</v>
      </c>
      <c r="AE35" s="195">
        <f ca="1">IF(G35&lt;&gt;"",G35-$Y35,"")</f>
        <v>-0.90909090909090651</v>
      </c>
      <c r="AF35" s="195">
        <f ca="1">IF(H35&lt;&gt;"",H35-$Y35,"")</f>
        <v>4.0909090909090935</v>
      </c>
      <c r="AG35" s="195">
        <f ca="1">IF(I35&lt;&gt;"",I35-$Y35,"")</f>
        <v>-10.909090909090907</v>
      </c>
      <c r="AH35" s="195">
        <f ca="1">IF(J35&lt;&gt;"",J35-$Y35,"")</f>
        <v>-0.90909090909090651</v>
      </c>
      <c r="AI35" s="195">
        <f ca="1">IF(K35&lt;&gt;"",K35-$Y35,"")</f>
        <v>9.0909090909090935</v>
      </c>
      <c r="AJ35" s="195">
        <f ca="1">IF(L35&lt;&gt;"",L35-$Y35,"")</f>
        <v>14.090909090909093</v>
      </c>
      <c r="AK35" s="195">
        <f ca="1">IF(M35&lt;&gt;"",M35-$Y35,"")</f>
        <v>-5.9090909090909065</v>
      </c>
      <c r="AL35" s="195">
        <f ca="1">IF(N35&lt;&gt;"",N35-$Y35,"")</f>
        <v>-5.9090909090909065</v>
      </c>
      <c r="AM35" s="195">
        <f ca="1">IF(O35&lt;&gt;"",O35-$Y35,"")</f>
        <v>-0.90909090909090651</v>
      </c>
      <c r="AN35" s="195">
        <f ca="1">IF(P35&lt;&gt;"",P35-$Y35,"")</f>
        <v>24.090909090909093</v>
      </c>
      <c r="AO35" s="195">
        <f ca="1">IF(S35&lt;&gt;"",S35-$Y35,"")</f>
        <v>-10.909090909090907</v>
      </c>
      <c r="AP35" s="195">
        <f ca="1">IF(T35&lt;&gt;"",T35-$Y35,"")</f>
        <v>9.0909090909090935</v>
      </c>
      <c r="AQ35" s="195">
        <f ca="1">IF(U35&lt;&gt;"",U35-$Y35,"")</f>
        <v>-0.90909090909090651</v>
      </c>
      <c r="AR35" s="195">
        <f ca="1">IF(V35&lt;&gt;"",V35-$Y35,"")</f>
        <v>-0.90909090909090651</v>
      </c>
      <c r="AS35" s="195">
        <f ca="1">IF(W35&lt;&gt;"",W35-$Y35,"")</f>
        <v>-5.9090909090909065</v>
      </c>
      <c r="AT35" s="195">
        <f ca="1">IF(Q35&lt;&gt;"",Q35-$Y35,"")</f>
        <v>-10.909090909090907</v>
      </c>
      <c r="AU35" s="195">
        <f ca="1">IF(R35&lt;&gt;"",R35-$Y35,"")</f>
        <v>-0.90909090909090651</v>
      </c>
      <c r="AV35" s="195">
        <f t="shared" ca="1" si="5"/>
        <v>-30.909090909090907</v>
      </c>
    </row>
    <row r="36" spans="1:48">
      <c r="A36" s="196" t="str">
        <f>B36</f>
        <v>Boni</v>
      </c>
      <c r="B36" s="166" t="s">
        <v>507</v>
      </c>
      <c r="C36" s="178">
        <f ca="1">C35+IF(ISNA(MATCH(Invulblad!$S$11,INDIRECT(C$1&amp;"!$E$70:$E$77"),0)),0,10)+IF(ISNA(MATCH(Invulblad!$S$11,INDIRECT(C$1&amp;"!$G$70:$G$77"),0)),0,10)+IF(ISNA(MATCH(Invulblad!$S$12,INDIRECT(C$1&amp;"!$E$70:$E$77"),0)),0,10)+IF(ISNA(MATCH(Invulblad!$S$12,INDIRECT(C$1&amp;"!$G$70:$G$77"),0)),0,10)</f>
        <v>105</v>
      </c>
      <c r="D36" s="178">
        <f ca="1">D35+IF(ISNA(MATCH(Invulblad!$S$11,INDIRECT(D$1&amp;"!$E$70:$E$77"),0)),0,10)+IF(ISNA(MATCH(Invulblad!$S$11,INDIRECT(D$1&amp;"!$G$70:$G$77"),0)),0,10)+IF(ISNA(MATCH(Invulblad!$S$12,INDIRECT(D$1&amp;"!$E$70:$E$77"),0)),0,10)+IF(ISNA(MATCH(Invulblad!$S$12,INDIRECT(D$1&amp;"!$G$70:$G$77"),0)),0,10)</f>
        <v>90</v>
      </c>
      <c r="E36" s="178">
        <f ca="1">E35+IF(ISNA(MATCH(Invulblad!$S$11,INDIRECT(E$1&amp;"!$E$70:$E$77"),0)),0,10)+IF(ISNA(MATCH(Invulblad!$S$11,INDIRECT(E$1&amp;"!$G$70:$G$77"),0)),0,10)+IF(ISNA(MATCH(Invulblad!$S$12,INDIRECT(E$1&amp;"!$E$70:$E$77"),0)),0,10)+IF(ISNA(MATCH(Invulblad!$S$12,INDIRECT(E$1&amp;"!$G$70:$G$77"),0)),0,10)</f>
        <v>95</v>
      </c>
      <c r="F36" s="178">
        <f ca="1">F35+IF(ISNA(MATCH(Invulblad!$S$11,INDIRECT(F$1&amp;"!$E$70:$E$77"),0)),0,10)+IF(ISNA(MATCH(Invulblad!$S$11,INDIRECT(F$1&amp;"!$G$70:$G$77"),0)),0,10)+IF(ISNA(MATCH(Invulblad!$S$12,INDIRECT(F$1&amp;"!$E$70:$E$77"),0)),0,10)+IF(ISNA(MATCH(Invulblad!$S$12,INDIRECT(F$1&amp;"!$G$70:$G$77"),0)),0,10)</f>
        <v>120</v>
      </c>
      <c r="G36" s="178">
        <f ca="1">G35+IF(ISNA(MATCH(Invulblad!$S$11,INDIRECT(G$1&amp;"!$E$70:$E$77"),0)),0,10)+IF(ISNA(MATCH(Invulblad!$S$11,INDIRECT(G$1&amp;"!$G$70:$G$77"),0)),0,10)+IF(ISNA(MATCH(Invulblad!$S$12,INDIRECT(G$1&amp;"!$E$70:$E$77"),0)),0,10)+IF(ISNA(MATCH(Invulblad!$S$12,INDIRECT(G$1&amp;"!$G$70:$G$77"),0)),0,10)</f>
        <v>100</v>
      </c>
      <c r="H36" s="178">
        <f ca="1">H35+IF(ISNA(MATCH(Invulblad!$S$11,INDIRECT(H$1&amp;"!$E$70:$E$77"),0)),0,10)+IF(ISNA(MATCH(Invulblad!$S$11,INDIRECT(H$1&amp;"!$G$70:$G$77"),0)),0,10)+IF(ISNA(MATCH(Invulblad!$S$12,INDIRECT(H$1&amp;"!$E$70:$E$77"),0)),0,10)+IF(ISNA(MATCH(Invulblad!$S$12,INDIRECT(H$1&amp;"!$G$70:$G$77"),0)),0,10)</f>
        <v>105</v>
      </c>
      <c r="I36" s="178">
        <f ca="1">I35+IF(ISNA(MATCH(Invulblad!$S$11,INDIRECT(I$1&amp;"!$E$70:$E$77"),0)),0,10)+IF(ISNA(MATCH(Invulblad!$S$11,INDIRECT(I$1&amp;"!$G$70:$G$77"),0)),0,10)+IF(ISNA(MATCH(Invulblad!$S$12,INDIRECT(I$1&amp;"!$E$70:$E$77"),0)),0,10)+IF(ISNA(MATCH(Invulblad!$S$12,INDIRECT(I$1&amp;"!$G$70:$G$77"),0)),0,10)</f>
        <v>90</v>
      </c>
      <c r="J36" s="178">
        <f ca="1">J35+IF(ISNA(MATCH(Invulblad!$S$11,INDIRECT(J$1&amp;"!$E$70:$E$77"),0)),0,10)+IF(ISNA(MATCH(Invulblad!$S$11,INDIRECT(J$1&amp;"!$G$70:$G$77"),0)),0,10)+IF(ISNA(MATCH(Invulblad!$S$12,INDIRECT(J$1&amp;"!$E$70:$E$77"),0)),0,10)+IF(ISNA(MATCH(Invulblad!$S$12,INDIRECT(J$1&amp;"!$G$70:$G$77"),0)),0,10)</f>
        <v>100</v>
      </c>
      <c r="K36" s="178">
        <f ca="1">K35+IF(ISNA(MATCH(Invulblad!$S$11,INDIRECT(K$1&amp;"!$E$70:$E$77"),0)),0,10)+IF(ISNA(MATCH(Invulblad!$S$11,INDIRECT(K$1&amp;"!$G$70:$G$77"),0)),0,10)+IF(ISNA(MATCH(Invulblad!$S$12,INDIRECT(K$1&amp;"!$E$70:$E$77"),0)),0,10)+IF(ISNA(MATCH(Invulblad!$S$12,INDIRECT(K$1&amp;"!$G$70:$G$77"),0)),0,10)</f>
        <v>120</v>
      </c>
      <c r="L36" s="178">
        <f ca="1">L35+IF(ISNA(MATCH(Invulblad!$S$11,INDIRECT(L$1&amp;"!$E$70:$E$77"),0)),0,10)+IF(ISNA(MATCH(Invulblad!$S$11,INDIRECT(L$1&amp;"!$G$70:$G$77"),0)),0,10)+IF(ISNA(MATCH(Invulblad!$S$12,INDIRECT(L$1&amp;"!$E$70:$E$77"),0)),0,10)+IF(ISNA(MATCH(Invulblad!$S$12,INDIRECT(L$1&amp;"!$G$70:$G$77"),0)),0,10)</f>
        <v>115</v>
      </c>
      <c r="M36" s="178">
        <f ca="1">M35+IF(ISNA(MATCH(Invulblad!$S$11,INDIRECT(M$1&amp;"!$E$70:$E$77"),0)),0,10)+IF(ISNA(MATCH(Invulblad!$S$11,INDIRECT(M$1&amp;"!$G$70:$G$77"),0)),0,10)+IF(ISNA(MATCH(Invulblad!$S$12,INDIRECT(M$1&amp;"!$E$70:$E$77"),0)),0,10)+IF(ISNA(MATCH(Invulblad!$S$12,INDIRECT(M$1&amp;"!$G$70:$G$77"),0)),0,10)</f>
        <v>85</v>
      </c>
      <c r="N36" s="178">
        <f ca="1">N35+IF(ISNA(MATCH(Invulblad!$S$11,INDIRECT(N$1&amp;"!$E$70:$E$77"),0)),0,10)+IF(ISNA(MATCH(Invulblad!$S$11,INDIRECT(N$1&amp;"!$G$70:$G$77"),0)),0,10)+IF(ISNA(MATCH(Invulblad!$S$12,INDIRECT(N$1&amp;"!$E$70:$E$77"),0)),0,10)+IF(ISNA(MATCH(Invulblad!$S$12,INDIRECT(N$1&amp;"!$G$70:$G$77"),0)),0,10)</f>
        <v>95</v>
      </c>
      <c r="O36" s="178">
        <f ca="1">O35+IF(ISNA(MATCH(Invulblad!$S$11,INDIRECT(O$1&amp;"!$E$70:$E$77"),0)),0,10)+IF(ISNA(MATCH(Invulblad!$S$11,INDIRECT(O$1&amp;"!$G$70:$G$77"),0)),0,10)+IF(ISNA(MATCH(Invulblad!$S$12,INDIRECT(O$1&amp;"!$E$70:$E$77"),0)),0,10)+IF(ISNA(MATCH(Invulblad!$S$12,INDIRECT(O$1&amp;"!$G$70:$G$77"),0)),0,10)</f>
        <v>100</v>
      </c>
      <c r="P36" s="178">
        <f ca="1">P35+IF(ISNA(MATCH(Invulblad!$S$11,INDIRECT(P$1&amp;"!$E$70:$E$77"),0)),0,10)+IF(ISNA(MATCH(Invulblad!$S$11,INDIRECT(P$1&amp;"!$G$70:$G$77"),0)),0,10)+IF(ISNA(MATCH(Invulblad!$S$12,INDIRECT(P$1&amp;"!$E$70:$E$77"),0)),0,10)+IF(ISNA(MATCH(Invulblad!$S$12,INDIRECT(P$1&amp;"!$G$70:$G$77"),0)),0,10)</f>
        <v>115</v>
      </c>
      <c r="Q36" s="178">
        <f ca="1">Q35+IF(ISNA(MATCH(Invulblad!$S$11,INDIRECT(Q$1&amp;"!$E$70:$E$77"),0)),0,10)+IF(ISNA(MATCH(Invulblad!$S$11,INDIRECT(Q$1&amp;"!$G$70:$G$77"),0)),0,10)+IF(ISNA(MATCH(Invulblad!$S$12,INDIRECT(Q$1&amp;"!$E$70:$E$77"),0)),0,10)+IF(ISNA(MATCH(Invulblad!$S$12,INDIRECT(Q$1&amp;"!$G$70:$G$77"),0)),0,10)</f>
        <v>80</v>
      </c>
      <c r="R36" s="178">
        <f ca="1">R35+IF(ISNA(MATCH(Invulblad!$S$11,INDIRECT(R$1&amp;"!$E$70:$E$77"),0)),0,10)+IF(ISNA(MATCH(Invulblad!$S$11,INDIRECT(R$1&amp;"!$G$70:$G$77"),0)),0,10)+IF(ISNA(MATCH(Invulblad!$S$12,INDIRECT(R$1&amp;"!$E$70:$E$77"),0)),0,10)+IF(ISNA(MATCH(Invulblad!$S$12,INDIRECT(R$1&amp;"!$G$70:$G$77"),0)),0,10)</f>
        <v>90</v>
      </c>
      <c r="S36" s="178">
        <f ca="1">S35+IF(ISNA(MATCH(Invulblad!$S$11,INDIRECT(S$1&amp;"!$E$70:$E$77"),0)),0,10)+IF(ISNA(MATCH(Invulblad!$S$11,INDIRECT(S$1&amp;"!$G$70:$G$77"),0)),0,10)+IF(ISNA(MATCH(Invulblad!$S$12,INDIRECT(S$1&amp;"!$E$70:$E$77"),0)),0,10)+IF(ISNA(MATCH(Invulblad!$S$12,INDIRECT(S$1&amp;"!$G$70:$G$77"),0)),0,10)</f>
        <v>90</v>
      </c>
      <c r="T36" s="178">
        <f ca="1">T35+IF(ISNA(MATCH(Invulblad!$S$11,INDIRECT(T$1&amp;"!$E$70:$E$77"),0)),0,10)+IF(ISNA(MATCH(Invulblad!$S$11,INDIRECT(T$1&amp;"!$G$70:$G$77"),0)),0,10)+IF(ISNA(MATCH(Invulblad!$S$12,INDIRECT(T$1&amp;"!$E$70:$E$77"),0)),0,10)+IF(ISNA(MATCH(Invulblad!$S$12,INDIRECT(T$1&amp;"!$G$70:$G$77"),0)),0,10)</f>
        <v>110</v>
      </c>
      <c r="U36" s="178">
        <f ca="1">U35+IF(ISNA(MATCH(Invulblad!$S$11,INDIRECT(U$1&amp;"!$E$70:$E$77"),0)),0,10)+IF(ISNA(MATCH(Invulblad!$S$11,INDIRECT(U$1&amp;"!$G$70:$G$77"),0)),0,10)+IF(ISNA(MATCH(Invulblad!$S$12,INDIRECT(U$1&amp;"!$E$70:$E$77"),0)),0,10)+IF(ISNA(MATCH(Invulblad!$S$12,INDIRECT(U$1&amp;"!$G$70:$G$77"),0)),0,10)</f>
        <v>100</v>
      </c>
      <c r="V36" s="178">
        <f ca="1">V35+IF(ISNA(MATCH(Invulblad!$S$11,INDIRECT(V$1&amp;"!$E$70:$E$77"),0)),0,10)+IF(ISNA(MATCH(Invulblad!$S$11,INDIRECT(V$1&amp;"!$G$70:$G$77"),0)),0,10)+IF(ISNA(MATCH(Invulblad!$S$12,INDIRECT(V$1&amp;"!$E$70:$E$77"),0)),0,10)+IF(ISNA(MATCH(Invulblad!$S$12,INDIRECT(V$1&amp;"!$G$70:$G$77"),0)),0,10)</f>
        <v>100</v>
      </c>
      <c r="W36" s="178">
        <f ca="1">W35+IF(ISNA(MATCH(Invulblad!$S$11,INDIRECT(W$1&amp;"!$E$70:$E$77"),0)),0,10)+IF(ISNA(MATCH(Invulblad!$S$11,INDIRECT(W$1&amp;"!$G$70:$G$77"),0)),0,10)+IF(ISNA(MATCH(Invulblad!$S$12,INDIRECT(W$1&amp;"!$E$70:$E$77"),0)),0,10)+IF(ISNA(MATCH(Invulblad!$S$12,INDIRECT(W$1&amp;"!$G$70:$G$77"),0)),0,10)</f>
        <v>105</v>
      </c>
      <c r="X36" s="178">
        <f ca="1">X35+IF(ISNA(MATCH(Invulblad!$S$11,INDIRECT(X$1&amp;"!$E$70:$E$77"),0)),0,10)+IF(ISNA(MATCH(Invulblad!$S$11,INDIRECT(X$1&amp;"!$G$70:$G$77"),0)),0,10)+IF(ISNA(MATCH(Invulblad!$S$12,INDIRECT(X$1&amp;"!$E$70:$E$77"),0)),0,10)+IF(ISNA(MATCH(Invulblad!$S$12,INDIRECT(X$1&amp;"!$G$70:$G$77"),0)),0,10)</f>
        <v>70</v>
      </c>
      <c r="Y36" s="178">
        <f t="shared" ca="1" si="4"/>
        <v>99.090909090909093</v>
      </c>
      <c r="Z36" s="194">
        <f t="shared" ca="1" si="6"/>
        <v>8.181818181818187</v>
      </c>
      <c r="AA36" s="195">
        <f ca="1">IF(C36&lt;&gt;"",C36-$Y36,"")</f>
        <v>5.9090909090909065</v>
      </c>
      <c r="AB36" s="195">
        <f ca="1">IF(D36&lt;&gt;"",D36-$Y36,"")</f>
        <v>-9.0909090909090935</v>
      </c>
      <c r="AC36" s="195">
        <f ca="1">IF(E36&lt;&gt;"",E36-$Y36,"")</f>
        <v>-4.0909090909090935</v>
      </c>
      <c r="AD36" s="195">
        <f ca="1">IF(F36&lt;&gt;"",F36-$Y36,"")</f>
        <v>20.909090909090907</v>
      </c>
      <c r="AE36" s="195">
        <f ca="1">IF(G36&lt;&gt;"",G36-$Y36,"")</f>
        <v>0.90909090909090651</v>
      </c>
      <c r="AF36" s="195">
        <f ca="1">IF(H36&lt;&gt;"",H36-$Y36,"")</f>
        <v>5.9090909090909065</v>
      </c>
      <c r="AG36" s="195">
        <f ca="1">IF(I36&lt;&gt;"",I36-$Y36,"")</f>
        <v>-9.0909090909090935</v>
      </c>
      <c r="AH36" s="195">
        <f ca="1">IF(J36&lt;&gt;"",J36-$Y36,"")</f>
        <v>0.90909090909090651</v>
      </c>
      <c r="AI36" s="195">
        <f ca="1">IF(K36&lt;&gt;"",K36-$Y36,"")</f>
        <v>20.909090909090907</v>
      </c>
      <c r="AJ36" s="195">
        <f ca="1">IF(L36&lt;&gt;"",L36-$Y36,"")</f>
        <v>15.909090909090907</v>
      </c>
      <c r="AK36" s="195">
        <f ca="1">IF(M36&lt;&gt;"",M36-$Y36,"")</f>
        <v>-14.090909090909093</v>
      </c>
      <c r="AL36" s="195">
        <f ca="1">IF(N36&lt;&gt;"",N36-$Y36,"")</f>
        <v>-4.0909090909090935</v>
      </c>
      <c r="AM36" s="195">
        <f ca="1">IF(O36&lt;&gt;"",O36-$Y36,"")</f>
        <v>0.90909090909090651</v>
      </c>
      <c r="AN36" s="195">
        <f ca="1">IF(P36&lt;&gt;"",P36-$Y36,"")</f>
        <v>15.909090909090907</v>
      </c>
      <c r="AO36" s="195">
        <f ca="1">IF(S36&lt;&gt;"",S36-$Y36,"")</f>
        <v>-9.0909090909090935</v>
      </c>
      <c r="AP36" s="195">
        <f ca="1">IF(T36&lt;&gt;"",T36-$Y36,"")</f>
        <v>10.909090909090907</v>
      </c>
      <c r="AQ36" s="195">
        <f ca="1">IF(U36&lt;&gt;"",U36-$Y36,"")</f>
        <v>0.90909090909090651</v>
      </c>
      <c r="AR36" s="195">
        <f ca="1">IF(V36&lt;&gt;"",V36-$Y36,"")</f>
        <v>0.90909090909090651</v>
      </c>
      <c r="AS36" s="195">
        <f ca="1">IF(W36&lt;&gt;"",W36-$Y36,"")</f>
        <v>5.9090909090909065</v>
      </c>
      <c r="AT36" s="195">
        <f ca="1">IF(Q36&lt;&gt;"",Q36-$Y36,"")</f>
        <v>-19.090909090909093</v>
      </c>
      <c r="AU36" s="195">
        <f ca="1">IF(R36&lt;&gt;"",R36-$Y36,"")</f>
        <v>-9.0909090909090935</v>
      </c>
      <c r="AV36" s="195">
        <f t="shared" ca="1" si="5"/>
        <v>-29.090909090909093</v>
      </c>
    </row>
    <row r="37" spans="1:48">
      <c r="A37" s="189">
        <v>35</v>
      </c>
      <c r="B37" s="165" t="str">
        <f>VLOOKUP($A37,Willem!$B$14:$P$89,4,0)&amp;"-"&amp;VLOOKUP($A37,Willem!$B$14:$P$89,6,0)</f>
        <v>Nigeria-  Zuid-Korea</v>
      </c>
      <c r="C37" s="340">
        <f ca="1">IF(VLOOKUP($A37,INDIRECT(C$1&amp;"!$B$14:$P$89"),15,0)&lt;&gt;"",VLOOKUP($A37,INDIRECT(C$1&amp;"!$B$14:$P$89"),15,0)+C36,"")</f>
        <v>105</v>
      </c>
      <c r="D37" s="340">
        <f ca="1">IF(VLOOKUP($A37,INDIRECT(D$1&amp;"!$B$14:$P$89"),15,0)&lt;&gt;"",VLOOKUP($A37,INDIRECT(D$1&amp;"!$B$14:$P$89"),15,0)+D36,"")</f>
        <v>90</v>
      </c>
      <c r="E37" s="340">
        <f ca="1">IF(VLOOKUP($A37,INDIRECT(E$1&amp;"!$B$14:$P$89"),15,0)&lt;&gt;"",VLOOKUP($A37,INDIRECT(E$1&amp;"!$B$14:$P$89"),15,0)+E36,"")</f>
        <v>95</v>
      </c>
      <c r="F37" s="340">
        <f ca="1">IF(VLOOKUP($A37,INDIRECT(F$1&amp;"!$B$14:$P$89"),15,0)&lt;&gt;"",VLOOKUP($A37,INDIRECT(F$1&amp;"!$B$14:$P$89"),15,0)+F36,"")</f>
        <v>120</v>
      </c>
      <c r="G37" s="340">
        <f ca="1">IF(VLOOKUP($A37,INDIRECT(G$1&amp;"!$B$14:$P$89"),15,0)&lt;&gt;"",VLOOKUP($A37,INDIRECT(G$1&amp;"!$B$14:$P$89"),15,0)+G36,"")</f>
        <v>100</v>
      </c>
      <c r="H37" s="340">
        <f ca="1">IF(VLOOKUP($A37,INDIRECT(H$1&amp;"!$B$14:$P$89"),15,0)&lt;&gt;"",VLOOKUP($A37,INDIRECT(H$1&amp;"!$B$14:$P$89"),15,0)+H36,"")</f>
        <v>105</v>
      </c>
      <c r="I37" s="340">
        <f ca="1">IF(VLOOKUP($A37,INDIRECT(I$1&amp;"!$B$14:$P$89"),15,0)&lt;&gt;"",VLOOKUP($A37,INDIRECT(I$1&amp;"!$B$14:$P$89"),15,0)+I36,"")</f>
        <v>95</v>
      </c>
      <c r="J37" s="340">
        <f ca="1">IF(VLOOKUP($A37,INDIRECT(J$1&amp;"!$B$14:$P$89"),15,0)&lt;&gt;"",VLOOKUP($A37,INDIRECT(J$1&amp;"!$B$14:$P$89"),15,0)+J36,"")</f>
        <v>110</v>
      </c>
      <c r="K37" s="340">
        <f ca="1">IF(VLOOKUP($A37,INDIRECT(K$1&amp;"!$B$14:$P$89"),15,0)&lt;&gt;"",VLOOKUP($A37,INDIRECT(K$1&amp;"!$B$14:$P$89"),15,0)+K36,"")</f>
        <v>125</v>
      </c>
      <c r="L37" s="340">
        <f ca="1">IF(VLOOKUP($A37,INDIRECT(L$1&amp;"!$B$14:$P$89"),15,0)&lt;&gt;"",VLOOKUP($A37,INDIRECT(L$1&amp;"!$B$14:$P$89"),15,0)+L36,"")</f>
        <v>115</v>
      </c>
      <c r="M37" s="340">
        <f ca="1">IF(VLOOKUP($A37,INDIRECT(M$1&amp;"!$B$14:$P$89"),15,0)&lt;&gt;"",VLOOKUP($A37,INDIRECT(M$1&amp;"!$B$14:$P$89"),15,0)+M36,"")</f>
        <v>85</v>
      </c>
      <c r="N37" s="340">
        <f ca="1">IF(VLOOKUP($A37,INDIRECT(N$1&amp;"!$B$14:$P$89"),15,0)&lt;&gt;"",VLOOKUP($A37,INDIRECT(N$1&amp;"!$B$14:$P$89"),15,0)+N36,"")</f>
        <v>95</v>
      </c>
      <c r="O37" s="340">
        <f ca="1">IF(VLOOKUP($A37,INDIRECT(O$1&amp;"!$B$14:$P$89"),15,0)&lt;&gt;"",VLOOKUP($A37,INDIRECT(O$1&amp;"!$B$14:$P$89"),15,0)+O36,"")</f>
        <v>100</v>
      </c>
      <c r="P37" s="340">
        <f ca="1">IF(VLOOKUP($A37,INDIRECT(P$1&amp;"!$B$14:$P$89"),15,0)&lt;&gt;"",VLOOKUP($A37,INDIRECT(P$1&amp;"!$B$14:$P$89"),15,0)+P36,"")</f>
        <v>115</v>
      </c>
      <c r="Q37" s="340">
        <f ca="1">IF(VLOOKUP($A37,INDIRECT(Q$1&amp;"!$B$14:$P$89"),15,0)&lt;&gt;"",VLOOKUP($A37,INDIRECT(Q$1&amp;"!$B$14:$P$89"),15,0)+Q36,"")</f>
        <v>80</v>
      </c>
      <c r="R37" s="340">
        <f ca="1">IF(VLOOKUP($A37,INDIRECT(R$1&amp;"!$B$14:$P$89"),15,0)&lt;&gt;"",VLOOKUP($A37,INDIRECT(R$1&amp;"!$B$14:$P$89"),15,0)+R36,"")</f>
        <v>90</v>
      </c>
      <c r="S37" s="340">
        <f ca="1">IF(VLOOKUP($A37,INDIRECT(S$1&amp;"!$B$14:$P$89"),15,0)&lt;&gt;"",VLOOKUP($A37,INDIRECT(S$1&amp;"!$B$14:$P$89"),15,0)+S36,"")</f>
        <v>90</v>
      </c>
      <c r="T37" s="340">
        <f ca="1">IF(VLOOKUP($A37,INDIRECT(T$1&amp;"!$B$14:$P$89"),15,0)&lt;&gt;"",VLOOKUP($A37,INDIRECT(T$1&amp;"!$B$14:$P$89"),15,0)+T36,"")</f>
        <v>110</v>
      </c>
      <c r="U37" s="340">
        <f ca="1">IF(VLOOKUP($A37,INDIRECT(U$1&amp;"!$B$14:$P$89"),15,0)&lt;&gt;"",VLOOKUP($A37,INDIRECT(U$1&amp;"!$B$14:$P$89"),15,0)+U36,"")</f>
        <v>100</v>
      </c>
      <c r="V37" s="340">
        <f ca="1">IF(VLOOKUP($A37,INDIRECT(V$1&amp;"!$B$14:$P$89"),15,0)&lt;&gt;"",VLOOKUP($A37,INDIRECT(V$1&amp;"!$B$14:$P$89"),15,0)+V36,"")</f>
        <v>100</v>
      </c>
      <c r="W37" s="340">
        <f ca="1">IF(VLOOKUP($A37,INDIRECT(W$1&amp;"!$B$14:$P$89"),15,0)&lt;&gt;"",VLOOKUP($A37,INDIRECT(W$1&amp;"!$B$14:$P$89"),15,0)+W36,"")</f>
        <v>105</v>
      </c>
      <c r="X37" s="340">
        <f ca="1">IF(VLOOKUP($A37,INDIRECT(X$1&amp;"!$B$14:$P$89"),15,0)&lt;&gt;"",VLOOKUP($A37,INDIRECT(X$1&amp;"!$B$14:$P$89"),15,0)+X36,"")</f>
        <v>70</v>
      </c>
      <c r="Y37" s="178">
        <f t="shared" ca="1" si="4"/>
        <v>100</v>
      </c>
      <c r="Z37" s="194">
        <f t="shared" ca="1" si="6"/>
        <v>0.90909090909090651</v>
      </c>
      <c r="AA37" s="195">
        <f ca="1">IF(C37&lt;&gt;"",C37-$Y37,"")</f>
        <v>5</v>
      </c>
      <c r="AB37" s="195">
        <f ca="1">IF(D37&lt;&gt;"",D37-$Y37,"")</f>
        <v>-10</v>
      </c>
      <c r="AC37" s="195">
        <f ca="1">IF(E37&lt;&gt;"",E37-$Y37,"")</f>
        <v>-5</v>
      </c>
      <c r="AD37" s="195">
        <f ca="1">IF(F37&lt;&gt;"",F37-$Y37,"")</f>
        <v>20</v>
      </c>
      <c r="AE37" s="195">
        <f ca="1">IF(G37&lt;&gt;"",G37-$Y37,"")</f>
        <v>0</v>
      </c>
      <c r="AF37" s="195">
        <f ca="1">IF(H37&lt;&gt;"",H37-$Y37,"")</f>
        <v>5</v>
      </c>
      <c r="AG37" s="195">
        <f ca="1">IF(I37&lt;&gt;"",I37-$Y37,"")</f>
        <v>-5</v>
      </c>
      <c r="AH37" s="195">
        <f ca="1">IF(J37&lt;&gt;"",J37-$Y37,"")</f>
        <v>10</v>
      </c>
      <c r="AI37" s="195">
        <f ca="1">IF(K37&lt;&gt;"",K37-$Y37,"")</f>
        <v>25</v>
      </c>
      <c r="AJ37" s="195">
        <f ca="1">IF(L37&lt;&gt;"",L37-$Y37,"")</f>
        <v>15</v>
      </c>
      <c r="AK37" s="195">
        <f ca="1">IF(M37&lt;&gt;"",M37-$Y37,"")</f>
        <v>-15</v>
      </c>
      <c r="AL37" s="195">
        <f ca="1">IF(N37&lt;&gt;"",N37-$Y37,"")</f>
        <v>-5</v>
      </c>
      <c r="AM37" s="195">
        <f ca="1">IF(O37&lt;&gt;"",O37-$Y37,"")</f>
        <v>0</v>
      </c>
      <c r="AN37" s="195">
        <f ca="1">IF(P37&lt;&gt;"",P37-$Y37,"")</f>
        <v>15</v>
      </c>
      <c r="AO37" s="195">
        <f ca="1">IF(S37&lt;&gt;"",S37-$Y37,"")</f>
        <v>-10</v>
      </c>
      <c r="AP37" s="195">
        <f ca="1">IF(T37&lt;&gt;"",T37-$Y37,"")</f>
        <v>10</v>
      </c>
      <c r="AQ37" s="195">
        <f ca="1">IF(U37&lt;&gt;"",U37-$Y37,"")</f>
        <v>0</v>
      </c>
      <c r="AR37" s="195">
        <f ca="1">IF(V37&lt;&gt;"",V37-$Y37,"")</f>
        <v>0</v>
      </c>
      <c r="AS37" s="195">
        <f ca="1">IF(W37&lt;&gt;"",W37-$Y37,"")</f>
        <v>5</v>
      </c>
      <c r="AT37" s="195">
        <f ca="1">IF(Q37&lt;&gt;"",Q37-$Y37,"")</f>
        <v>-20</v>
      </c>
      <c r="AU37" s="195">
        <f ca="1">IF(R37&lt;&gt;"",R37-$Y37,"")</f>
        <v>-10</v>
      </c>
      <c r="AV37" s="195">
        <f t="shared" ca="1" si="5"/>
        <v>-30</v>
      </c>
    </row>
    <row r="38" spans="1:48">
      <c r="A38" s="189">
        <v>36</v>
      </c>
      <c r="B38" s="166" t="str">
        <f>VLOOKUP($A38,Willem!$B$14:$P$89,4,0)&amp;"-"&amp;VLOOKUP($A38,Willem!$B$14:$P$89,6,0)</f>
        <v>Griekenland-  Argentinië</v>
      </c>
      <c r="C38" s="341">
        <f ca="1">IF(VLOOKUP($A38,INDIRECT(C$1&amp;"!$B$14:$P$89"),15,0)&lt;&gt;"",VLOOKUP($A38,INDIRECT(C$1&amp;"!$B$14:$P$89"),15,0)+C37,"")</f>
        <v>105</v>
      </c>
      <c r="D38" s="341">
        <f ca="1">IF(VLOOKUP($A38,INDIRECT(D$1&amp;"!$B$14:$P$89"),15,0)&lt;&gt;"",VLOOKUP($A38,INDIRECT(D$1&amp;"!$B$14:$P$89"),15,0)+D37,"")</f>
        <v>100</v>
      </c>
      <c r="E38" s="341">
        <f ca="1">IF(VLOOKUP($A38,INDIRECT(E$1&amp;"!$B$14:$P$89"),15,0)&lt;&gt;"",VLOOKUP($A38,INDIRECT(E$1&amp;"!$B$14:$P$89"),15,0)+E37,"")</f>
        <v>100</v>
      </c>
      <c r="F38" s="341">
        <f ca="1">IF(VLOOKUP($A38,INDIRECT(F$1&amp;"!$B$14:$P$89"),15,0)&lt;&gt;"",VLOOKUP($A38,INDIRECT(F$1&amp;"!$B$14:$P$89"),15,0)+F37,"")</f>
        <v>125</v>
      </c>
      <c r="G38" s="341">
        <f ca="1">IF(VLOOKUP($A38,INDIRECT(G$1&amp;"!$B$14:$P$89"),15,0)&lt;&gt;"",VLOOKUP($A38,INDIRECT(G$1&amp;"!$B$14:$P$89"),15,0)+G37,"")</f>
        <v>105</v>
      </c>
      <c r="H38" s="341">
        <f ca="1">IF(VLOOKUP($A38,INDIRECT(H$1&amp;"!$B$14:$P$89"),15,0)&lt;&gt;"",VLOOKUP($A38,INDIRECT(H$1&amp;"!$B$14:$P$89"),15,0)+H37,"")</f>
        <v>105</v>
      </c>
      <c r="I38" s="341">
        <f ca="1">IF(VLOOKUP($A38,INDIRECT(I$1&amp;"!$B$14:$P$89"),15,0)&lt;&gt;"",VLOOKUP($A38,INDIRECT(I$1&amp;"!$B$14:$P$89"),15,0)+I37,"")</f>
        <v>100</v>
      </c>
      <c r="J38" s="341">
        <f ca="1">IF(VLOOKUP($A38,INDIRECT(J$1&amp;"!$B$14:$P$89"),15,0)&lt;&gt;"",VLOOKUP($A38,INDIRECT(J$1&amp;"!$B$14:$P$89"),15,0)+J37,"")</f>
        <v>120</v>
      </c>
      <c r="K38" s="341">
        <f ca="1">IF(VLOOKUP($A38,INDIRECT(K$1&amp;"!$B$14:$P$89"),15,0)&lt;&gt;"",VLOOKUP($A38,INDIRECT(K$1&amp;"!$B$14:$P$89"),15,0)+K37,"")</f>
        <v>135</v>
      </c>
      <c r="L38" s="341">
        <f ca="1">IF(VLOOKUP($A38,INDIRECT(L$1&amp;"!$B$14:$P$89"),15,0)&lt;&gt;"",VLOOKUP($A38,INDIRECT(L$1&amp;"!$B$14:$P$89"),15,0)+L37,"")</f>
        <v>120</v>
      </c>
      <c r="M38" s="341">
        <f ca="1">IF(VLOOKUP($A38,INDIRECT(M$1&amp;"!$B$14:$P$89"),15,0)&lt;&gt;"",VLOOKUP($A38,INDIRECT(M$1&amp;"!$B$14:$P$89"),15,0)+M37,"")</f>
        <v>85</v>
      </c>
      <c r="N38" s="341">
        <f ca="1">IF(VLOOKUP($A38,INDIRECT(N$1&amp;"!$B$14:$P$89"),15,0)&lt;&gt;"",VLOOKUP($A38,INDIRECT(N$1&amp;"!$B$14:$P$89"),15,0)+N37,"")</f>
        <v>100</v>
      </c>
      <c r="O38" s="341">
        <f ca="1">IF(VLOOKUP($A38,INDIRECT(O$1&amp;"!$B$14:$P$89"),15,0)&lt;&gt;"",VLOOKUP($A38,INDIRECT(O$1&amp;"!$B$14:$P$89"),15,0)+O37,"")</f>
        <v>105</v>
      </c>
      <c r="P38" s="341">
        <f ca="1">IF(VLOOKUP($A38,INDIRECT(P$1&amp;"!$B$14:$P$89"),15,0)&lt;&gt;"",VLOOKUP($A38,INDIRECT(P$1&amp;"!$B$14:$P$89"),15,0)+P37,"")</f>
        <v>120</v>
      </c>
      <c r="Q38" s="341">
        <f ca="1">IF(VLOOKUP($A38,INDIRECT(Q$1&amp;"!$B$14:$P$89"),15,0)&lt;&gt;"",VLOOKUP($A38,INDIRECT(Q$1&amp;"!$B$14:$P$89"),15,0)+Q37,"")</f>
        <v>85</v>
      </c>
      <c r="R38" s="341">
        <f ca="1">IF(VLOOKUP($A38,INDIRECT(R$1&amp;"!$B$14:$P$89"),15,0)&lt;&gt;"",VLOOKUP($A38,INDIRECT(R$1&amp;"!$B$14:$P$89"),15,0)+R37,"")</f>
        <v>95</v>
      </c>
      <c r="S38" s="341">
        <f ca="1">IF(VLOOKUP($A38,INDIRECT(S$1&amp;"!$B$14:$P$89"),15,0)&lt;&gt;"",VLOOKUP($A38,INDIRECT(S$1&amp;"!$B$14:$P$89"),15,0)+S37,"")</f>
        <v>100</v>
      </c>
      <c r="T38" s="341">
        <f ca="1">IF(VLOOKUP($A38,INDIRECT(T$1&amp;"!$B$14:$P$89"),15,0)&lt;&gt;"",VLOOKUP($A38,INDIRECT(T$1&amp;"!$B$14:$P$89"),15,0)+T37,"")</f>
        <v>115</v>
      </c>
      <c r="U38" s="341">
        <f ca="1">IF(VLOOKUP($A38,INDIRECT(U$1&amp;"!$B$14:$P$89"),15,0)&lt;&gt;"",VLOOKUP($A38,INDIRECT(U$1&amp;"!$B$14:$P$89"),15,0)+U37,"")</f>
        <v>105</v>
      </c>
      <c r="V38" s="341">
        <f ca="1">IF(VLOOKUP($A38,INDIRECT(V$1&amp;"!$B$14:$P$89"),15,0)&lt;&gt;"",VLOOKUP($A38,INDIRECT(V$1&amp;"!$B$14:$P$89"),15,0)+V37,"")</f>
        <v>110</v>
      </c>
      <c r="W38" s="341">
        <f ca="1">IF(VLOOKUP($A38,INDIRECT(W$1&amp;"!$B$14:$P$89"),15,0)&lt;&gt;"",VLOOKUP($A38,INDIRECT(W$1&amp;"!$B$14:$P$89"),15,0)+W37,"")</f>
        <v>110</v>
      </c>
      <c r="X38" s="341">
        <f ca="1">IF(VLOOKUP($A38,INDIRECT(X$1&amp;"!$B$14:$P$89"),15,0)&lt;&gt;"",VLOOKUP($A38,INDIRECT(X$1&amp;"!$B$14:$P$89"),15,0)+X37,"")</f>
        <v>70</v>
      </c>
      <c r="Y38" s="178">
        <f t="shared" ca="1" si="4"/>
        <v>105.22727272727273</v>
      </c>
      <c r="Z38" s="194">
        <f t="shared" ca="1" si="6"/>
        <v>5.2272727272727337</v>
      </c>
      <c r="AA38" s="195">
        <f ca="1">IF(C38&lt;&gt;"",C38-$Y38,"")</f>
        <v>-0.22727272727273373</v>
      </c>
      <c r="AB38" s="195">
        <f ca="1">IF(D38&lt;&gt;"",D38-$Y38,"")</f>
        <v>-5.2272727272727337</v>
      </c>
      <c r="AC38" s="195">
        <f ca="1">IF(E38&lt;&gt;"",E38-$Y38,"")</f>
        <v>-5.2272727272727337</v>
      </c>
      <c r="AD38" s="195">
        <f ca="1">IF(F38&lt;&gt;"",F38-$Y38,"")</f>
        <v>19.772727272727266</v>
      </c>
      <c r="AE38" s="195">
        <f ca="1">IF(G38&lt;&gt;"",G38-$Y38,"")</f>
        <v>-0.22727272727273373</v>
      </c>
      <c r="AF38" s="195">
        <f ca="1">IF(H38&lt;&gt;"",H38-$Y38,"")</f>
        <v>-0.22727272727273373</v>
      </c>
      <c r="AG38" s="195">
        <f ca="1">IF(I38&lt;&gt;"",I38-$Y38,"")</f>
        <v>-5.2272727272727337</v>
      </c>
      <c r="AH38" s="195">
        <f ca="1">IF(J38&lt;&gt;"",J38-$Y38,"")</f>
        <v>14.772727272727266</v>
      </c>
      <c r="AI38" s="195">
        <f ca="1">IF(K38&lt;&gt;"",K38-$Y38,"")</f>
        <v>29.772727272727266</v>
      </c>
      <c r="AJ38" s="195">
        <f ca="1">IF(L38&lt;&gt;"",L38-$Y38,"")</f>
        <v>14.772727272727266</v>
      </c>
      <c r="AK38" s="195">
        <f ca="1">IF(M38&lt;&gt;"",M38-$Y38,"")</f>
        <v>-20.227272727272734</v>
      </c>
      <c r="AL38" s="195">
        <f ca="1">IF(N38&lt;&gt;"",N38-$Y38,"")</f>
        <v>-5.2272727272727337</v>
      </c>
      <c r="AM38" s="195">
        <f ca="1">IF(O38&lt;&gt;"",O38-$Y38,"")</f>
        <v>-0.22727272727273373</v>
      </c>
      <c r="AN38" s="195">
        <f ca="1">IF(P38&lt;&gt;"",P38-$Y38,"")</f>
        <v>14.772727272727266</v>
      </c>
      <c r="AO38" s="195">
        <f ca="1">IF(S38&lt;&gt;"",S38-$Y38,"")</f>
        <v>-5.2272727272727337</v>
      </c>
      <c r="AP38" s="195">
        <f ca="1">IF(T38&lt;&gt;"",T38-$Y38,"")</f>
        <v>9.7727272727272663</v>
      </c>
      <c r="AQ38" s="195">
        <f ca="1">IF(U38&lt;&gt;"",U38-$Y38,"")</f>
        <v>-0.22727272727273373</v>
      </c>
      <c r="AR38" s="195">
        <f ca="1">IF(V38&lt;&gt;"",V38-$Y38,"")</f>
        <v>4.7727272727272663</v>
      </c>
      <c r="AS38" s="195">
        <f ca="1">IF(W38&lt;&gt;"",W38-$Y38,"")</f>
        <v>4.7727272727272663</v>
      </c>
      <c r="AT38" s="195">
        <f ca="1">IF(Q38&lt;&gt;"",Q38-$Y38,"")</f>
        <v>-20.227272727272734</v>
      </c>
      <c r="AU38" s="195">
        <f ca="1">IF(R38&lt;&gt;"",R38-$Y38,"")</f>
        <v>-10.227272727272734</v>
      </c>
      <c r="AV38" s="195">
        <f t="shared" ca="1" si="5"/>
        <v>-35.227272727272734</v>
      </c>
    </row>
    <row r="39" spans="1:48">
      <c r="A39" s="196" t="str">
        <f>B39</f>
        <v>Boni</v>
      </c>
      <c r="B39" s="166" t="s">
        <v>507</v>
      </c>
      <c r="C39" s="178">
        <f ca="1">C38+IF(ISNA(MATCH(Invulblad!$S$19,INDIRECT(C$1&amp;"!$E$70:$E$77"),0)),0,10)+IF(ISNA(MATCH(Invulblad!$S$19,INDIRECT(C$1&amp;"!$G$70:$G$77"),0)),0,10)+IF(ISNA(MATCH(Invulblad!$S$20,INDIRECT(C$1&amp;"!$E$70:$E$77"),0)),0,10)+IF(ISNA(MATCH(Invulblad!$S$20,INDIRECT(C$1&amp;"!$G$70:$G$77"),0)),0,10)</f>
        <v>115</v>
      </c>
      <c r="D39" s="178">
        <f ca="1">D38+IF(ISNA(MATCH(Invulblad!$S$19,INDIRECT(D$1&amp;"!$E$70:$E$77"),0)),0,10)+IF(ISNA(MATCH(Invulblad!$S$19,INDIRECT(D$1&amp;"!$G$70:$G$77"),0)),0,10)+IF(ISNA(MATCH(Invulblad!$S$20,INDIRECT(D$1&amp;"!$E$70:$E$77"),0)),0,10)+IF(ISNA(MATCH(Invulblad!$S$20,INDIRECT(D$1&amp;"!$G$70:$G$77"),0)),0,10)</f>
        <v>110</v>
      </c>
      <c r="E39" s="178">
        <f ca="1">E38+IF(ISNA(MATCH(Invulblad!$S$19,INDIRECT(E$1&amp;"!$E$70:$E$77"),0)),0,10)+IF(ISNA(MATCH(Invulblad!$S$19,INDIRECT(E$1&amp;"!$G$70:$G$77"),0)),0,10)+IF(ISNA(MATCH(Invulblad!$S$20,INDIRECT(E$1&amp;"!$E$70:$E$77"),0)),0,10)+IF(ISNA(MATCH(Invulblad!$S$20,INDIRECT(E$1&amp;"!$G$70:$G$77"),0)),0,10)</f>
        <v>120</v>
      </c>
      <c r="F39" s="178">
        <f ca="1">F38+IF(ISNA(MATCH(Invulblad!$S$19,INDIRECT(F$1&amp;"!$E$70:$E$77"),0)),0,10)+IF(ISNA(MATCH(Invulblad!$S$19,INDIRECT(F$1&amp;"!$G$70:$G$77"),0)),0,10)+IF(ISNA(MATCH(Invulblad!$S$20,INDIRECT(F$1&amp;"!$E$70:$E$77"),0)),0,10)+IF(ISNA(MATCH(Invulblad!$S$20,INDIRECT(F$1&amp;"!$G$70:$G$77"),0)),0,10)</f>
        <v>145</v>
      </c>
      <c r="G39" s="178">
        <f ca="1">G38+IF(ISNA(MATCH(Invulblad!$S$19,INDIRECT(G$1&amp;"!$E$70:$E$77"),0)),0,10)+IF(ISNA(MATCH(Invulblad!$S$19,INDIRECT(G$1&amp;"!$G$70:$G$77"),0)),0,10)+IF(ISNA(MATCH(Invulblad!$S$20,INDIRECT(G$1&amp;"!$E$70:$E$77"),0)),0,10)+IF(ISNA(MATCH(Invulblad!$S$20,INDIRECT(G$1&amp;"!$G$70:$G$77"),0)),0,10)</f>
        <v>125</v>
      </c>
      <c r="H39" s="178">
        <f ca="1">H38+IF(ISNA(MATCH(Invulblad!$S$19,INDIRECT(H$1&amp;"!$E$70:$E$77"),0)),0,10)+IF(ISNA(MATCH(Invulblad!$S$19,INDIRECT(H$1&amp;"!$G$70:$G$77"),0)),0,10)+IF(ISNA(MATCH(Invulblad!$S$20,INDIRECT(H$1&amp;"!$E$70:$E$77"),0)),0,10)+IF(ISNA(MATCH(Invulblad!$S$20,INDIRECT(H$1&amp;"!$G$70:$G$77"),0)),0,10)</f>
        <v>125</v>
      </c>
      <c r="I39" s="178">
        <f ca="1">I38+IF(ISNA(MATCH(Invulblad!$S$19,INDIRECT(I$1&amp;"!$E$70:$E$77"),0)),0,10)+IF(ISNA(MATCH(Invulblad!$S$19,INDIRECT(I$1&amp;"!$G$70:$G$77"),0)),0,10)+IF(ISNA(MATCH(Invulblad!$S$20,INDIRECT(I$1&amp;"!$E$70:$E$77"),0)),0,10)+IF(ISNA(MATCH(Invulblad!$S$20,INDIRECT(I$1&amp;"!$G$70:$G$77"),0)),0,10)</f>
        <v>110</v>
      </c>
      <c r="J39" s="178">
        <f ca="1">J38+IF(ISNA(MATCH(Invulblad!$S$19,INDIRECT(J$1&amp;"!$E$70:$E$77"),0)),0,10)+IF(ISNA(MATCH(Invulblad!$S$19,INDIRECT(J$1&amp;"!$G$70:$G$77"),0)),0,10)+IF(ISNA(MATCH(Invulblad!$S$20,INDIRECT(J$1&amp;"!$E$70:$E$77"),0)),0,10)+IF(ISNA(MATCH(Invulblad!$S$20,INDIRECT(J$1&amp;"!$G$70:$G$77"),0)),0,10)</f>
        <v>130</v>
      </c>
      <c r="K39" s="178">
        <f ca="1">K38+IF(ISNA(MATCH(Invulblad!$S$19,INDIRECT(K$1&amp;"!$E$70:$E$77"),0)),0,10)+IF(ISNA(MATCH(Invulblad!$S$19,INDIRECT(K$1&amp;"!$G$70:$G$77"),0)),0,10)+IF(ISNA(MATCH(Invulblad!$S$20,INDIRECT(K$1&amp;"!$E$70:$E$77"),0)),0,10)+IF(ISNA(MATCH(Invulblad!$S$20,INDIRECT(K$1&amp;"!$G$70:$G$77"),0)),0,10)</f>
        <v>145</v>
      </c>
      <c r="L39" s="178">
        <f ca="1">L38+IF(ISNA(MATCH(Invulblad!$S$19,INDIRECT(L$1&amp;"!$E$70:$E$77"),0)),0,10)+IF(ISNA(MATCH(Invulblad!$S$19,INDIRECT(L$1&amp;"!$G$70:$G$77"),0)),0,10)+IF(ISNA(MATCH(Invulblad!$S$20,INDIRECT(L$1&amp;"!$E$70:$E$77"),0)),0,10)+IF(ISNA(MATCH(Invulblad!$S$20,INDIRECT(L$1&amp;"!$G$70:$G$77"),0)),0,10)</f>
        <v>130</v>
      </c>
      <c r="M39" s="178">
        <f ca="1">M38+IF(ISNA(MATCH(Invulblad!$S$19,INDIRECT(M$1&amp;"!$E$70:$E$77"),0)),0,10)+IF(ISNA(MATCH(Invulblad!$S$19,INDIRECT(M$1&amp;"!$G$70:$G$77"),0)),0,10)+IF(ISNA(MATCH(Invulblad!$S$20,INDIRECT(M$1&amp;"!$E$70:$E$77"),0)),0,10)+IF(ISNA(MATCH(Invulblad!$S$20,INDIRECT(M$1&amp;"!$G$70:$G$77"),0)),0,10)</f>
        <v>95</v>
      </c>
      <c r="N39" s="178">
        <f ca="1">N38+IF(ISNA(MATCH(Invulblad!$S$19,INDIRECT(N$1&amp;"!$E$70:$E$77"),0)),0,10)+IF(ISNA(MATCH(Invulblad!$S$19,INDIRECT(N$1&amp;"!$G$70:$G$77"),0)),0,10)+IF(ISNA(MATCH(Invulblad!$S$20,INDIRECT(N$1&amp;"!$E$70:$E$77"),0)),0,10)+IF(ISNA(MATCH(Invulblad!$S$20,INDIRECT(N$1&amp;"!$G$70:$G$77"),0)),0,10)</f>
        <v>110</v>
      </c>
      <c r="O39" s="178">
        <f ca="1">O38+IF(ISNA(MATCH(Invulblad!$S$19,INDIRECT(O$1&amp;"!$E$70:$E$77"),0)),0,10)+IF(ISNA(MATCH(Invulblad!$S$19,INDIRECT(O$1&amp;"!$G$70:$G$77"),0)),0,10)+IF(ISNA(MATCH(Invulblad!$S$20,INDIRECT(O$1&amp;"!$E$70:$E$77"),0)),0,10)+IF(ISNA(MATCH(Invulblad!$S$20,INDIRECT(O$1&amp;"!$G$70:$G$77"),0)),0,10)</f>
        <v>115</v>
      </c>
      <c r="P39" s="178">
        <f ca="1">P38+IF(ISNA(MATCH(Invulblad!$S$19,INDIRECT(P$1&amp;"!$E$70:$E$77"),0)),0,10)+IF(ISNA(MATCH(Invulblad!$S$19,INDIRECT(P$1&amp;"!$G$70:$G$77"),0)),0,10)+IF(ISNA(MATCH(Invulblad!$S$20,INDIRECT(P$1&amp;"!$E$70:$E$77"),0)),0,10)+IF(ISNA(MATCH(Invulblad!$S$20,INDIRECT(P$1&amp;"!$G$70:$G$77"),0)),0,10)</f>
        <v>130</v>
      </c>
      <c r="Q39" s="178">
        <f ca="1">Q38+IF(ISNA(MATCH(Invulblad!$S$19,INDIRECT(Q$1&amp;"!$E$70:$E$77"),0)),0,10)+IF(ISNA(MATCH(Invulblad!$S$19,INDIRECT(Q$1&amp;"!$G$70:$G$77"),0)),0,10)+IF(ISNA(MATCH(Invulblad!$S$20,INDIRECT(Q$1&amp;"!$E$70:$E$77"),0)),0,10)+IF(ISNA(MATCH(Invulblad!$S$20,INDIRECT(Q$1&amp;"!$G$70:$G$77"),0)),0,10)</f>
        <v>105</v>
      </c>
      <c r="R39" s="178">
        <f ca="1">R38+IF(ISNA(MATCH(Invulblad!$S$19,INDIRECT(R$1&amp;"!$E$70:$E$77"),0)),0,10)+IF(ISNA(MATCH(Invulblad!$S$19,INDIRECT(R$1&amp;"!$G$70:$G$77"),0)),0,10)+IF(ISNA(MATCH(Invulblad!$S$20,INDIRECT(R$1&amp;"!$E$70:$E$77"),0)),0,10)+IF(ISNA(MATCH(Invulblad!$S$20,INDIRECT(R$1&amp;"!$G$70:$G$77"),0)),0,10)</f>
        <v>105</v>
      </c>
      <c r="S39" s="178">
        <f ca="1">S38+IF(ISNA(MATCH(Invulblad!$S$19,INDIRECT(S$1&amp;"!$E$70:$E$77"),0)),0,10)+IF(ISNA(MATCH(Invulblad!$S$19,INDIRECT(S$1&amp;"!$G$70:$G$77"),0)),0,10)+IF(ISNA(MATCH(Invulblad!$S$20,INDIRECT(S$1&amp;"!$E$70:$E$77"),0)),0,10)+IF(ISNA(MATCH(Invulblad!$S$20,INDIRECT(S$1&amp;"!$G$70:$G$77"),0)),0,10)</f>
        <v>120</v>
      </c>
      <c r="T39" s="178">
        <f ca="1">T38+IF(ISNA(MATCH(Invulblad!$S$19,INDIRECT(T$1&amp;"!$E$70:$E$77"),0)),0,10)+IF(ISNA(MATCH(Invulblad!$S$19,INDIRECT(T$1&amp;"!$G$70:$G$77"),0)),0,10)+IF(ISNA(MATCH(Invulblad!$S$20,INDIRECT(T$1&amp;"!$E$70:$E$77"),0)),0,10)+IF(ISNA(MATCH(Invulblad!$S$20,INDIRECT(T$1&amp;"!$G$70:$G$77"),0)),0,10)</f>
        <v>125</v>
      </c>
      <c r="U39" s="178">
        <f ca="1">U38+IF(ISNA(MATCH(Invulblad!$S$19,INDIRECT(U$1&amp;"!$E$70:$E$77"),0)),0,10)+IF(ISNA(MATCH(Invulblad!$S$19,INDIRECT(U$1&amp;"!$G$70:$G$77"),0)),0,10)+IF(ISNA(MATCH(Invulblad!$S$20,INDIRECT(U$1&amp;"!$E$70:$E$77"),0)),0,10)+IF(ISNA(MATCH(Invulblad!$S$20,INDIRECT(U$1&amp;"!$G$70:$G$77"),0)),0,10)</f>
        <v>115</v>
      </c>
      <c r="V39" s="178">
        <f ca="1">V38+IF(ISNA(MATCH(Invulblad!$S$19,INDIRECT(V$1&amp;"!$E$70:$E$77"),0)),0,10)+IF(ISNA(MATCH(Invulblad!$S$19,INDIRECT(V$1&amp;"!$G$70:$G$77"),0)),0,10)+IF(ISNA(MATCH(Invulblad!$S$20,INDIRECT(V$1&amp;"!$E$70:$E$77"),0)),0,10)+IF(ISNA(MATCH(Invulblad!$S$20,INDIRECT(V$1&amp;"!$G$70:$G$77"),0)),0,10)</f>
        <v>120</v>
      </c>
      <c r="W39" s="178">
        <f ca="1">W38+IF(ISNA(MATCH(Invulblad!$S$19,INDIRECT(W$1&amp;"!$E$70:$E$77"),0)),0,10)+IF(ISNA(MATCH(Invulblad!$S$19,INDIRECT(W$1&amp;"!$G$70:$G$77"),0)),0,10)+IF(ISNA(MATCH(Invulblad!$S$20,INDIRECT(W$1&amp;"!$E$70:$E$77"),0)),0,10)+IF(ISNA(MATCH(Invulblad!$S$20,INDIRECT(W$1&amp;"!$G$70:$G$77"),0)),0,10)</f>
        <v>120</v>
      </c>
      <c r="X39" s="178">
        <f ca="1">X38+IF(ISNA(MATCH(Invulblad!$S$19,INDIRECT(X$1&amp;"!$E$70:$E$77"),0)),0,10)+IF(ISNA(MATCH(Invulblad!$S$19,INDIRECT(X$1&amp;"!$G$70:$G$77"),0)),0,10)+IF(ISNA(MATCH(Invulblad!$S$20,INDIRECT(X$1&amp;"!$E$70:$E$77"),0)),0,10)+IF(ISNA(MATCH(Invulblad!$S$20,INDIRECT(X$1&amp;"!$G$70:$G$77"),0)),0,10)</f>
        <v>80</v>
      </c>
      <c r="Y39" s="178">
        <f t="shared" ca="1" si="4"/>
        <v>117.95454545454545</v>
      </c>
      <c r="Z39" s="194">
        <f t="shared" ca="1" si="6"/>
        <v>12.72727272727272</v>
      </c>
      <c r="AA39" s="195">
        <f ca="1">IF(C39&lt;&gt;"",C39-$Y39,"")</f>
        <v>-2.9545454545454533</v>
      </c>
      <c r="AB39" s="195">
        <f ca="1">IF(D39&lt;&gt;"",D39-$Y39,"")</f>
        <v>-7.9545454545454533</v>
      </c>
      <c r="AC39" s="195">
        <f ca="1">IF(E39&lt;&gt;"",E39-$Y39,"")</f>
        <v>2.0454545454545467</v>
      </c>
      <c r="AD39" s="195">
        <f ca="1">IF(F39&lt;&gt;"",F39-$Y39,"")</f>
        <v>27.045454545454547</v>
      </c>
      <c r="AE39" s="195">
        <f ca="1">IF(G39&lt;&gt;"",G39-$Y39,"")</f>
        <v>7.0454545454545467</v>
      </c>
      <c r="AF39" s="195">
        <f ca="1">IF(H39&lt;&gt;"",H39-$Y39,"")</f>
        <v>7.0454545454545467</v>
      </c>
      <c r="AG39" s="195">
        <f ca="1">IF(I39&lt;&gt;"",I39-$Y39,"")</f>
        <v>-7.9545454545454533</v>
      </c>
      <c r="AH39" s="195">
        <f ca="1">IF(J39&lt;&gt;"",J39-$Y39,"")</f>
        <v>12.045454545454547</v>
      </c>
      <c r="AI39" s="195">
        <f ca="1">IF(K39&lt;&gt;"",K39-$Y39,"")</f>
        <v>27.045454545454547</v>
      </c>
      <c r="AJ39" s="195">
        <f ca="1">IF(L39&lt;&gt;"",L39-$Y39,"")</f>
        <v>12.045454545454547</v>
      </c>
      <c r="AK39" s="195">
        <f ca="1">IF(M39&lt;&gt;"",M39-$Y39,"")</f>
        <v>-22.954545454545453</v>
      </c>
      <c r="AL39" s="195">
        <f ca="1">IF(N39&lt;&gt;"",N39-$Y39,"")</f>
        <v>-7.9545454545454533</v>
      </c>
      <c r="AM39" s="195">
        <f ca="1">IF(O39&lt;&gt;"",O39-$Y39,"")</f>
        <v>-2.9545454545454533</v>
      </c>
      <c r="AN39" s="195">
        <f ca="1">IF(P39&lt;&gt;"",P39-$Y39,"")</f>
        <v>12.045454545454547</v>
      </c>
      <c r="AO39" s="195">
        <f ca="1">IF(S39&lt;&gt;"",S39-$Y39,"")</f>
        <v>2.0454545454545467</v>
      </c>
      <c r="AP39" s="195">
        <f ca="1">IF(T39&lt;&gt;"",T39-$Y39,"")</f>
        <v>7.0454545454545467</v>
      </c>
      <c r="AQ39" s="195">
        <f ca="1">IF(U39&lt;&gt;"",U39-$Y39,"")</f>
        <v>-2.9545454545454533</v>
      </c>
      <c r="AR39" s="195">
        <f ca="1">IF(V39&lt;&gt;"",V39-$Y39,"")</f>
        <v>2.0454545454545467</v>
      </c>
      <c r="AS39" s="195">
        <f ca="1">IF(W39&lt;&gt;"",W39-$Y39,"")</f>
        <v>2.0454545454545467</v>
      </c>
      <c r="AT39" s="195">
        <f ca="1">IF(Q39&lt;&gt;"",Q39-$Y39,"")</f>
        <v>-12.954545454545453</v>
      </c>
      <c r="AU39" s="195">
        <f ca="1">IF(R39&lt;&gt;"",R39-$Y39,"")</f>
        <v>-12.954545454545453</v>
      </c>
      <c r="AV39" s="195">
        <f t="shared" ca="1" si="5"/>
        <v>-37.954545454545453</v>
      </c>
    </row>
    <row r="40" spans="1:48">
      <c r="A40" s="189">
        <v>37</v>
      </c>
      <c r="B40" s="165" t="str">
        <f>VLOOKUP($A40,Willem!$B$14:$P$89,4,0)&amp;"-"&amp;VLOOKUP($A40,Willem!$B$14:$P$89,6,0)</f>
        <v>Slovenië-  Engeland</v>
      </c>
      <c r="C40" s="340">
        <f ca="1">IF(VLOOKUP($A40,INDIRECT(C$1&amp;"!$B$14:$P$89"),15,0)&lt;&gt;"",VLOOKUP($A40,INDIRECT(C$1&amp;"!$B$14:$P$89"),15,0)+C39,"")</f>
        <v>120</v>
      </c>
      <c r="D40" s="340">
        <f ca="1">IF(VLOOKUP($A40,INDIRECT(D$1&amp;"!$B$14:$P$89"),15,0)&lt;&gt;"",VLOOKUP($A40,INDIRECT(D$1&amp;"!$B$14:$P$89"),15,0)+D39,"")</f>
        <v>115</v>
      </c>
      <c r="E40" s="340">
        <f ca="1">IF(VLOOKUP($A40,INDIRECT(E$1&amp;"!$B$14:$P$89"),15,0)&lt;&gt;"",VLOOKUP($A40,INDIRECT(E$1&amp;"!$B$14:$P$89"),15,0)+E39,"")</f>
        <v>120</v>
      </c>
      <c r="F40" s="340">
        <f ca="1">IF(VLOOKUP($A40,INDIRECT(F$1&amp;"!$B$14:$P$89"),15,0)&lt;&gt;"",VLOOKUP($A40,INDIRECT(F$1&amp;"!$B$14:$P$89"),15,0)+F39,"")</f>
        <v>150</v>
      </c>
      <c r="G40" s="340">
        <f ca="1">IF(VLOOKUP($A40,INDIRECT(G$1&amp;"!$B$14:$P$89"),15,0)&lt;&gt;"",VLOOKUP($A40,INDIRECT(G$1&amp;"!$B$14:$P$89"),15,0)+G39,"")</f>
        <v>130</v>
      </c>
      <c r="H40" s="340">
        <f ca="1">IF(VLOOKUP($A40,INDIRECT(H$1&amp;"!$B$14:$P$89"),15,0)&lt;&gt;"",VLOOKUP($A40,INDIRECT(H$1&amp;"!$B$14:$P$89"),15,0)+H39,"")</f>
        <v>125</v>
      </c>
      <c r="I40" s="340">
        <f ca="1">IF(VLOOKUP($A40,INDIRECT(I$1&amp;"!$B$14:$P$89"),15,0)&lt;&gt;"",VLOOKUP($A40,INDIRECT(I$1&amp;"!$B$14:$P$89"),15,0)+I39,"")</f>
        <v>115</v>
      </c>
      <c r="J40" s="340">
        <f ca="1">IF(VLOOKUP($A40,INDIRECT(J$1&amp;"!$B$14:$P$89"),15,0)&lt;&gt;"",VLOOKUP($A40,INDIRECT(J$1&amp;"!$B$14:$P$89"),15,0)+J39,"")</f>
        <v>135</v>
      </c>
      <c r="K40" s="340">
        <f ca="1">IF(VLOOKUP($A40,INDIRECT(K$1&amp;"!$B$14:$P$89"),15,0)&lt;&gt;"",VLOOKUP($A40,INDIRECT(K$1&amp;"!$B$14:$P$89"),15,0)+K39,"")</f>
        <v>150</v>
      </c>
      <c r="L40" s="340">
        <f ca="1">IF(VLOOKUP($A40,INDIRECT(L$1&amp;"!$B$14:$P$89"),15,0)&lt;&gt;"",VLOOKUP($A40,INDIRECT(L$1&amp;"!$B$14:$P$89"),15,0)+L39,"")</f>
        <v>135</v>
      </c>
      <c r="M40" s="340">
        <f ca="1">IF(VLOOKUP($A40,INDIRECT(M$1&amp;"!$B$14:$P$89"),15,0)&lt;&gt;"",VLOOKUP($A40,INDIRECT(M$1&amp;"!$B$14:$P$89"),15,0)+M39,"")</f>
        <v>100</v>
      </c>
      <c r="N40" s="340">
        <f ca="1">IF(VLOOKUP($A40,INDIRECT(N$1&amp;"!$B$14:$P$89"),15,0)&lt;&gt;"",VLOOKUP($A40,INDIRECT(N$1&amp;"!$B$14:$P$89"),15,0)+N39,"")</f>
        <v>115</v>
      </c>
      <c r="O40" s="340">
        <f ca="1">IF(VLOOKUP($A40,INDIRECT(O$1&amp;"!$B$14:$P$89"),15,0)&lt;&gt;"",VLOOKUP($A40,INDIRECT(O$1&amp;"!$B$14:$P$89"),15,0)+O39,"")</f>
        <v>120</v>
      </c>
      <c r="P40" s="340">
        <f ca="1">IF(VLOOKUP($A40,INDIRECT(P$1&amp;"!$B$14:$P$89"),15,0)&lt;&gt;"",VLOOKUP($A40,INDIRECT(P$1&amp;"!$B$14:$P$89"),15,0)+P39,"")</f>
        <v>130</v>
      </c>
      <c r="Q40" s="340">
        <f ca="1">IF(VLOOKUP($A40,INDIRECT(Q$1&amp;"!$B$14:$P$89"),15,0)&lt;&gt;"",VLOOKUP($A40,INDIRECT(Q$1&amp;"!$B$14:$P$89"),15,0)+Q39,"")</f>
        <v>115</v>
      </c>
      <c r="R40" s="340">
        <f ca="1">IF(VLOOKUP($A40,INDIRECT(R$1&amp;"!$B$14:$P$89"),15,0)&lt;&gt;"",VLOOKUP($A40,INDIRECT(R$1&amp;"!$B$14:$P$89"),15,0)+R39,"")</f>
        <v>105</v>
      </c>
      <c r="S40" s="340">
        <f ca="1">IF(VLOOKUP($A40,INDIRECT(S$1&amp;"!$B$14:$P$89"),15,0)&lt;&gt;"",VLOOKUP($A40,INDIRECT(S$1&amp;"!$B$14:$P$89"),15,0)+S39,"")</f>
        <v>120</v>
      </c>
      <c r="T40" s="340">
        <f ca="1">IF(VLOOKUP($A40,INDIRECT(T$1&amp;"!$B$14:$P$89"),15,0)&lt;&gt;"",VLOOKUP($A40,INDIRECT(T$1&amp;"!$B$14:$P$89"),15,0)+T39,"")</f>
        <v>130</v>
      </c>
      <c r="U40" s="340">
        <f ca="1">IF(VLOOKUP($A40,INDIRECT(U$1&amp;"!$B$14:$P$89"),15,0)&lt;&gt;"",VLOOKUP($A40,INDIRECT(U$1&amp;"!$B$14:$P$89"),15,0)+U39,"")</f>
        <v>120</v>
      </c>
      <c r="V40" s="340">
        <f ca="1">IF(VLOOKUP($A40,INDIRECT(V$1&amp;"!$B$14:$P$89"),15,0)&lt;&gt;"",VLOOKUP($A40,INDIRECT(V$1&amp;"!$B$14:$P$89"),15,0)+V39,"")</f>
        <v>125</v>
      </c>
      <c r="W40" s="340">
        <f ca="1">IF(VLOOKUP($A40,INDIRECT(W$1&amp;"!$B$14:$P$89"),15,0)&lt;&gt;"",VLOOKUP($A40,INDIRECT(W$1&amp;"!$B$14:$P$89"),15,0)+W39,"")</f>
        <v>125</v>
      </c>
      <c r="X40" s="340">
        <f ca="1">IF(VLOOKUP($A40,INDIRECT(X$1&amp;"!$B$14:$P$89"),15,0)&lt;&gt;"",VLOOKUP($A40,INDIRECT(X$1&amp;"!$B$14:$P$89"),15,0)+X39,"")</f>
        <v>80</v>
      </c>
      <c r="Y40" s="178">
        <f t="shared" ca="1" si="4"/>
        <v>121.81818181818181</v>
      </c>
      <c r="Z40" s="194">
        <f t="shared" ca="1" si="6"/>
        <v>3.8636363636363598</v>
      </c>
      <c r="AA40" s="195">
        <f ca="1">IF(C40&lt;&gt;"",C40-$Y40,"")</f>
        <v>-1.818181818181813</v>
      </c>
      <c r="AB40" s="195">
        <f ca="1">IF(D40&lt;&gt;"",D40-$Y40,"")</f>
        <v>-6.818181818181813</v>
      </c>
      <c r="AC40" s="195">
        <f ca="1">IF(E40&lt;&gt;"",E40-$Y40,"")</f>
        <v>-1.818181818181813</v>
      </c>
      <c r="AD40" s="195">
        <f ca="1">IF(F40&lt;&gt;"",F40-$Y40,"")</f>
        <v>28.181818181818187</v>
      </c>
      <c r="AE40" s="195">
        <f ca="1">IF(G40&lt;&gt;"",G40-$Y40,"")</f>
        <v>8.181818181818187</v>
      </c>
      <c r="AF40" s="195">
        <f ca="1">IF(H40&lt;&gt;"",H40-$Y40,"")</f>
        <v>3.181818181818187</v>
      </c>
      <c r="AG40" s="195">
        <f ca="1">IF(I40&lt;&gt;"",I40-$Y40,"")</f>
        <v>-6.818181818181813</v>
      </c>
      <c r="AH40" s="195">
        <f ca="1">IF(J40&lt;&gt;"",J40-$Y40,"")</f>
        <v>13.181818181818187</v>
      </c>
      <c r="AI40" s="195">
        <f ca="1">IF(K40&lt;&gt;"",K40-$Y40,"")</f>
        <v>28.181818181818187</v>
      </c>
      <c r="AJ40" s="195">
        <f ca="1">IF(L40&lt;&gt;"",L40-$Y40,"")</f>
        <v>13.181818181818187</v>
      </c>
      <c r="AK40" s="195">
        <f ca="1">IF(M40&lt;&gt;"",M40-$Y40,"")</f>
        <v>-21.818181818181813</v>
      </c>
      <c r="AL40" s="195">
        <f ca="1">IF(N40&lt;&gt;"",N40-$Y40,"")</f>
        <v>-6.818181818181813</v>
      </c>
      <c r="AM40" s="195">
        <f ca="1">IF(O40&lt;&gt;"",O40-$Y40,"")</f>
        <v>-1.818181818181813</v>
      </c>
      <c r="AN40" s="195">
        <f ca="1">IF(P40&lt;&gt;"",P40-$Y40,"")</f>
        <v>8.181818181818187</v>
      </c>
      <c r="AO40" s="195">
        <f ca="1">IF(S40&lt;&gt;"",S40-$Y40,"")</f>
        <v>-1.818181818181813</v>
      </c>
      <c r="AP40" s="195">
        <f ca="1">IF(T40&lt;&gt;"",T40-$Y40,"")</f>
        <v>8.181818181818187</v>
      </c>
      <c r="AQ40" s="195">
        <f ca="1">IF(U40&lt;&gt;"",U40-$Y40,"")</f>
        <v>-1.818181818181813</v>
      </c>
      <c r="AR40" s="195">
        <f ca="1">IF(V40&lt;&gt;"",V40-$Y40,"")</f>
        <v>3.181818181818187</v>
      </c>
      <c r="AS40" s="195">
        <f ca="1">IF(W40&lt;&gt;"",W40-$Y40,"")</f>
        <v>3.181818181818187</v>
      </c>
      <c r="AT40" s="195">
        <f ca="1">IF(Q40&lt;&gt;"",Q40-$Y40,"")</f>
        <v>-6.818181818181813</v>
      </c>
      <c r="AU40" s="195">
        <f ca="1">IF(R40&lt;&gt;"",R40-$Y40,"")</f>
        <v>-16.818181818181813</v>
      </c>
      <c r="AV40" s="195">
        <f t="shared" ca="1" si="5"/>
        <v>-41.818181818181813</v>
      </c>
    </row>
    <row r="41" spans="1:48">
      <c r="A41" s="189">
        <v>38</v>
      </c>
      <c r="B41" s="166" t="str">
        <f>VLOOKUP($A41,Willem!$B$14:$P$89,4,0)&amp;"-"&amp;VLOOKUP($A41,Willem!$B$14:$P$89,6,0)</f>
        <v>USA-  Algerije</v>
      </c>
      <c r="C41" s="341">
        <f ca="1">IF(VLOOKUP($A41,INDIRECT(C$1&amp;"!$B$14:$P$89"),15,0)&lt;&gt;"",VLOOKUP($A41,INDIRECT(C$1&amp;"!$B$14:$P$89"),15,0)+C40,"")</f>
        <v>125</v>
      </c>
      <c r="D41" s="341">
        <f ca="1">IF(VLOOKUP($A41,INDIRECT(D$1&amp;"!$B$14:$P$89"),15,0)&lt;&gt;"",VLOOKUP($A41,INDIRECT(D$1&amp;"!$B$14:$P$89"),15,0)+D40,"")</f>
        <v>115</v>
      </c>
      <c r="E41" s="341">
        <f ca="1">IF(VLOOKUP($A41,INDIRECT(E$1&amp;"!$B$14:$P$89"),15,0)&lt;&gt;"",VLOOKUP($A41,INDIRECT(E$1&amp;"!$B$14:$P$89"),15,0)+E40,"")</f>
        <v>125</v>
      </c>
      <c r="F41" s="341">
        <f ca="1">IF(VLOOKUP($A41,INDIRECT(F$1&amp;"!$B$14:$P$89"),15,0)&lt;&gt;"",VLOOKUP($A41,INDIRECT(F$1&amp;"!$B$14:$P$89"),15,0)+F40,"")</f>
        <v>150</v>
      </c>
      <c r="G41" s="341">
        <f ca="1">IF(VLOOKUP($A41,INDIRECT(G$1&amp;"!$B$14:$P$89"),15,0)&lt;&gt;"",VLOOKUP($A41,INDIRECT(G$1&amp;"!$B$14:$P$89"),15,0)+G40,"")</f>
        <v>135</v>
      </c>
      <c r="H41" s="341">
        <f ca="1">IF(VLOOKUP($A41,INDIRECT(H$1&amp;"!$B$14:$P$89"),15,0)&lt;&gt;"",VLOOKUP($A41,INDIRECT(H$1&amp;"!$B$14:$P$89"),15,0)+H40,"")</f>
        <v>130</v>
      </c>
      <c r="I41" s="341">
        <f ca="1">IF(VLOOKUP($A41,INDIRECT(I$1&amp;"!$B$14:$P$89"),15,0)&lt;&gt;"",VLOOKUP($A41,INDIRECT(I$1&amp;"!$B$14:$P$89"),15,0)+I40,"")</f>
        <v>125</v>
      </c>
      <c r="J41" s="341">
        <f ca="1">IF(VLOOKUP($A41,INDIRECT(J$1&amp;"!$B$14:$P$89"),15,0)&lt;&gt;"",VLOOKUP($A41,INDIRECT(J$1&amp;"!$B$14:$P$89"),15,0)+J40,"")</f>
        <v>140</v>
      </c>
      <c r="K41" s="341">
        <f ca="1">IF(VLOOKUP($A41,INDIRECT(K$1&amp;"!$B$14:$P$89"),15,0)&lt;&gt;"",VLOOKUP($A41,INDIRECT(K$1&amp;"!$B$14:$P$89"),15,0)+K40,"")</f>
        <v>150</v>
      </c>
      <c r="L41" s="341">
        <f ca="1">IF(VLOOKUP($A41,INDIRECT(L$1&amp;"!$B$14:$P$89"),15,0)&lt;&gt;"",VLOOKUP($A41,INDIRECT(L$1&amp;"!$B$14:$P$89"),15,0)+L40,"")</f>
        <v>140</v>
      </c>
      <c r="M41" s="341">
        <f ca="1">IF(VLOOKUP($A41,INDIRECT(M$1&amp;"!$B$14:$P$89"),15,0)&lt;&gt;"",VLOOKUP($A41,INDIRECT(M$1&amp;"!$B$14:$P$89"),15,0)+M40,"")</f>
        <v>105</v>
      </c>
      <c r="N41" s="341">
        <f ca="1">IF(VLOOKUP($A41,INDIRECT(N$1&amp;"!$B$14:$P$89"),15,0)&lt;&gt;"",VLOOKUP($A41,INDIRECT(N$1&amp;"!$B$14:$P$89"),15,0)+N40,"")</f>
        <v>125</v>
      </c>
      <c r="O41" s="341">
        <f ca="1">IF(VLOOKUP($A41,INDIRECT(O$1&amp;"!$B$14:$P$89"),15,0)&lt;&gt;"",VLOOKUP($A41,INDIRECT(O$1&amp;"!$B$14:$P$89"),15,0)+O40,"")</f>
        <v>120</v>
      </c>
      <c r="P41" s="341">
        <f ca="1">IF(VLOOKUP($A41,INDIRECT(P$1&amp;"!$B$14:$P$89"),15,0)&lt;&gt;"",VLOOKUP($A41,INDIRECT(P$1&amp;"!$B$14:$P$89"),15,0)+P40,"")</f>
        <v>140</v>
      </c>
      <c r="Q41" s="341">
        <f ca="1">IF(VLOOKUP($A41,INDIRECT(Q$1&amp;"!$B$14:$P$89"),15,0)&lt;&gt;"",VLOOKUP($A41,INDIRECT(Q$1&amp;"!$B$14:$P$89"),15,0)+Q40,"")</f>
        <v>125</v>
      </c>
      <c r="R41" s="341">
        <f ca="1">IF(VLOOKUP($A41,INDIRECT(R$1&amp;"!$B$14:$P$89"),15,0)&lt;&gt;"",VLOOKUP($A41,INDIRECT(R$1&amp;"!$B$14:$P$89"),15,0)+R40,"")</f>
        <v>105</v>
      </c>
      <c r="S41" s="341">
        <f ca="1">IF(VLOOKUP($A41,INDIRECT(S$1&amp;"!$B$14:$P$89"),15,0)&lt;&gt;"",VLOOKUP($A41,INDIRECT(S$1&amp;"!$B$14:$P$89"),15,0)+S40,"")</f>
        <v>130</v>
      </c>
      <c r="T41" s="341">
        <f ca="1">IF(VLOOKUP($A41,INDIRECT(T$1&amp;"!$B$14:$P$89"),15,0)&lt;&gt;"",VLOOKUP($A41,INDIRECT(T$1&amp;"!$B$14:$P$89"),15,0)+T40,"")</f>
        <v>130</v>
      </c>
      <c r="U41" s="341">
        <f ca="1">IF(VLOOKUP($A41,INDIRECT(U$1&amp;"!$B$14:$P$89"),15,0)&lt;&gt;"",VLOOKUP($A41,INDIRECT(U$1&amp;"!$B$14:$P$89"),15,0)+U40,"")</f>
        <v>125</v>
      </c>
      <c r="V41" s="341">
        <f ca="1">IF(VLOOKUP($A41,INDIRECT(V$1&amp;"!$B$14:$P$89"),15,0)&lt;&gt;"",VLOOKUP($A41,INDIRECT(V$1&amp;"!$B$14:$P$89"),15,0)+V40,"")</f>
        <v>135</v>
      </c>
      <c r="W41" s="341">
        <f ca="1">IF(VLOOKUP($A41,INDIRECT(W$1&amp;"!$B$14:$P$89"),15,0)&lt;&gt;"",VLOOKUP($A41,INDIRECT(W$1&amp;"!$B$14:$P$89"),15,0)+W40,"")</f>
        <v>125</v>
      </c>
      <c r="X41" s="341">
        <f ca="1">IF(VLOOKUP($A41,INDIRECT(X$1&amp;"!$B$14:$P$89"),15,0)&lt;&gt;"",VLOOKUP($A41,INDIRECT(X$1&amp;"!$B$14:$P$89"),15,0)+X40,"")</f>
        <v>80</v>
      </c>
      <c r="Y41" s="178">
        <f t="shared" ca="1" si="4"/>
        <v>126.36363636363636</v>
      </c>
      <c r="Z41" s="194">
        <f t="shared" ca="1" si="6"/>
        <v>4.5454545454545467</v>
      </c>
      <c r="AA41" s="195">
        <f ca="1">IF(C41&lt;&gt;"",C41-$Y41,"")</f>
        <v>-1.3636363636363598</v>
      </c>
      <c r="AB41" s="195">
        <f ca="1">IF(D41&lt;&gt;"",D41-$Y41,"")</f>
        <v>-11.36363636363636</v>
      </c>
      <c r="AC41" s="195">
        <f ca="1">IF(E41&lt;&gt;"",E41-$Y41,"")</f>
        <v>-1.3636363636363598</v>
      </c>
      <c r="AD41" s="195">
        <f ca="1">IF(F41&lt;&gt;"",F41-$Y41,"")</f>
        <v>23.63636363636364</v>
      </c>
      <c r="AE41" s="195">
        <f ca="1">IF(G41&lt;&gt;"",G41-$Y41,"")</f>
        <v>8.6363636363636402</v>
      </c>
      <c r="AF41" s="195">
        <f ca="1">IF(H41&lt;&gt;"",H41-$Y41,"")</f>
        <v>3.6363636363636402</v>
      </c>
      <c r="AG41" s="195">
        <f ca="1">IF(I41&lt;&gt;"",I41-$Y41,"")</f>
        <v>-1.3636363636363598</v>
      </c>
      <c r="AH41" s="195">
        <f ca="1">IF(J41&lt;&gt;"",J41-$Y41,"")</f>
        <v>13.63636363636364</v>
      </c>
      <c r="AI41" s="195">
        <f ca="1">IF(K41&lt;&gt;"",K41-$Y41,"")</f>
        <v>23.63636363636364</v>
      </c>
      <c r="AJ41" s="195">
        <f ca="1">IF(L41&lt;&gt;"",L41-$Y41,"")</f>
        <v>13.63636363636364</v>
      </c>
      <c r="AK41" s="195">
        <f ca="1">IF(M41&lt;&gt;"",M41-$Y41,"")</f>
        <v>-21.36363636363636</v>
      </c>
      <c r="AL41" s="195">
        <f ca="1">IF(N41&lt;&gt;"",N41-$Y41,"")</f>
        <v>-1.3636363636363598</v>
      </c>
      <c r="AM41" s="195">
        <f ca="1">IF(O41&lt;&gt;"",O41-$Y41,"")</f>
        <v>-6.3636363636363598</v>
      </c>
      <c r="AN41" s="195">
        <f ca="1">IF(P41&lt;&gt;"",P41-$Y41,"")</f>
        <v>13.63636363636364</v>
      </c>
      <c r="AO41" s="195">
        <f ca="1">IF(S41&lt;&gt;"",S41-$Y41,"")</f>
        <v>3.6363636363636402</v>
      </c>
      <c r="AP41" s="195">
        <f ca="1">IF(T41&lt;&gt;"",T41-$Y41,"")</f>
        <v>3.6363636363636402</v>
      </c>
      <c r="AQ41" s="195">
        <f ca="1">IF(U41&lt;&gt;"",U41-$Y41,"")</f>
        <v>-1.3636363636363598</v>
      </c>
      <c r="AR41" s="195">
        <f ca="1">IF(V41&lt;&gt;"",V41-$Y41,"")</f>
        <v>8.6363636363636402</v>
      </c>
      <c r="AS41" s="195">
        <f ca="1">IF(W41&lt;&gt;"",W41-$Y41,"")</f>
        <v>-1.3636363636363598</v>
      </c>
      <c r="AT41" s="195">
        <f ca="1">IF(Q41&lt;&gt;"",Q41-$Y41,"")</f>
        <v>-1.3636363636363598</v>
      </c>
      <c r="AU41" s="195">
        <f ca="1">IF(R41&lt;&gt;"",R41-$Y41,"")</f>
        <v>-21.36363636363636</v>
      </c>
      <c r="AV41" s="195">
        <f t="shared" ca="1" si="5"/>
        <v>-46.36363636363636</v>
      </c>
    </row>
    <row r="42" spans="1:48">
      <c r="A42" s="196" t="str">
        <f>B42</f>
        <v>Boni</v>
      </c>
      <c r="B42" s="166" t="s">
        <v>507</v>
      </c>
      <c r="C42" s="178">
        <f ca="1">C41+IF(ISNA(MATCH(Invulblad!$S$27,INDIRECT(C$1&amp;"!$E$70:$E$77"),0)),0,10)+IF(ISNA(MATCH(Invulblad!$S$27,INDIRECT(C$1&amp;"!$G$70:$G$77"),0)),0,10)+IF(ISNA(MATCH(Invulblad!$S$28,INDIRECT(C$1&amp;"!$E$70:$E$77"),0)),0,10)+IF(ISNA(MATCH(Invulblad!$S$28,INDIRECT(C$1&amp;"!$G$70:$G$77"),0)),0,10)</f>
        <v>145</v>
      </c>
      <c r="D42" s="178">
        <f ca="1">D41+IF(ISNA(MATCH(Invulblad!$S$27,INDIRECT(D$1&amp;"!$E$70:$E$77"),0)),0,10)+IF(ISNA(MATCH(Invulblad!$S$27,INDIRECT(D$1&amp;"!$G$70:$G$77"),0)),0,10)+IF(ISNA(MATCH(Invulblad!$S$28,INDIRECT(D$1&amp;"!$E$70:$E$77"),0)),0,10)+IF(ISNA(MATCH(Invulblad!$S$28,INDIRECT(D$1&amp;"!$G$70:$G$77"),0)),0,10)</f>
        <v>135</v>
      </c>
      <c r="E42" s="178">
        <f ca="1">E41+IF(ISNA(MATCH(Invulblad!$S$27,INDIRECT(E$1&amp;"!$E$70:$E$77"),0)),0,10)+IF(ISNA(MATCH(Invulblad!$S$27,INDIRECT(E$1&amp;"!$G$70:$G$77"),0)),0,10)+IF(ISNA(MATCH(Invulblad!$S$28,INDIRECT(E$1&amp;"!$E$70:$E$77"),0)),0,10)+IF(ISNA(MATCH(Invulblad!$S$28,INDIRECT(E$1&amp;"!$G$70:$G$77"),0)),0,10)</f>
        <v>135</v>
      </c>
      <c r="F42" s="178">
        <f ca="1">F41+IF(ISNA(MATCH(Invulblad!$S$27,INDIRECT(F$1&amp;"!$E$70:$E$77"),0)),0,10)+IF(ISNA(MATCH(Invulblad!$S$27,INDIRECT(F$1&amp;"!$G$70:$G$77"),0)),0,10)+IF(ISNA(MATCH(Invulblad!$S$28,INDIRECT(F$1&amp;"!$E$70:$E$77"),0)),0,10)+IF(ISNA(MATCH(Invulblad!$S$28,INDIRECT(F$1&amp;"!$G$70:$G$77"),0)),0,10)</f>
        <v>160</v>
      </c>
      <c r="G42" s="178">
        <f ca="1">G41+IF(ISNA(MATCH(Invulblad!$S$27,INDIRECT(G$1&amp;"!$E$70:$E$77"),0)),0,10)+IF(ISNA(MATCH(Invulblad!$S$27,INDIRECT(G$1&amp;"!$G$70:$G$77"),0)),0,10)+IF(ISNA(MATCH(Invulblad!$S$28,INDIRECT(G$1&amp;"!$E$70:$E$77"),0)),0,10)+IF(ISNA(MATCH(Invulblad!$S$28,INDIRECT(G$1&amp;"!$G$70:$G$77"),0)),0,10)</f>
        <v>155</v>
      </c>
      <c r="H42" s="178">
        <f ca="1">H41+IF(ISNA(MATCH(Invulblad!$S$27,INDIRECT(H$1&amp;"!$E$70:$E$77"),0)),0,10)+IF(ISNA(MATCH(Invulblad!$S$27,INDIRECT(H$1&amp;"!$G$70:$G$77"),0)),0,10)+IF(ISNA(MATCH(Invulblad!$S$28,INDIRECT(H$1&amp;"!$E$70:$E$77"),0)),0,10)+IF(ISNA(MATCH(Invulblad!$S$28,INDIRECT(H$1&amp;"!$G$70:$G$77"),0)),0,10)</f>
        <v>150</v>
      </c>
      <c r="I42" s="178">
        <f ca="1">I41+IF(ISNA(MATCH(Invulblad!$S$27,INDIRECT(I$1&amp;"!$E$70:$E$77"),0)),0,10)+IF(ISNA(MATCH(Invulblad!$S$27,INDIRECT(I$1&amp;"!$G$70:$G$77"),0)),0,10)+IF(ISNA(MATCH(Invulblad!$S$28,INDIRECT(I$1&amp;"!$E$70:$E$77"),0)),0,10)+IF(ISNA(MATCH(Invulblad!$S$28,INDIRECT(I$1&amp;"!$G$70:$G$77"),0)),0,10)</f>
        <v>145</v>
      </c>
      <c r="J42" s="178">
        <f ca="1">J41+IF(ISNA(MATCH(Invulblad!$S$27,INDIRECT(J$1&amp;"!$E$70:$E$77"),0)),0,10)+IF(ISNA(MATCH(Invulblad!$S$27,INDIRECT(J$1&amp;"!$G$70:$G$77"),0)),0,10)+IF(ISNA(MATCH(Invulblad!$S$28,INDIRECT(J$1&amp;"!$E$70:$E$77"),0)),0,10)+IF(ISNA(MATCH(Invulblad!$S$28,INDIRECT(J$1&amp;"!$G$70:$G$77"),0)),0,10)</f>
        <v>160</v>
      </c>
      <c r="K42" s="178">
        <f ca="1">K41+IF(ISNA(MATCH(Invulblad!$S$27,INDIRECT(K$1&amp;"!$E$70:$E$77"),0)),0,10)+IF(ISNA(MATCH(Invulblad!$S$27,INDIRECT(K$1&amp;"!$G$70:$G$77"),0)),0,10)+IF(ISNA(MATCH(Invulblad!$S$28,INDIRECT(K$1&amp;"!$E$70:$E$77"),0)),0,10)+IF(ISNA(MATCH(Invulblad!$S$28,INDIRECT(K$1&amp;"!$G$70:$G$77"),0)),0,10)</f>
        <v>160</v>
      </c>
      <c r="L42" s="178">
        <f ca="1">L41+IF(ISNA(MATCH(Invulblad!$S$27,INDIRECT(L$1&amp;"!$E$70:$E$77"),0)),0,10)+IF(ISNA(MATCH(Invulblad!$S$27,INDIRECT(L$1&amp;"!$G$70:$G$77"),0)),0,10)+IF(ISNA(MATCH(Invulblad!$S$28,INDIRECT(L$1&amp;"!$E$70:$E$77"),0)),0,10)+IF(ISNA(MATCH(Invulblad!$S$28,INDIRECT(L$1&amp;"!$G$70:$G$77"),0)),0,10)</f>
        <v>160</v>
      </c>
      <c r="M42" s="178">
        <f ca="1">M41+IF(ISNA(MATCH(Invulblad!$S$27,INDIRECT(M$1&amp;"!$E$70:$E$77"),0)),0,10)+IF(ISNA(MATCH(Invulblad!$S$27,INDIRECT(M$1&amp;"!$G$70:$G$77"),0)),0,10)+IF(ISNA(MATCH(Invulblad!$S$28,INDIRECT(M$1&amp;"!$E$70:$E$77"),0)),0,10)+IF(ISNA(MATCH(Invulblad!$S$28,INDIRECT(M$1&amp;"!$G$70:$G$77"),0)),0,10)</f>
        <v>115</v>
      </c>
      <c r="N42" s="178">
        <f ca="1">N41+IF(ISNA(MATCH(Invulblad!$S$27,INDIRECT(N$1&amp;"!$E$70:$E$77"),0)),0,10)+IF(ISNA(MATCH(Invulblad!$S$27,INDIRECT(N$1&amp;"!$G$70:$G$77"),0)),0,10)+IF(ISNA(MATCH(Invulblad!$S$28,INDIRECT(N$1&amp;"!$E$70:$E$77"),0)),0,10)+IF(ISNA(MATCH(Invulblad!$S$28,INDIRECT(N$1&amp;"!$G$70:$G$77"),0)),0,10)</f>
        <v>145</v>
      </c>
      <c r="O42" s="178">
        <f ca="1">O41+IF(ISNA(MATCH(Invulblad!$S$27,INDIRECT(O$1&amp;"!$E$70:$E$77"),0)),0,10)+IF(ISNA(MATCH(Invulblad!$S$27,INDIRECT(O$1&amp;"!$G$70:$G$77"),0)),0,10)+IF(ISNA(MATCH(Invulblad!$S$28,INDIRECT(O$1&amp;"!$E$70:$E$77"),0)),0,10)+IF(ISNA(MATCH(Invulblad!$S$28,INDIRECT(O$1&amp;"!$G$70:$G$77"),0)),0,10)</f>
        <v>130</v>
      </c>
      <c r="P42" s="178">
        <f ca="1">P41+IF(ISNA(MATCH(Invulblad!$S$27,INDIRECT(P$1&amp;"!$E$70:$E$77"),0)),0,10)+IF(ISNA(MATCH(Invulblad!$S$27,INDIRECT(P$1&amp;"!$G$70:$G$77"),0)),0,10)+IF(ISNA(MATCH(Invulblad!$S$28,INDIRECT(P$1&amp;"!$E$70:$E$77"),0)),0,10)+IF(ISNA(MATCH(Invulblad!$S$28,INDIRECT(P$1&amp;"!$G$70:$G$77"),0)),0,10)</f>
        <v>150</v>
      </c>
      <c r="Q42" s="178">
        <f ca="1">Q41+IF(ISNA(MATCH(Invulblad!$S$27,INDIRECT(Q$1&amp;"!$E$70:$E$77"),0)),0,10)+IF(ISNA(MATCH(Invulblad!$S$27,INDIRECT(Q$1&amp;"!$G$70:$G$77"),0)),0,10)+IF(ISNA(MATCH(Invulblad!$S$28,INDIRECT(Q$1&amp;"!$E$70:$E$77"),0)),0,10)+IF(ISNA(MATCH(Invulblad!$S$28,INDIRECT(Q$1&amp;"!$G$70:$G$77"),0)),0,10)</f>
        <v>145</v>
      </c>
      <c r="R42" s="178">
        <f ca="1">R41+IF(ISNA(MATCH(Invulblad!$S$27,INDIRECT(R$1&amp;"!$E$70:$E$77"),0)),0,10)+IF(ISNA(MATCH(Invulblad!$S$27,INDIRECT(R$1&amp;"!$G$70:$G$77"),0)),0,10)+IF(ISNA(MATCH(Invulblad!$S$28,INDIRECT(R$1&amp;"!$E$70:$E$77"),0)),0,10)+IF(ISNA(MATCH(Invulblad!$S$28,INDIRECT(R$1&amp;"!$G$70:$G$77"),0)),0,10)</f>
        <v>115</v>
      </c>
      <c r="S42" s="178">
        <f ca="1">S41+IF(ISNA(MATCH(Invulblad!$S$27,INDIRECT(S$1&amp;"!$E$70:$E$77"),0)),0,10)+IF(ISNA(MATCH(Invulblad!$S$27,INDIRECT(S$1&amp;"!$G$70:$G$77"),0)),0,10)+IF(ISNA(MATCH(Invulblad!$S$28,INDIRECT(S$1&amp;"!$E$70:$E$77"),0)),0,10)+IF(ISNA(MATCH(Invulblad!$S$28,INDIRECT(S$1&amp;"!$G$70:$G$77"),0)),0,10)</f>
        <v>140</v>
      </c>
      <c r="T42" s="178">
        <f ca="1">T41+IF(ISNA(MATCH(Invulblad!$S$27,INDIRECT(T$1&amp;"!$E$70:$E$77"),0)),0,10)+IF(ISNA(MATCH(Invulblad!$S$27,INDIRECT(T$1&amp;"!$G$70:$G$77"),0)),0,10)+IF(ISNA(MATCH(Invulblad!$S$28,INDIRECT(T$1&amp;"!$E$70:$E$77"),0)),0,10)+IF(ISNA(MATCH(Invulblad!$S$28,INDIRECT(T$1&amp;"!$G$70:$G$77"),0)),0,10)</f>
        <v>150</v>
      </c>
      <c r="U42" s="178">
        <f ca="1">U41+IF(ISNA(MATCH(Invulblad!$S$27,INDIRECT(U$1&amp;"!$E$70:$E$77"),0)),0,10)+IF(ISNA(MATCH(Invulblad!$S$27,INDIRECT(U$1&amp;"!$G$70:$G$77"),0)),0,10)+IF(ISNA(MATCH(Invulblad!$S$28,INDIRECT(U$1&amp;"!$E$70:$E$77"),0)),0,10)+IF(ISNA(MATCH(Invulblad!$S$28,INDIRECT(U$1&amp;"!$G$70:$G$77"),0)),0,10)</f>
        <v>145</v>
      </c>
      <c r="V42" s="178">
        <f ca="1">V41+IF(ISNA(MATCH(Invulblad!$S$27,INDIRECT(V$1&amp;"!$E$70:$E$77"),0)),0,10)+IF(ISNA(MATCH(Invulblad!$S$27,INDIRECT(V$1&amp;"!$G$70:$G$77"),0)),0,10)+IF(ISNA(MATCH(Invulblad!$S$28,INDIRECT(V$1&amp;"!$E$70:$E$77"),0)),0,10)+IF(ISNA(MATCH(Invulblad!$S$28,INDIRECT(V$1&amp;"!$G$70:$G$77"),0)),0,10)</f>
        <v>155</v>
      </c>
      <c r="W42" s="178">
        <f ca="1">W41+IF(ISNA(MATCH(Invulblad!$S$27,INDIRECT(W$1&amp;"!$E$70:$E$77"),0)),0,10)+IF(ISNA(MATCH(Invulblad!$S$27,INDIRECT(W$1&amp;"!$G$70:$G$77"),0)),0,10)+IF(ISNA(MATCH(Invulblad!$S$28,INDIRECT(W$1&amp;"!$E$70:$E$77"),0)),0,10)+IF(ISNA(MATCH(Invulblad!$S$28,INDIRECT(W$1&amp;"!$G$70:$G$77"),0)),0,10)</f>
        <v>135</v>
      </c>
      <c r="X42" s="178">
        <f ca="1">X41+IF(ISNA(MATCH(Invulblad!$S$27,INDIRECT(X$1&amp;"!$E$70:$E$77"),0)),0,10)+IF(ISNA(MATCH(Invulblad!$S$27,INDIRECT(X$1&amp;"!$G$70:$G$77"),0)),0,10)+IF(ISNA(MATCH(Invulblad!$S$28,INDIRECT(X$1&amp;"!$E$70:$E$77"),0)),0,10)+IF(ISNA(MATCH(Invulblad!$S$28,INDIRECT(X$1&amp;"!$G$70:$G$77"),0)),0,10)</f>
        <v>90</v>
      </c>
      <c r="Y42" s="178">
        <f t="shared" ca="1" si="4"/>
        <v>141.81818181818181</v>
      </c>
      <c r="Z42" s="194">
        <f t="shared" ca="1" si="6"/>
        <v>15.454545454545453</v>
      </c>
      <c r="AA42" s="195">
        <f ca="1">IF(C42&lt;&gt;"",C42-$Y42,"")</f>
        <v>3.181818181818187</v>
      </c>
      <c r="AB42" s="195">
        <f ca="1">IF(D42&lt;&gt;"",D42-$Y42,"")</f>
        <v>-6.818181818181813</v>
      </c>
      <c r="AC42" s="195">
        <f ca="1">IF(E42&lt;&gt;"",E42-$Y42,"")</f>
        <v>-6.818181818181813</v>
      </c>
      <c r="AD42" s="195">
        <f ca="1">IF(F42&lt;&gt;"",F42-$Y42,"")</f>
        <v>18.181818181818187</v>
      </c>
      <c r="AE42" s="195">
        <f ca="1">IF(G42&lt;&gt;"",G42-$Y42,"")</f>
        <v>13.181818181818187</v>
      </c>
      <c r="AF42" s="195">
        <f ca="1">IF(H42&lt;&gt;"",H42-$Y42,"")</f>
        <v>8.181818181818187</v>
      </c>
      <c r="AG42" s="195">
        <f ca="1">IF(I42&lt;&gt;"",I42-$Y42,"")</f>
        <v>3.181818181818187</v>
      </c>
      <c r="AH42" s="195">
        <f ca="1">IF(J42&lt;&gt;"",J42-$Y42,"")</f>
        <v>18.181818181818187</v>
      </c>
      <c r="AI42" s="195">
        <f ca="1">IF(K42&lt;&gt;"",K42-$Y42,"")</f>
        <v>18.181818181818187</v>
      </c>
      <c r="AJ42" s="195">
        <f ca="1">IF(L42&lt;&gt;"",L42-$Y42,"")</f>
        <v>18.181818181818187</v>
      </c>
      <c r="AK42" s="195">
        <f ca="1">IF(M42&lt;&gt;"",M42-$Y42,"")</f>
        <v>-26.818181818181813</v>
      </c>
      <c r="AL42" s="195">
        <f ca="1">IF(N42&lt;&gt;"",N42-$Y42,"")</f>
        <v>3.181818181818187</v>
      </c>
      <c r="AM42" s="195">
        <f ca="1">IF(O42&lt;&gt;"",O42-$Y42,"")</f>
        <v>-11.818181818181813</v>
      </c>
      <c r="AN42" s="195">
        <f ca="1">IF(P42&lt;&gt;"",P42-$Y42,"")</f>
        <v>8.181818181818187</v>
      </c>
      <c r="AO42" s="195">
        <f ca="1">IF(S42&lt;&gt;"",S42-$Y42,"")</f>
        <v>-1.818181818181813</v>
      </c>
      <c r="AP42" s="195">
        <f ca="1">IF(T42&lt;&gt;"",T42-$Y42,"")</f>
        <v>8.181818181818187</v>
      </c>
      <c r="AQ42" s="195">
        <f ca="1">IF(U42&lt;&gt;"",U42-$Y42,"")</f>
        <v>3.181818181818187</v>
      </c>
      <c r="AR42" s="195">
        <f ca="1">IF(V42&lt;&gt;"",V42-$Y42,"")</f>
        <v>13.181818181818187</v>
      </c>
      <c r="AS42" s="195">
        <f ca="1">IF(W42&lt;&gt;"",W42-$Y42,"")</f>
        <v>-6.818181818181813</v>
      </c>
      <c r="AT42" s="195">
        <f ca="1">IF(Q42&lt;&gt;"",Q42-$Y42,"")</f>
        <v>3.181818181818187</v>
      </c>
      <c r="AU42" s="195">
        <f ca="1">IF(R42&lt;&gt;"",R42-$Y42,"")</f>
        <v>-26.818181818181813</v>
      </c>
      <c r="AV42" s="195">
        <f t="shared" ca="1" si="5"/>
        <v>-51.818181818181813</v>
      </c>
    </row>
    <row r="43" spans="1:48">
      <c r="A43" s="189">
        <v>39</v>
      </c>
      <c r="B43" s="165" t="str">
        <f>VLOOKUP($A43,Willem!$B$14:$P$89,4,0)&amp;"-"&amp;VLOOKUP($A43,Willem!$B$14:$P$89,6,0)</f>
        <v>Ghana  -  Duitsland</v>
      </c>
      <c r="C43" s="340">
        <f ca="1">IF(VLOOKUP($A43,INDIRECT(C$1&amp;"!$B$14:$P$89"),15,0)&lt;&gt;"",VLOOKUP($A43,INDIRECT(C$1&amp;"!$B$14:$P$89"),15,0)+C42,"")</f>
        <v>150</v>
      </c>
      <c r="D43" s="340">
        <f ca="1">IF(VLOOKUP($A43,INDIRECT(D$1&amp;"!$B$14:$P$89"),15,0)&lt;&gt;"",VLOOKUP($A43,INDIRECT(D$1&amp;"!$B$14:$P$89"),15,0)+D42,"")</f>
        <v>140</v>
      </c>
      <c r="E43" s="340">
        <f ca="1">IF(VLOOKUP($A43,INDIRECT(E$1&amp;"!$B$14:$P$89"),15,0)&lt;&gt;"",VLOOKUP($A43,INDIRECT(E$1&amp;"!$B$14:$P$89"),15,0)+E42,"")</f>
        <v>140</v>
      </c>
      <c r="F43" s="340">
        <f ca="1">IF(VLOOKUP($A43,INDIRECT(F$1&amp;"!$B$14:$P$89"),15,0)&lt;&gt;"",VLOOKUP($A43,INDIRECT(F$1&amp;"!$B$14:$P$89"),15,0)+F42,"")</f>
        <v>165</v>
      </c>
      <c r="G43" s="340">
        <f ca="1">IF(VLOOKUP($A43,INDIRECT(G$1&amp;"!$B$14:$P$89"),15,0)&lt;&gt;"",VLOOKUP($A43,INDIRECT(G$1&amp;"!$B$14:$P$89"),15,0)+G42,"")</f>
        <v>160</v>
      </c>
      <c r="H43" s="340">
        <f ca="1">IF(VLOOKUP($A43,INDIRECT(H$1&amp;"!$B$14:$P$89"),15,0)&lt;&gt;"",VLOOKUP($A43,INDIRECT(H$1&amp;"!$B$14:$P$89"),15,0)+H42,"")</f>
        <v>150</v>
      </c>
      <c r="I43" s="340">
        <f ca="1">IF(VLOOKUP($A43,INDIRECT(I$1&amp;"!$B$14:$P$89"),15,0)&lt;&gt;"",VLOOKUP($A43,INDIRECT(I$1&amp;"!$B$14:$P$89"),15,0)+I42,"")</f>
        <v>150</v>
      </c>
      <c r="J43" s="340">
        <f ca="1">IF(VLOOKUP($A43,INDIRECT(J$1&amp;"!$B$14:$P$89"),15,0)&lt;&gt;"",VLOOKUP($A43,INDIRECT(J$1&amp;"!$B$14:$P$89"),15,0)+J42,"")</f>
        <v>165</v>
      </c>
      <c r="K43" s="340">
        <f ca="1">IF(VLOOKUP($A43,INDIRECT(K$1&amp;"!$B$14:$P$89"),15,0)&lt;&gt;"",VLOOKUP($A43,INDIRECT(K$1&amp;"!$B$14:$P$89"),15,0)+K42,"")</f>
        <v>165</v>
      </c>
      <c r="L43" s="340">
        <f ca="1">IF(VLOOKUP($A43,INDIRECT(L$1&amp;"!$B$14:$P$89"),15,0)&lt;&gt;"",VLOOKUP($A43,INDIRECT(L$1&amp;"!$B$14:$P$89"),15,0)+L42,"")</f>
        <v>165</v>
      </c>
      <c r="M43" s="340">
        <f ca="1">IF(VLOOKUP($A43,INDIRECT(M$1&amp;"!$B$14:$P$89"),15,0)&lt;&gt;"",VLOOKUP($A43,INDIRECT(M$1&amp;"!$B$14:$P$89"),15,0)+M42,"")</f>
        <v>120</v>
      </c>
      <c r="N43" s="340">
        <f ca="1">IF(VLOOKUP($A43,INDIRECT(N$1&amp;"!$B$14:$P$89"),15,0)&lt;&gt;"",VLOOKUP($A43,INDIRECT(N$1&amp;"!$B$14:$P$89"),15,0)+N42,"")</f>
        <v>150</v>
      </c>
      <c r="O43" s="340">
        <f ca="1">IF(VLOOKUP($A43,INDIRECT(O$1&amp;"!$B$14:$P$89"),15,0)&lt;&gt;"",VLOOKUP($A43,INDIRECT(O$1&amp;"!$B$14:$P$89"),15,0)+O42,"")</f>
        <v>135</v>
      </c>
      <c r="P43" s="340">
        <f ca="1">IF(VLOOKUP($A43,INDIRECT(P$1&amp;"!$B$14:$P$89"),15,0)&lt;&gt;"",VLOOKUP($A43,INDIRECT(P$1&amp;"!$B$14:$P$89"),15,0)+P42,"")</f>
        <v>160</v>
      </c>
      <c r="Q43" s="340">
        <f ca="1">IF(VLOOKUP($A43,INDIRECT(Q$1&amp;"!$B$14:$P$89"),15,0)&lt;&gt;"",VLOOKUP($A43,INDIRECT(Q$1&amp;"!$B$14:$P$89"),15,0)+Q42,"")</f>
        <v>145</v>
      </c>
      <c r="R43" s="340">
        <f ca="1">IF(VLOOKUP($A43,INDIRECT(R$1&amp;"!$B$14:$P$89"),15,0)&lt;&gt;"",VLOOKUP($A43,INDIRECT(R$1&amp;"!$B$14:$P$89"),15,0)+R42,"")</f>
        <v>120</v>
      </c>
      <c r="S43" s="340">
        <f ca="1">IF(VLOOKUP($A43,INDIRECT(S$1&amp;"!$B$14:$P$89"),15,0)&lt;&gt;"",VLOOKUP($A43,INDIRECT(S$1&amp;"!$B$14:$P$89"),15,0)+S42,"")</f>
        <v>140</v>
      </c>
      <c r="T43" s="340">
        <f ca="1">IF(VLOOKUP($A43,INDIRECT(T$1&amp;"!$B$14:$P$89"),15,0)&lt;&gt;"",VLOOKUP($A43,INDIRECT(T$1&amp;"!$B$14:$P$89"),15,0)+T42,"")</f>
        <v>155</v>
      </c>
      <c r="U43" s="340">
        <f ca="1">IF(VLOOKUP($A43,INDIRECT(U$1&amp;"!$B$14:$P$89"),15,0)&lt;&gt;"",VLOOKUP($A43,INDIRECT(U$1&amp;"!$B$14:$P$89"),15,0)+U42,"")</f>
        <v>150</v>
      </c>
      <c r="V43" s="340">
        <f ca="1">IF(VLOOKUP($A43,INDIRECT(V$1&amp;"!$B$14:$P$89"),15,0)&lt;&gt;"",VLOOKUP($A43,INDIRECT(V$1&amp;"!$B$14:$P$89"),15,0)+V42,"")</f>
        <v>160</v>
      </c>
      <c r="W43" s="340">
        <f ca="1">IF(VLOOKUP($A43,INDIRECT(W$1&amp;"!$B$14:$P$89"),15,0)&lt;&gt;"",VLOOKUP($A43,INDIRECT(W$1&amp;"!$B$14:$P$89"),15,0)+W42,"")</f>
        <v>140</v>
      </c>
      <c r="X43" s="340">
        <f ca="1">IF(VLOOKUP($A43,INDIRECT(X$1&amp;"!$B$14:$P$89"),15,0)&lt;&gt;"",VLOOKUP($A43,INDIRECT(X$1&amp;"!$B$14:$P$89"),15,0)+X42,"")</f>
        <v>95</v>
      </c>
      <c r="Y43" s="178">
        <f t="shared" ca="1" si="4"/>
        <v>146.36363636363637</v>
      </c>
      <c r="Z43" s="194">
        <f t="shared" ca="1" si="6"/>
        <v>4.545454545454561</v>
      </c>
      <c r="AA43" s="195">
        <f ca="1">IF(C43&lt;&gt;"",C43-$Y43,"")</f>
        <v>3.636363636363626</v>
      </c>
      <c r="AB43" s="195">
        <f ca="1">IF(D43&lt;&gt;"",D43-$Y43,"")</f>
        <v>-6.363636363636374</v>
      </c>
      <c r="AC43" s="195">
        <f ca="1">IF(E43&lt;&gt;"",E43-$Y43,"")</f>
        <v>-6.363636363636374</v>
      </c>
      <c r="AD43" s="195">
        <f ca="1">IF(F43&lt;&gt;"",F43-$Y43,"")</f>
        <v>18.636363636363626</v>
      </c>
      <c r="AE43" s="195">
        <f ca="1">IF(G43&lt;&gt;"",G43-$Y43,"")</f>
        <v>13.636363636363626</v>
      </c>
      <c r="AF43" s="195">
        <f ca="1">IF(H43&lt;&gt;"",H43-$Y43,"")</f>
        <v>3.636363636363626</v>
      </c>
      <c r="AG43" s="195">
        <f ca="1">IF(I43&lt;&gt;"",I43-$Y43,"")</f>
        <v>3.636363636363626</v>
      </c>
      <c r="AH43" s="195">
        <f ca="1">IF(J43&lt;&gt;"",J43-$Y43,"")</f>
        <v>18.636363636363626</v>
      </c>
      <c r="AI43" s="195">
        <f ca="1">IF(K43&lt;&gt;"",K43-$Y43,"")</f>
        <v>18.636363636363626</v>
      </c>
      <c r="AJ43" s="195">
        <f ca="1">IF(L43&lt;&gt;"",L43-$Y43,"")</f>
        <v>18.636363636363626</v>
      </c>
      <c r="AK43" s="195">
        <f ca="1">IF(M43&lt;&gt;"",M43-$Y43,"")</f>
        <v>-26.363636363636374</v>
      </c>
      <c r="AL43" s="195">
        <f ca="1">IF(N43&lt;&gt;"",N43-$Y43,"")</f>
        <v>3.636363636363626</v>
      </c>
      <c r="AM43" s="195">
        <f ca="1">IF(O43&lt;&gt;"",O43-$Y43,"")</f>
        <v>-11.363636363636374</v>
      </c>
      <c r="AN43" s="195">
        <f ca="1">IF(P43&lt;&gt;"",P43-$Y43,"")</f>
        <v>13.636363636363626</v>
      </c>
      <c r="AO43" s="195">
        <f ca="1">IF(S43&lt;&gt;"",S43-$Y43,"")</f>
        <v>-6.363636363636374</v>
      </c>
      <c r="AP43" s="195">
        <f ca="1">IF(T43&lt;&gt;"",T43-$Y43,"")</f>
        <v>8.636363636363626</v>
      </c>
      <c r="AQ43" s="195">
        <f ca="1">IF(U43&lt;&gt;"",U43-$Y43,"")</f>
        <v>3.636363636363626</v>
      </c>
      <c r="AR43" s="195">
        <f ca="1">IF(V43&lt;&gt;"",V43-$Y43,"")</f>
        <v>13.636363636363626</v>
      </c>
      <c r="AS43" s="195">
        <f ca="1">IF(W43&lt;&gt;"",W43-$Y43,"")</f>
        <v>-6.363636363636374</v>
      </c>
      <c r="AT43" s="195">
        <f ca="1">IF(Q43&lt;&gt;"",Q43-$Y43,"")</f>
        <v>-1.363636363636374</v>
      </c>
      <c r="AU43" s="195">
        <f ca="1">IF(R43&lt;&gt;"",R43-$Y43,"")</f>
        <v>-26.363636363636374</v>
      </c>
      <c r="AV43" s="195">
        <f t="shared" ca="1" si="5"/>
        <v>-51.363636363636374</v>
      </c>
    </row>
    <row r="44" spans="1:48">
      <c r="A44" s="189">
        <v>40</v>
      </c>
      <c r="B44" s="166" t="str">
        <f>VLOOKUP($A44,Willem!$B$14:$P$89,4,0)&amp;"-"&amp;VLOOKUP($A44,Willem!$B$14:$P$89,6,0)</f>
        <v>Australië  -  Servië</v>
      </c>
      <c r="C44" s="341">
        <f ca="1">IF(VLOOKUP($A44,INDIRECT(C$1&amp;"!$B$14:$P$89"),15,0)&lt;&gt;"",VLOOKUP($A44,INDIRECT(C$1&amp;"!$B$14:$P$89"),15,0)+C43,"")</f>
        <v>150</v>
      </c>
      <c r="D44" s="341">
        <f ca="1">IF(VLOOKUP($A44,INDIRECT(D$1&amp;"!$B$14:$P$89"),15,0)&lt;&gt;"",VLOOKUP($A44,INDIRECT(D$1&amp;"!$B$14:$P$89"),15,0)+D43,"")</f>
        <v>140</v>
      </c>
      <c r="E44" s="341">
        <f ca="1">IF(VLOOKUP($A44,INDIRECT(E$1&amp;"!$B$14:$P$89"),15,0)&lt;&gt;"",VLOOKUP($A44,INDIRECT(E$1&amp;"!$B$14:$P$89"),15,0)+E43,"")</f>
        <v>140</v>
      </c>
      <c r="F44" s="341">
        <f ca="1">IF(VLOOKUP($A44,INDIRECT(F$1&amp;"!$B$14:$P$89"),15,0)&lt;&gt;"",VLOOKUP($A44,INDIRECT(F$1&amp;"!$B$14:$P$89"),15,0)+F43,"")</f>
        <v>165</v>
      </c>
      <c r="G44" s="341">
        <f ca="1">IF(VLOOKUP($A44,INDIRECT(G$1&amp;"!$B$14:$P$89"),15,0)&lt;&gt;"",VLOOKUP($A44,INDIRECT(G$1&amp;"!$B$14:$P$89"),15,0)+G43,"")</f>
        <v>160</v>
      </c>
      <c r="H44" s="341">
        <f ca="1">IF(VLOOKUP($A44,INDIRECT(H$1&amp;"!$B$14:$P$89"),15,0)&lt;&gt;"",VLOOKUP($A44,INDIRECT(H$1&amp;"!$B$14:$P$89"),15,0)+H43,"")</f>
        <v>160</v>
      </c>
      <c r="I44" s="341">
        <f ca="1">IF(VLOOKUP($A44,INDIRECT(I$1&amp;"!$B$14:$P$89"),15,0)&lt;&gt;"",VLOOKUP($A44,INDIRECT(I$1&amp;"!$B$14:$P$89"),15,0)+I43,"")</f>
        <v>150</v>
      </c>
      <c r="J44" s="341">
        <f ca="1">IF(VLOOKUP($A44,INDIRECT(J$1&amp;"!$B$14:$P$89"),15,0)&lt;&gt;"",VLOOKUP($A44,INDIRECT(J$1&amp;"!$B$14:$P$89"),15,0)+J43,"")</f>
        <v>170</v>
      </c>
      <c r="K44" s="341">
        <f ca="1">IF(VLOOKUP($A44,INDIRECT(K$1&amp;"!$B$14:$P$89"),15,0)&lt;&gt;"",VLOOKUP($A44,INDIRECT(K$1&amp;"!$B$14:$P$89"),15,0)+K43,"")</f>
        <v>170</v>
      </c>
      <c r="L44" s="341">
        <f ca="1">IF(VLOOKUP($A44,INDIRECT(L$1&amp;"!$B$14:$P$89"),15,0)&lt;&gt;"",VLOOKUP($A44,INDIRECT(L$1&amp;"!$B$14:$P$89"),15,0)+L43,"")</f>
        <v>170</v>
      </c>
      <c r="M44" s="341">
        <f ca="1">IF(VLOOKUP($A44,INDIRECT(M$1&amp;"!$B$14:$P$89"),15,0)&lt;&gt;"",VLOOKUP($A44,INDIRECT(M$1&amp;"!$B$14:$P$89"),15,0)+M43,"")</f>
        <v>120</v>
      </c>
      <c r="N44" s="341">
        <f ca="1">IF(VLOOKUP($A44,INDIRECT(N$1&amp;"!$B$14:$P$89"),15,0)&lt;&gt;"",VLOOKUP($A44,INDIRECT(N$1&amp;"!$B$14:$P$89"),15,0)+N43,"")</f>
        <v>150</v>
      </c>
      <c r="O44" s="341">
        <f ca="1">IF(VLOOKUP($A44,INDIRECT(O$1&amp;"!$B$14:$P$89"),15,0)&lt;&gt;"",VLOOKUP($A44,INDIRECT(O$1&amp;"!$B$14:$P$89"),15,0)+O43,"")</f>
        <v>135</v>
      </c>
      <c r="P44" s="341">
        <f ca="1">IF(VLOOKUP($A44,INDIRECT(P$1&amp;"!$B$14:$P$89"),15,0)&lt;&gt;"",VLOOKUP($A44,INDIRECT(P$1&amp;"!$B$14:$P$89"),15,0)+P43,"")</f>
        <v>165</v>
      </c>
      <c r="Q44" s="341">
        <f ca="1">IF(VLOOKUP($A44,INDIRECT(Q$1&amp;"!$B$14:$P$89"),15,0)&lt;&gt;"",VLOOKUP($A44,INDIRECT(Q$1&amp;"!$B$14:$P$89"),15,0)+Q43,"")</f>
        <v>145</v>
      </c>
      <c r="R44" s="341">
        <f ca="1">IF(VLOOKUP($A44,INDIRECT(R$1&amp;"!$B$14:$P$89"),15,0)&lt;&gt;"",VLOOKUP($A44,INDIRECT(R$1&amp;"!$B$14:$P$89"),15,0)+R43,"")</f>
        <v>120</v>
      </c>
      <c r="S44" s="341">
        <f ca="1">IF(VLOOKUP($A44,INDIRECT(S$1&amp;"!$B$14:$P$89"),15,0)&lt;&gt;"",VLOOKUP($A44,INDIRECT(S$1&amp;"!$B$14:$P$89"),15,0)+S43,"")</f>
        <v>140</v>
      </c>
      <c r="T44" s="341">
        <f ca="1">IF(VLOOKUP($A44,INDIRECT(T$1&amp;"!$B$14:$P$89"),15,0)&lt;&gt;"",VLOOKUP($A44,INDIRECT(T$1&amp;"!$B$14:$P$89"),15,0)+T43,"")</f>
        <v>155</v>
      </c>
      <c r="U44" s="341">
        <f ca="1">IF(VLOOKUP($A44,INDIRECT(U$1&amp;"!$B$14:$P$89"),15,0)&lt;&gt;"",VLOOKUP($A44,INDIRECT(U$1&amp;"!$B$14:$P$89"),15,0)+U43,"")</f>
        <v>160</v>
      </c>
      <c r="V44" s="341">
        <f ca="1">IF(VLOOKUP($A44,INDIRECT(V$1&amp;"!$B$14:$P$89"),15,0)&lt;&gt;"",VLOOKUP($A44,INDIRECT(V$1&amp;"!$B$14:$P$89"),15,0)+V43,"")</f>
        <v>160</v>
      </c>
      <c r="W44" s="341">
        <f ca="1">IF(VLOOKUP($A44,INDIRECT(W$1&amp;"!$B$14:$P$89"),15,0)&lt;&gt;"",VLOOKUP($A44,INDIRECT(W$1&amp;"!$B$14:$P$89"),15,0)+W43,"")</f>
        <v>140</v>
      </c>
      <c r="X44" s="341">
        <f ca="1">IF(VLOOKUP($A44,INDIRECT(X$1&amp;"!$B$14:$P$89"),15,0)&lt;&gt;"",VLOOKUP($A44,INDIRECT(X$1&amp;"!$B$14:$P$89"),15,0)+X43,"")</f>
        <v>95</v>
      </c>
      <c r="Y44" s="178">
        <f t="shared" ca="1" si="4"/>
        <v>148.18181818181819</v>
      </c>
      <c r="Z44" s="194">
        <f t="shared" ca="1" si="6"/>
        <v>1.818181818181813</v>
      </c>
      <c r="AA44" s="195">
        <f ca="1">IF(C44&lt;&gt;"",C44-$Y44,"")</f>
        <v>1.818181818181813</v>
      </c>
      <c r="AB44" s="195">
        <f ca="1">IF(D44&lt;&gt;"",D44-$Y44,"")</f>
        <v>-8.181818181818187</v>
      </c>
      <c r="AC44" s="195">
        <f ca="1">IF(E44&lt;&gt;"",E44-$Y44,"")</f>
        <v>-8.181818181818187</v>
      </c>
      <c r="AD44" s="195">
        <f ca="1">IF(F44&lt;&gt;"",F44-$Y44,"")</f>
        <v>16.818181818181813</v>
      </c>
      <c r="AE44" s="195">
        <f ca="1">IF(G44&lt;&gt;"",G44-$Y44,"")</f>
        <v>11.818181818181813</v>
      </c>
      <c r="AF44" s="195">
        <f ca="1">IF(H44&lt;&gt;"",H44-$Y44,"")</f>
        <v>11.818181818181813</v>
      </c>
      <c r="AG44" s="195">
        <f ca="1">IF(I44&lt;&gt;"",I44-$Y44,"")</f>
        <v>1.818181818181813</v>
      </c>
      <c r="AH44" s="195">
        <f ca="1">IF(J44&lt;&gt;"",J44-$Y44,"")</f>
        <v>21.818181818181813</v>
      </c>
      <c r="AI44" s="195">
        <f ca="1">IF(K44&lt;&gt;"",K44-$Y44,"")</f>
        <v>21.818181818181813</v>
      </c>
      <c r="AJ44" s="195">
        <f ca="1">IF(L44&lt;&gt;"",L44-$Y44,"")</f>
        <v>21.818181818181813</v>
      </c>
      <c r="AK44" s="195">
        <f ca="1">IF(M44&lt;&gt;"",M44-$Y44,"")</f>
        <v>-28.181818181818187</v>
      </c>
      <c r="AL44" s="195">
        <f ca="1">IF(N44&lt;&gt;"",N44-$Y44,"")</f>
        <v>1.818181818181813</v>
      </c>
      <c r="AM44" s="195">
        <f ca="1">IF(O44&lt;&gt;"",O44-$Y44,"")</f>
        <v>-13.181818181818187</v>
      </c>
      <c r="AN44" s="195">
        <f ca="1">IF(P44&lt;&gt;"",P44-$Y44,"")</f>
        <v>16.818181818181813</v>
      </c>
      <c r="AO44" s="195">
        <f ca="1">IF(S44&lt;&gt;"",S44-$Y44,"")</f>
        <v>-8.181818181818187</v>
      </c>
      <c r="AP44" s="195">
        <f ca="1">IF(T44&lt;&gt;"",T44-$Y44,"")</f>
        <v>6.818181818181813</v>
      </c>
      <c r="AQ44" s="195">
        <f ca="1">IF(U44&lt;&gt;"",U44-$Y44,"")</f>
        <v>11.818181818181813</v>
      </c>
      <c r="AR44" s="195">
        <f ca="1">IF(V44&lt;&gt;"",V44-$Y44,"")</f>
        <v>11.818181818181813</v>
      </c>
      <c r="AS44" s="195">
        <f ca="1">IF(W44&lt;&gt;"",W44-$Y44,"")</f>
        <v>-8.181818181818187</v>
      </c>
      <c r="AT44" s="195">
        <f ca="1">IF(Q44&lt;&gt;"",Q44-$Y44,"")</f>
        <v>-3.181818181818187</v>
      </c>
      <c r="AU44" s="195">
        <f ca="1">IF(R44&lt;&gt;"",R44-$Y44,"")</f>
        <v>-28.181818181818187</v>
      </c>
      <c r="AV44" s="195">
        <f t="shared" ca="1" si="5"/>
        <v>-53.181818181818187</v>
      </c>
    </row>
    <row r="45" spans="1:48">
      <c r="A45" s="196" t="str">
        <f>B45</f>
        <v>Boni</v>
      </c>
      <c r="B45" s="166" t="s">
        <v>507</v>
      </c>
      <c r="C45" s="178">
        <f ca="1">IF(VLOOKUP($A44,INDIRECT(C$1&amp;"!$B$14:$P$89"),15,0)&lt;&gt;"",C44+IF(ISNA(MATCH(Invulblad!$S$35,INDIRECT(C$1&amp;"!$E$70:$E$77"),0)),0,10)+IF(ISNA(MATCH(Invulblad!$S$35,INDIRECT(C$1&amp;"!$G$70:$G$77"),0)),0,10)+IF(ISNA(MATCH(Invulblad!$S$36,INDIRECT(C$1&amp;"!$E$70:$E$77"),0)),0,10)+IF(ISNA(MATCH(Invulblad!$S$36,INDIRECT(C$1&amp;"!$G$70:$G$77"),0)),0,10),"")</f>
        <v>160</v>
      </c>
      <c r="D45" s="178">
        <f ca="1">IF(VLOOKUP($A44,INDIRECT(D$1&amp;"!$B$14:$P$89"),15,0)&lt;&gt;"",D44+IF(ISNA(MATCH(Invulblad!$S$35,INDIRECT(D$1&amp;"!$E$70:$E$77"),0)),0,10)+IF(ISNA(MATCH(Invulblad!$S$35,INDIRECT(D$1&amp;"!$G$70:$G$77"),0)),0,10)+IF(ISNA(MATCH(Invulblad!$S$36,INDIRECT(D$1&amp;"!$E$70:$E$77"),0)),0,10)+IF(ISNA(MATCH(Invulblad!$S$36,INDIRECT(D$1&amp;"!$G$70:$G$77"),0)),0,10),"")</f>
        <v>150</v>
      </c>
      <c r="E45" s="178">
        <f ca="1">IF(VLOOKUP($A44,INDIRECT(E$1&amp;"!$B$14:$P$89"),15,0)&lt;&gt;"",E44+IF(ISNA(MATCH(Invulblad!$S$35,INDIRECT(E$1&amp;"!$E$70:$E$77"),0)),0,10)+IF(ISNA(MATCH(Invulblad!$S$35,INDIRECT(E$1&amp;"!$G$70:$G$77"),0)),0,10)+IF(ISNA(MATCH(Invulblad!$S$36,INDIRECT(E$1&amp;"!$E$70:$E$77"),0)),0,10)+IF(ISNA(MATCH(Invulblad!$S$36,INDIRECT(E$1&amp;"!$G$70:$G$77"),0)),0,10),"")</f>
        <v>150</v>
      </c>
      <c r="F45" s="178">
        <f ca="1">IF(VLOOKUP($A44,INDIRECT(F$1&amp;"!$B$14:$P$89"),15,0)&lt;&gt;"",F44+IF(ISNA(MATCH(Invulblad!$S$35,INDIRECT(F$1&amp;"!$E$70:$E$77"),0)),0,10)+IF(ISNA(MATCH(Invulblad!$S$35,INDIRECT(F$1&amp;"!$G$70:$G$77"),0)),0,10)+IF(ISNA(MATCH(Invulblad!$S$36,INDIRECT(F$1&amp;"!$E$70:$E$77"),0)),0,10)+IF(ISNA(MATCH(Invulblad!$S$36,INDIRECT(F$1&amp;"!$G$70:$G$77"),0)),0,10),"")</f>
        <v>185</v>
      </c>
      <c r="G45" s="178">
        <f ca="1">IF(VLOOKUP($A44,INDIRECT(G$1&amp;"!$B$14:$P$89"),15,0)&lt;&gt;"",G44+IF(ISNA(MATCH(Invulblad!$S$35,INDIRECT(G$1&amp;"!$E$70:$E$77"),0)),0,10)+IF(ISNA(MATCH(Invulblad!$S$35,INDIRECT(G$1&amp;"!$G$70:$G$77"),0)),0,10)+IF(ISNA(MATCH(Invulblad!$S$36,INDIRECT(G$1&amp;"!$E$70:$E$77"),0)),0,10)+IF(ISNA(MATCH(Invulblad!$S$36,INDIRECT(G$1&amp;"!$G$70:$G$77"),0)),0,10),"")</f>
        <v>170</v>
      </c>
      <c r="H45" s="178">
        <f ca="1">IF(VLOOKUP($A44,INDIRECT(H$1&amp;"!$B$14:$P$89"),15,0)&lt;&gt;"",H44+IF(ISNA(MATCH(Invulblad!$S$35,INDIRECT(H$1&amp;"!$E$70:$E$77"),0)),0,10)+IF(ISNA(MATCH(Invulblad!$S$35,INDIRECT(H$1&amp;"!$G$70:$G$77"),0)),0,10)+IF(ISNA(MATCH(Invulblad!$S$36,INDIRECT(H$1&amp;"!$E$70:$E$77"),0)),0,10)+IF(ISNA(MATCH(Invulblad!$S$36,INDIRECT(H$1&amp;"!$G$70:$G$77"),0)),0,10),"")</f>
        <v>170</v>
      </c>
      <c r="I45" s="178">
        <f ca="1">IF(VLOOKUP($A44,INDIRECT(I$1&amp;"!$B$14:$P$89"),15,0)&lt;&gt;"",I44+IF(ISNA(MATCH(Invulblad!$S$35,INDIRECT(I$1&amp;"!$E$70:$E$77"),0)),0,10)+IF(ISNA(MATCH(Invulblad!$S$35,INDIRECT(I$1&amp;"!$G$70:$G$77"),0)),0,10)+IF(ISNA(MATCH(Invulblad!$S$36,INDIRECT(I$1&amp;"!$E$70:$E$77"),0)),0,10)+IF(ISNA(MATCH(Invulblad!$S$36,INDIRECT(I$1&amp;"!$G$70:$G$77"),0)),0,10),"")</f>
        <v>160</v>
      </c>
      <c r="J45" s="178">
        <f ca="1">IF(VLOOKUP($A44,INDIRECT(J$1&amp;"!$B$14:$P$89"),15,0)&lt;&gt;"",J44+IF(ISNA(MATCH(Invulblad!$S$35,INDIRECT(J$1&amp;"!$E$70:$E$77"),0)),0,10)+IF(ISNA(MATCH(Invulblad!$S$35,INDIRECT(J$1&amp;"!$G$70:$G$77"),0)),0,10)+IF(ISNA(MATCH(Invulblad!$S$36,INDIRECT(J$1&amp;"!$E$70:$E$77"),0)),0,10)+IF(ISNA(MATCH(Invulblad!$S$36,INDIRECT(J$1&amp;"!$G$70:$G$77"),0)),0,10),"")</f>
        <v>180</v>
      </c>
      <c r="K45" s="178">
        <f ca="1">IF(VLOOKUP($A44,INDIRECT(K$1&amp;"!$B$14:$P$89"),15,0)&lt;&gt;"",K44+IF(ISNA(MATCH(Invulblad!$S$35,INDIRECT(K$1&amp;"!$E$70:$E$77"),0)),0,10)+IF(ISNA(MATCH(Invulblad!$S$35,INDIRECT(K$1&amp;"!$G$70:$G$77"),0)),0,10)+IF(ISNA(MATCH(Invulblad!$S$36,INDIRECT(K$1&amp;"!$E$70:$E$77"),0)),0,10)+IF(ISNA(MATCH(Invulblad!$S$36,INDIRECT(K$1&amp;"!$G$70:$G$77"),0)),0,10),"")</f>
        <v>180</v>
      </c>
      <c r="L45" s="178">
        <f ca="1">IF(VLOOKUP($A44,INDIRECT(L$1&amp;"!$B$14:$P$89"),15,0)&lt;&gt;"",L44+IF(ISNA(MATCH(Invulblad!$S$35,INDIRECT(L$1&amp;"!$E$70:$E$77"),0)),0,10)+IF(ISNA(MATCH(Invulblad!$S$35,INDIRECT(L$1&amp;"!$G$70:$G$77"),0)),0,10)+IF(ISNA(MATCH(Invulblad!$S$36,INDIRECT(L$1&amp;"!$E$70:$E$77"),0)),0,10)+IF(ISNA(MATCH(Invulblad!$S$36,INDIRECT(L$1&amp;"!$G$70:$G$77"),0)),0,10),"")</f>
        <v>190</v>
      </c>
      <c r="M45" s="178">
        <f ca="1">IF(VLOOKUP($A44,INDIRECT(M$1&amp;"!$B$14:$P$89"),15,0)&lt;&gt;"",M44+IF(ISNA(MATCH(Invulblad!$S$35,INDIRECT(M$1&amp;"!$E$70:$E$77"),0)),0,10)+IF(ISNA(MATCH(Invulblad!$S$35,INDIRECT(M$1&amp;"!$G$70:$G$77"),0)),0,10)+IF(ISNA(MATCH(Invulblad!$S$36,INDIRECT(M$1&amp;"!$E$70:$E$77"),0)),0,10)+IF(ISNA(MATCH(Invulblad!$S$36,INDIRECT(M$1&amp;"!$G$70:$G$77"),0)),0,10),"")</f>
        <v>130</v>
      </c>
      <c r="N45" s="178">
        <f ca="1">IF(VLOOKUP($A44,INDIRECT(N$1&amp;"!$B$14:$P$89"),15,0)&lt;&gt;"",N44+IF(ISNA(MATCH(Invulblad!$S$35,INDIRECT(N$1&amp;"!$E$70:$E$77"),0)),0,10)+IF(ISNA(MATCH(Invulblad!$S$35,INDIRECT(N$1&amp;"!$G$70:$G$77"),0)),0,10)+IF(ISNA(MATCH(Invulblad!$S$36,INDIRECT(N$1&amp;"!$E$70:$E$77"),0)),0,10)+IF(ISNA(MATCH(Invulblad!$S$36,INDIRECT(N$1&amp;"!$G$70:$G$77"),0)),0,10),"")</f>
        <v>160</v>
      </c>
      <c r="O45" s="178">
        <f ca="1">IF(VLOOKUP($A44,INDIRECT(O$1&amp;"!$B$14:$P$89"),15,0)&lt;&gt;"",O44+IF(ISNA(MATCH(Invulblad!$S$35,INDIRECT(O$1&amp;"!$E$70:$E$77"),0)),0,10)+IF(ISNA(MATCH(Invulblad!$S$35,INDIRECT(O$1&amp;"!$G$70:$G$77"),0)),0,10)+IF(ISNA(MATCH(Invulblad!$S$36,INDIRECT(O$1&amp;"!$E$70:$E$77"),0)),0,10)+IF(ISNA(MATCH(Invulblad!$S$36,INDIRECT(O$1&amp;"!$G$70:$G$77"),0)),0,10),"")</f>
        <v>145</v>
      </c>
      <c r="P45" s="178">
        <f ca="1">IF(VLOOKUP($A44,INDIRECT(P$1&amp;"!$B$14:$P$89"),15,0)&lt;&gt;"",P44+IF(ISNA(MATCH(Invulblad!$S$35,INDIRECT(P$1&amp;"!$E$70:$E$77"),0)),0,10)+IF(ISNA(MATCH(Invulblad!$S$35,INDIRECT(P$1&amp;"!$G$70:$G$77"),0)),0,10)+IF(ISNA(MATCH(Invulblad!$S$36,INDIRECT(P$1&amp;"!$E$70:$E$77"),0)),0,10)+IF(ISNA(MATCH(Invulblad!$S$36,INDIRECT(P$1&amp;"!$G$70:$G$77"),0)),0,10),"")</f>
        <v>185</v>
      </c>
      <c r="Q45" s="178">
        <f ca="1">IF(VLOOKUP($A44,INDIRECT(Q$1&amp;"!$B$14:$P$89"),15,0)&lt;&gt;"",Q44+IF(ISNA(MATCH(Invulblad!$S$35,INDIRECT(Q$1&amp;"!$E$70:$E$77"),0)),0,10)+IF(ISNA(MATCH(Invulblad!$S$35,INDIRECT(Q$1&amp;"!$G$70:$G$77"),0)),0,10)+IF(ISNA(MATCH(Invulblad!$S$36,INDIRECT(Q$1&amp;"!$E$70:$E$77"),0)),0,10)+IF(ISNA(MATCH(Invulblad!$S$36,INDIRECT(Q$1&amp;"!$G$70:$G$77"),0)),0,10),"")</f>
        <v>155</v>
      </c>
      <c r="R45" s="178">
        <f ca="1">IF(VLOOKUP($A44,INDIRECT(R$1&amp;"!$B$14:$P$89"),15,0)&lt;&gt;"",R44+IF(ISNA(MATCH(Invulblad!$S$35,INDIRECT(R$1&amp;"!$E$70:$E$77"),0)),0,10)+IF(ISNA(MATCH(Invulblad!$S$35,INDIRECT(R$1&amp;"!$G$70:$G$77"),0)),0,10)+IF(ISNA(MATCH(Invulblad!$S$36,INDIRECT(R$1&amp;"!$E$70:$E$77"),0)),0,10)+IF(ISNA(MATCH(Invulblad!$S$36,INDIRECT(R$1&amp;"!$G$70:$G$77"),0)),0,10),"")</f>
        <v>130</v>
      </c>
      <c r="S45" s="178">
        <f ca="1">IF(VLOOKUP($A44,INDIRECT(S$1&amp;"!$B$14:$P$89"),15,0)&lt;&gt;"",S44+IF(ISNA(MATCH(Invulblad!$S$35,INDIRECT(S$1&amp;"!$E$70:$E$77"),0)),0,10)+IF(ISNA(MATCH(Invulblad!$S$35,INDIRECT(S$1&amp;"!$G$70:$G$77"),0)),0,10)+IF(ISNA(MATCH(Invulblad!$S$36,INDIRECT(S$1&amp;"!$E$70:$E$77"),0)),0,10)+IF(ISNA(MATCH(Invulblad!$S$36,INDIRECT(S$1&amp;"!$G$70:$G$77"),0)),0,10),"")</f>
        <v>150</v>
      </c>
      <c r="T45" s="178">
        <f ca="1">IF(VLOOKUP($A44,INDIRECT(T$1&amp;"!$B$14:$P$89"),15,0)&lt;&gt;"",T44+IF(ISNA(MATCH(Invulblad!$S$35,INDIRECT(T$1&amp;"!$E$70:$E$77"),0)),0,10)+IF(ISNA(MATCH(Invulblad!$S$35,INDIRECT(T$1&amp;"!$G$70:$G$77"),0)),0,10)+IF(ISNA(MATCH(Invulblad!$S$36,INDIRECT(T$1&amp;"!$E$70:$E$77"),0)),0,10)+IF(ISNA(MATCH(Invulblad!$S$36,INDIRECT(T$1&amp;"!$G$70:$G$77"),0)),0,10),"")</f>
        <v>165</v>
      </c>
      <c r="U45" s="178">
        <f ca="1">IF(VLOOKUP($A44,INDIRECT(U$1&amp;"!$B$14:$P$89"),15,0)&lt;&gt;"",U44+IF(ISNA(MATCH(Invulblad!$S$35,INDIRECT(U$1&amp;"!$E$70:$E$77"),0)),0,10)+IF(ISNA(MATCH(Invulblad!$S$35,INDIRECT(U$1&amp;"!$G$70:$G$77"),0)),0,10)+IF(ISNA(MATCH(Invulblad!$S$36,INDIRECT(U$1&amp;"!$E$70:$E$77"),0)),0,10)+IF(ISNA(MATCH(Invulblad!$S$36,INDIRECT(U$1&amp;"!$G$70:$G$77"),0)),0,10),"")</f>
        <v>170</v>
      </c>
      <c r="V45" s="178">
        <f ca="1">IF(VLOOKUP($A44,INDIRECT(V$1&amp;"!$B$14:$P$89"),15,0)&lt;&gt;"",V44+IF(ISNA(MATCH(Invulblad!$S$35,INDIRECT(V$1&amp;"!$E$70:$E$77"),0)),0,10)+IF(ISNA(MATCH(Invulblad!$S$35,INDIRECT(V$1&amp;"!$G$70:$G$77"),0)),0,10)+IF(ISNA(MATCH(Invulblad!$S$36,INDIRECT(V$1&amp;"!$E$70:$E$77"),0)),0,10)+IF(ISNA(MATCH(Invulblad!$S$36,INDIRECT(V$1&amp;"!$G$70:$G$77"),0)),0,10),"")</f>
        <v>170</v>
      </c>
      <c r="W45" s="178">
        <f ca="1">IF(VLOOKUP($A44,INDIRECT(W$1&amp;"!$B$14:$P$89"),15,0)&lt;&gt;"",W44+IF(ISNA(MATCH(Invulblad!$S$35,INDIRECT(W$1&amp;"!$E$70:$E$77"),0)),0,10)+IF(ISNA(MATCH(Invulblad!$S$35,INDIRECT(W$1&amp;"!$G$70:$G$77"),0)),0,10)+IF(ISNA(MATCH(Invulblad!$S$36,INDIRECT(W$1&amp;"!$E$70:$E$77"),0)),0,10)+IF(ISNA(MATCH(Invulblad!$S$36,INDIRECT(W$1&amp;"!$G$70:$G$77"),0)),0,10),"")</f>
        <v>150</v>
      </c>
      <c r="X45" s="178">
        <f ca="1">IF(VLOOKUP($A44,INDIRECT(X$1&amp;"!$B$14:$P$89"),15,0)&lt;&gt;"",X44+IF(ISNA(MATCH(Invulblad!$S$35,INDIRECT(X$1&amp;"!$E$70:$E$77"),0)),0,10)+IF(ISNA(MATCH(Invulblad!$S$35,INDIRECT(X$1&amp;"!$G$70:$G$77"),0)),0,10)+IF(ISNA(MATCH(Invulblad!$S$36,INDIRECT(X$1&amp;"!$E$70:$E$77"),0)),0,10)+IF(ISNA(MATCH(Invulblad!$S$36,INDIRECT(X$1&amp;"!$G$70:$G$77"),0)),0,10),"")</f>
        <v>105</v>
      </c>
      <c r="Y45" s="178">
        <f t="shared" ca="1" si="4"/>
        <v>159.54545454545453</v>
      </c>
      <c r="Z45" s="194">
        <f t="shared" ca="1" si="6"/>
        <v>11.363636363636346</v>
      </c>
      <c r="AA45" s="195">
        <f ca="1">IF(C45&lt;&gt;"",C45-$Y45,"")</f>
        <v>0.45454545454546746</v>
      </c>
      <c r="AB45" s="195">
        <f ca="1">IF(D45&lt;&gt;"",D45-$Y45,"")</f>
        <v>-9.5454545454545325</v>
      </c>
      <c r="AC45" s="195">
        <f ca="1">IF(E45&lt;&gt;"",E45-$Y45,"")</f>
        <v>-9.5454545454545325</v>
      </c>
      <c r="AD45" s="195">
        <f ca="1">IF(F45&lt;&gt;"",F45-$Y45,"")</f>
        <v>25.454545454545467</v>
      </c>
      <c r="AE45" s="195">
        <f ca="1">IF(G45&lt;&gt;"",G45-$Y45,"")</f>
        <v>10.454545454545467</v>
      </c>
      <c r="AF45" s="195">
        <f ca="1">IF(H45&lt;&gt;"",H45-$Y45,"")</f>
        <v>10.454545454545467</v>
      </c>
      <c r="AG45" s="195">
        <f ca="1">IF(I45&lt;&gt;"",I45-$Y45,"")</f>
        <v>0.45454545454546746</v>
      </c>
      <c r="AH45" s="195">
        <f ca="1">IF(J45&lt;&gt;"",J45-$Y45,"")</f>
        <v>20.454545454545467</v>
      </c>
      <c r="AI45" s="195">
        <f ca="1">IF(K45&lt;&gt;"",K45-$Y45,"")</f>
        <v>20.454545454545467</v>
      </c>
      <c r="AJ45" s="195">
        <f ca="1">IF(L45&lt;&gt;"",L45-$Y45,"")</f>
        <v>30.454545454545467</v>
      </c>
      <c r="AK45" s="195">
        <f ca="1">IF(M45&lt;&gt;"",M45-$Y45,"")</f>
        <v>-29.545454545454533</v>
      </c>
      <c r="AL45" s="195">
        <f ca="1">IF(N45&lt;&gt;"",N45-$Y45,"")</f>
        <v>0.45454545454546746</v>
      </c>
      <c r="AM45" s="195">
        <f ca="1">IF(O45&lt;&gt;"",O45-$Y45,"")</f>
        <v>-14.545454545454533</v>
      </c>
      <c r="AN45" s="195">
        <f ca="1">IF(P45&lt;&gt;"",P45-$Y45,"")</f>
        <v>25.454545454545467</v>
      </c>
      <c r="AO45" s="195">
        <f ca="1">IF(S45&lt;&gt;"",S45-$Y45,"")</f>
        <v>-9.5454545454545325</v>
      </c>
      <c r="AP45" s="195">
        <f ca="1">IF(T45&lt;&gt;"",T45-$Y45,"")</f>
        <v>5.4545454545454675</v>
      </c>
      <c r="AQ45" s="195">
        <f ca="1">IF(U45&lt;&gt;"",U45-$Y45,"")</f>
        <v>10.454545454545467</v>
      </c>
      <c r="AR45" s="195">
        <f ca="1">IF(V45&lt;&gt;"",V45-$Y45,"")</f>
        <v>10.454545454545467</v>
      </c>
      <c r="AS45" s="195">
        <f ca="1">IF(W45&lt;&gt;"",W45-$Y45,"")</f>
        <v>-9.5454545454545325</v>
      </c>
      <c r="AT45" s="195">
        <f ca="1">IF(Q45&lt;&gt;"",Q45-$Y45,"")</f>
        <v>-4.5454545454545325</v>
      </c>
      <c r="AU45" s="195">
        <f ca="1">IF(R45&lt;&gt;"",R45-$Y45,"")</f>
        <v>-29.545454545454533</v>
      </c>
      <c r="AV45" s="195">
        <f t="shared" ca="1" si="5"/>
        <v>-54.545454545454533</v>
      </c>
    </row>
    <row r="46" spans="1:48">
      <c r="A46" s="189">
        <v>41</v>
      </c>
      <c r="B46" s="165" t="str">
        <f>VLOOKUP($A46,Willem!$B$14:$P$89,4,0)&amp;"-"&amp;VLOOKUP($A46,Willem!$B$14:$P$89,6,0)</f>
        <v>Slowakije  -  Italië</v>
      </c>
      <c r="C46" s="340">
        <f ca="1">IF(VLOOKUP($A46,INDIRECT(C$1&amp;"!$B$14:$P$89"),15,0)&lt;&gt;"",VLOOKUP($A46,INDIRECT(C$1&amp;"!$B$14:$P$89"),15,0)+C45,"")</f>
        <v>160</v>
      </c>
      <c r="D46" s="340">
        <f ca="1">IF(VLOOKUP($A46,INDIRECT(D$1&amp;"!$B$14:$P$89"),15,0)&lt;&gt;"",VLOOKUP($A46,INDIRECT(D$1&amp;"!$B$14:$P$89"),15,0)+D45,"")</f>
        <v>150</v>
      </c>
      <c r="E46" s="340">
        <f ca="1">IF(VLOOKUP($A46,INDIRECT(E$1&amp;"!$B$14:$P$89"),15,0)&lt;&gt;"",VLOOKUP($A46,INDIRECT(E$1&amp;"!$B$14:$P$89"),15,0)+E45,"")</f>
        <v>150</v>
      </c>
      <c r="F46" s="340">
        <f ca="1">IF(VLOOKUP($A46,INDIRECT(F$1&amp;"!$B$14:$P$89"),15,0)&lt;&gt;"",VLOOKUP($A46,INDIRECT(F$1&amp;"!$B$14:$P$89"),15,0)+F45,"")</f>
        <v>185</v>
      </c>
      <c r="G46" s="340">
        <f ca="1">IF(VLOOKUP($A46,INDIRECT(G$1&amp;"!$B$14:$P$89"),15,0)&lt;&gt;"",VLOOKUP($A46,INDIRECT(G$1&amp;"!$B$14:$P$89"),15,0)+G45,"")</f>
        <v>170</v>
      </c>
      <c r="H46" s="340">
        <f ca="1">IF(VLOOKUP($A46,INDIRECT(H$1&amp;"!$B$14:$P$89"),15,0)&lt;&gt;"",VLOOKUP($A46,INDIRECT(H$1&amp;"!$B$14:$P$89"),15,0)+H45,"")</f>
        <v>170</v>
      </c>
      <c r="I46" s="340">
        <f ca="1">IF(VLOOKUP($A46,INDIRECT(I$1&amp;"!$B$14:$P$89"),15,0)&lt;&gt;"",VLOOKUP($A46,INDIRECT(I$1&amp;"!$B$14:$P$89"),15,0)+I45,"")</f>
        <v>160</v>
      </c>
      <c r="J46" s="340">
        <f ca="1">IF(VLOOKUP($A46,INDIRECT(J$1&amp;"!$B$14:$P$89"),15,0)&lt;&gt;"",VLOOKUP($A46,INDIRECT(J$1&amp;"!$B$14:$P$89"),15,0)+J45,"")</f>
        <v>180</v>
      </c>
      <c r="K46" s="340">
        <f ca="1">IF(VLOOKUP($A46,INDIRECT(K$1&amp;"!$B$14:$P$89"),15,0)&lt;&gt;"",VLOOKUP($A46,INDIRECT(K$1&amp;"!$B$14:$P$89"),15,0)+K45,"")</f>
        <v>180</v>
      </c>
      <c r="L46" s="340">
        <f ca="1">IF(VLOOKUP($A46,INDIRECT(L$1&amp;"!$B$14:$P$89"),15,0)&lt;&gt;"",VLOOKUP($A46,INDIRECT(L$1&amp;"!$B$14:$P$89"),15,0)+L45,"")</f>
        <v>190</v>
      </c>
      <c r="M46" s="340">
        <f ca="1">IF(VLOOKUP($A46,INDIRECT(M$1&amp;"!$B$14:$P$89"),15,0)&lt;&gt;"",VLOOKUP($A46,INDIRECT(M$1&amp;"!$B$14:$P$89"),15,0)+M45,"")</f>
        <v>130</v>
      </c>
      <c r="N46" s="340">
        <f ca="1">IF(VLOOKUP($A46,INDIRECT(N$1&amp;"!$B$14:$P$89"),15,0)&lt;&gt;"",VLOOKUP($A46,INDIRECT(N$1&amp;"!$B$14:$P$89"),15,0)+N45,"")</f>
        <v>160</v>
      </c>
      <c r="O46" s="340">
        <f ca="1">IF(VLOOKUP($A46,INDIRECT(O$1&amp;"!$B$14:$P$89"),15,0)&lt;&gt;"",VLOOKUP($A46,INDIRECT(O$1&amp;"!$B$14:$P$89"),15,0)+O45,"")</f>
        <v>145</v>
      </c>
      <c r="P46" s="340">
        <f ca="1">IF(VLOOKUP($A46,INDIRECT(P$1&amp;"!$B$14:$P$89"),15,0)&lt;&gt;"",VLOOKUP($A46,INDIRECT(P$1&amp;"!$B$14:$P$89"),15,0)+P45,"")</f>
        <v>185</v>
      </c>
      <c r="Q46" s="340">
        <f ca="1">IF(VLOOKUP($A46,INDIRECT(Q$1&amp;"!$B$14:$P$89"),15,0)&lt;&gt;"",VLOOKUP($A46,INDIRECT(Q$1&amp;"!$B$14:$P$89"),15,0)+Q45,"")</f>
        <v>160</v>
      </c>
      <c r="R46" s="340">
        <f ca="1">IF(VLOOKUP($A46,INDIRECT(R$1&amp;"!$B$14:$P$89"),15,0)&lt;&gt;"",VLOOKUP($A46,INDIRECT(R$1&amp;"!$B$14:$P$89"),15,0)+R45,"")</f>
        <v>130</v>
      </c>
      <c r="S46" s="340">
        <f ca="1">IF(VLOOKUP($A46,INDIRECT(S$1&amp;"!$B$14:$P$89"),15,0)&lt;&gt;"",VLOOKUP($A46,INDIRECT(S$1&amp;"!$B$14:$P$89"),15,0)+S45,"")</f>
        <v>155</v>
      </c>
      <c r="T46" s="340">
        <f ca="1">IF(VLOOKUP($A46,INDIRECT(T$1&amp;"!$B$14:$P$89"),15,0)&lt;&gt;"",VLOOKUP($A46,INDIRECT(T$1&amp;"!$B$14:$P$89"),15,0)+T45,"")</f>
        <v>165</v>
      </c>
      <c r="U46" s="340">
        <f ca="1">IF(VLOOKUP($A46,INDIRECT(U$1&amp;"!$B$14:$P$89"),15,0)&lt;&gt;"",VLOOKUP($A46,INDIRECT(U$1&amp;"!$B$14:$P$89"),15,0)+U45,"")</f>
        <v>170</v>
      </c>
      <c r="V46" s="340">
        <f ca="1">IF(VLOOKUP($A46,INDIRECT(V$1&amp;"!$B$14:$P$89"),15,0)&lt;&gt;"",VLOOKUP($A46,INDIRECT(V$1&amp;"!$B$14:$P$89"),15,0)+V45,"")</f>
        <v>170</v>
      </c>
      <c r="W46" s="340">
        <f ca="1">IF(VLOOKUP($A46,INDIRECT(W$1&amp;"!$B$14:$P$89"),15,0)&lt;&gt;"",VLOOKUP($A46,INDIRECT(W$1&amp;"!$B$14:$P$89"),15,0)+W45,"")</f>
        <v>150</v>
      </c>
      <c r="X46" s="340">
        <f ca="1">IF(VLOOKUP($A46,INDIRECT(X$1&amp;"!$B$14:$P$89"),15,0)&lt;&gt;"",VLOOKUP($A46,INDIRECT(X$1&amp;"!$B$14:$P$89"),15,0)+X45,"")</f>
        <v>105</v>
      </c>
      <c r="Y46" s="178">
        <f t="shared" ca="1" si="4"/>
        <v>160</v>
      </c>
      <c r="Z46" s="194">
        <f t="shared" ca="1" si="6"/>
        <v>0.45454545454546746</v>
      </c>
      <c r="AA46" s="195">
        <f ca="1">IF(C46&lt;&gt;"",C46-$Y46,"")</f>
        <v>0</v>
      </c>
      <c r="AB46" s="195">
        <f ca="1">IF(D46&lt;&gt;"",D46-$Y46,"")</f>
        <v>-10</v>
      </c>
      <c r="AC46" s="195">
        <f ca="1">IF(E46&lt;&gt;"",E46-$Y46,"")</f>
        <v>-10</v>
      </c>
      <c r="AD46" s="195">
        <f ca="1">IF(F46&lt;&gt;"",F46-$Y46,"")</f>
        <v>25</v>
      </c>
      <c r="AE46" s="195">
        <f ca="1">IF(G46&lt;&gt;"",G46-$Y46,"")</f>
        <v>10</v>
      </c>
      <c r="AF46" s="195">
        <f ca="1">IF(H46&lt;&gt;"",H46-$Y46,"")</f>
        <v>10</v>
      </c>
      <c r="AG46" s="195">
        <f ca="1">IF(I46&lt;&gt;"",I46-$Y46,"")</f>
        <v>0</v>
      </c>
      <c r="AH46" s="195">
        <f ca="1">IF(J46&lt;&gt;"",J46-$Y46,"")</f>
        <v>20</v>
      </c>
      <c r="AI46" s="195">
        <f ca="1">IF(K46&lt;&gt;"",K46-$Y46,"")</f>
        <v>20</v>
      </c>
      <c r="AJ46" s="195">
        <f ca="1">IF(L46&lt;&gt;"",L46-$Y46,"")</f>
        <v>30</v>
      </c>
      <c r="AK46" s="195">
        <f ca="1">IF(M46&lt;&gt;"",M46-$Y46,"")</f>
        <v>-30</v>
      </c>
      <c r="AL46" s="195">
        <f ca="1">IF(N46&lt;&gt;"",N46-$Y46,"")</f>
        <v>0</v>
      </c>
      <c r="AM46" s="195">
        <f ca="1">IF(O46&lt;&gt;"",O46-$Y46,"")</f>
        <v>-15</v>
      </c>
      <c r="AN46" s="195">
        <f ca="1">IF(P46&lt;&gt;"",P46-$Y46,"")</f>
        <v>25</v>
      </c>
      <c r="AO46" s="195">
        <f ca="1">IF(S46&lt;&gt;"",S46-$Y46,"")</f>
        <v>-5</v>
      </c>
      <c r="AP46" s="195">
        <f ca="1">IF(T46&lt;&gt;"",T46-$Y46,"")</f>
        <v>5</v>
      </c>
      <c r="AQ46" s="195">
        <f ca="1">IF(U46&lt;&gt;"",U46-$Y46,"")</f>
        <v>10</v>
      </c>
      <c r="AR46" s="195">
        <f ca="1">IF(V46&lt;&gt;"",V46-$Y46,"")</f>
        <v>10</v>
      </c>
      <c r="AS46" s="195">
        <f ca="1">IF(W46&lt;&gt;"",W46-$Y46,"")</f>
        <v>-10</v>
      </c>
      <c r="AT46" s="195">
        <f ca="1">IF(Q46&lt;&gt;"",Q46-$Y46,"")</f>
        <v>0</v>
      </c>
      <c r="AU46" s="195">
        <f ca="1">IF(R46&lt;&gt;"",R46-$Y46,"")</f>
        <v>-30</v>
      </c>
      <c r="AV46" s="195">
        <f t="shared" ca="1" si="5"/>
        <v>-55</v>
      </c>
    </row>
    <row r="47" spans="1:48">
      <c r="A47" s="189">
        <v>42</v>
      </c>
      <c r="B47" s="166" t="str">
        <f>VLOOKUP($A47,Willem!$B$14:$P$89,4,0)&amp;"-"&amp;VLOOKUP($A47,Willem!$B$14:$P$89,6,0)</f>
        <v>Paraguay  -  Nieuw-Zeeland</v>
      </c>
      <c r="C47" s="341">
        <f ca="1">IF(VLOOKUP($A47,INDIRECT(C$1&amp;"!$B$14:$P$89"),15,0)&lt;&gt;"",VLOOKUP($A47,INDIRECT(C$1&amp;"!$B$14:$P$89"),15,0)+C46,"")</f>
        <v>160</v>
      </c>
      <c r="D47" s="341">
        <f ca="1">IF(VLOOKUP($A47,INDIRECT(D$1&amp;"!$B$14:$P$89"),15,0)&lt;&gt;"",VLOOKUP($A47,INDIRECT(D$1&amp;"!$B$14:$P$89"),15,0)+D46,"")</f>
        <v>150</v>
      </c>
      <c r="E47" s="341">
        <f ca="1">IF(VLOOKUP($A47,INDIRECT(E$1&amp;"!$B$14:$P$89"),15,0)&lt;&gt;"",VLOOKUP($A47,INDIRECT(E$1&amp;"!$B$14:$P$89"),15,0)+E46,"")</f>
        <v>150</v>
      </c>
      <c r="F47" s="341">
        <f ca="1">IF(VLOOKUP($A47,INDIRECT(F$1&amp;"!$B$14:$P$89"),15,0)&lt;&gt;"",VLOOKUP($A47,INDIRECT(F$1&amp;"!$B$14:$P$89"),15,0)+F46,"")</f>
        <v>185</v>
      </c>
      <c r="G47" s="341">
        <f ca="1">IF(VLOOKUP($A47,INDIRECT(G$1&amp;"!$B$14:$P$89"),15,0)&lt;&gt;"",VLOOKUP($A47,INDIRECT(G$1&amp;"!$B$14:$P$89"),15,0)+G46,"")</f>
        <v>170</v>
      </c>
      <c r="H47" s="341">
        <f ca="1">IF(VLOOKUP($A47,INDIRECT(H$1&amp;"!$B$14:$P$89"),15,0)&lt;&gt;"",VLOOKUP($A47,INDIRECT(H$1&amp;"!$B$14:$P$89"),15,0)+H46,"")</f>
        <v>170</v>
      </c>
      <c r="I47" s="341">
        <f ca="1">IF(VLOOKUP($A47,INDIRECT(I$1&amp;"!$B$14:$P$89"),15,0)&lt;&gt;"",VLOOKUP($A47,INDIRECT(I$1&amp;"!$B$14:$P$89"),15,0)+I46,"")</f>
        <v>165</v>
      </c>
      <c r="J47" s="341">
        <f ca="1">IF(VLOOKUP($A47,INDIRECT(J$1&amp;"!$B$14:$P$89"),15,0)&lt;&gt;"",VLOOKUP($A47,INDIRECT(J$1&amp;"!$B$14:$P$89"),15,0)+J46,"")</f>
        <v>185</v>
      </c>
      <c r="K47" s="341">
        <f ca="1">IF(VLOOKUP($A47,INDIRECT(K$1&amp;"!$B$14:$P$89"),15,0)&lt;&gt;"",VLOOKUP($A47,INDIRECT(K$1&amp;"!$B$14:$P$89"),15,0)+K46,"")</f>
        <v>180</v>
      </c>
      <c r="L47" s="341">
        <f ca="1">IF(VLOOKUP($A47,INDIRECT(L$1&amp;"!$B$14:$P$89"),15,0)&lt;&gt;"",VLOOKUP($A47,INDIRECT(L$1&amp;"!$B$14:$P$89"),15,0)+L46,"")</f>
        <v>190</v>
      </c>
      <c r="M47" s="341">
        <f ca="1">IF(VLOOKUP($A47,INDIRECT(M$1&amp;"!$B$14:$P$89"),15,0)&lt;&gt;"",VLOOKUP($A47,INDIRECT(M$1&amp;"!$B$14:$P$89"),15,0)+M46,"")</f>
        <v>130</v>
      </c>
      <c r="N47" s="341">
        <f ca="1">IF(VLOOKUP($A47,INDIRECT(N$1&amp;"!$B$14:$P$89"),15,0)&lt;&gt;"",VLOOKUP($A47,INDIRECT(N$1&amp;"!$B$14:$P$89"),15,0)+N46,"")</f>
        <v>160</v>
      </c>
      <c r="O47" s="341">
        <f ca="1">IF(VLOOKUP($A47,INDIRECT(O$1&amp;"!$B$14:$P$89"),15,0)&lt;&gt;"",VLOOKUP($A47,INDIRECT(O$1&amp;"!$B$14:$P$89"),15,0)+O46,"")</f>
        <v>145</v>
      </c>
      <c r="P47" s="341">
        <f ca="1">IF(VLOOKUP($A47,INDIRECT(P$1&amp;"!$B$14:$P$89"),15,0)&lt;&gt;"",VLOOKUP($A47,INDIRECT(P$1&amp;"!$B$14:$P$89"),15,0)+P46,"")</f>
        <v>185</v>
      </c>
      <c r="Q47" s="341">
        <f ca="1">IF(VLOOKUP($A47,INDIRECT(Q$1&amp;"!$B$14:$P$89"),15,0)&lt;&gt;"",VLOOKUP($A47,INDIRECT(Q$1&amp;"!$B$14:$P$89"),15,0)+Q46,"")</f>
        <v>160</v>
      </c>
      <c r="R47" s="341">
        <f ca="1">IF(VLOOKUP($A47,INDIRECT(R$1&amp;"!$B$14:$P$89"),15,0)&lt;&gt;"",VLOOKUP($A47,INDIRECT(R$1&amp;"!$B$14:$P$89"),15,0)+R46,"")</f>
        <v>130</v>
      </c>
      <c r="S47" s="341">
        <f ca="1">IF(VLOOKUP($A47,INDIRECT(S$1&amp;"!$B$14:$P$89"),15,0)&lt;&gt;"",VLOOKUP($A47,INDIRECT(S$1&amp;"!$B$14:$P$89"),15,0)+S46,"")</f>
        <v>155</v>
      </c>
      <c r="T47" s="341">
        <f ca="1">IF(VLOOKUP($A47,INDIRECT(T$1&amp;"!$B$14:$P$89"),15,0)&lt;&gt;"",VLOOKUP($A47,INDIRECT(T$1&amp;"!$B$14:$P$89"),15,0)+T46,"")</f>
        <v>165</v>
      </c>
      <c r="U47" s="341">
        <f ca="1">IF(VLOOKUP($A47,INDIRECT(U$1&amp;"!$B$14:$P$89"),15,0)&lt;&gt;"",VLOOKUP($A47,INDIRECT(U$1&amp;"!$B$14:$P$89"),15,0)+U46,"")</f>
        <v>170</v>
      </c>
      <c r="V47" s="341">
        <f ca="1">IF(VLOOKUP($A47,INDIRECT(V$1&amp;"!$B$14:$P$89"),15,0)&lt;&gt;"",VLOOKUP($A47,INDIRECT(V$1&amp;"!$B$14:$P$89"),15,0)+V46,"")</f>
        <v>170</v>
      </c>
      <c r="W47" s="341">
        <f ca="1">IF(VLOOKUP($A47,INDIRECT(W$1&amp;"!$B$14:$P$89"),15,0)&lt;&gt;"",VLOOKUP($A47,INDIRECT(W$1&amp;"!$B$14:$P$89"),15,0)+W46,"")</f>
        <v>150</v>
      </c>
      <c r="X47" s="341">
        <f ca="1">IF(VLOOKUP($A47,INDIRECT(X$1&amp;"!$B$14:$P$89"),15,0)&lt;&gt;"",VLOOKUP($A47,INDIRECT(X$1&amp;"!$B$14:$P$89"),15,0)+X46,"")</f>
        <v>105</v>
      </c>
      <c r="Y47" s="178">
        <f t="shared" ca="1" si="4"/>
        <v>160.45454545454547</v>
      </c>
      <c r="Z47" s="194">
        <f t="shared" ca="1" si="6"/>
        <v>0.45454545454546746</v>
      </c>
      <c r="AA47" s="195">
        <f ca="1">IF(C47&lt;&gt;"",C47-$Y47,"")</f>
        <v>-0.45454545454546746</v>
      </c>
      <c r="AB47" s="195">
        <f ca="1">IF(D47&lt;&gt;"",D47-$Y47,"")</f>
        <v>-10.454545454545467</v>
      </c>
      <c r="AC47" s="195">
        <f ca="1">IF(E47&lt;&gt;"",E47-$Y47,"")</f>
        <v>-10.454545454545467</v>
      </c>
      <c r="AD47" s="195">
        <f ca="1">IF(F47&lt;&gt;"",F47-$Y47,"")</f>
        <v>24.545454545454533</v>
      </c>
      <c r="AE47" s="195">
        <f ca="1">IF(G47&lt;&gt;"",G47-$Y47,"")</f>
        <v>9.5454545454545325</v>
      </c>
      <c r="AF47" s="195">
        <f ca="1">IF(H47&lt;&gt;"",H47-$Y47,"")</f>
        <v>9.5454545454545325</v>
      </c>
      <c r="AG47" s="195">
        <f ca="1">IF(I47&lt;&gt;"",I47-$Y47,"")</f>
        <v>4.5454545454545325</v>
      </c>
      <c r="AH47" s="195">
        <f ca="1">IF(J47&lt;&gt;"",J47-$Y47,"")</f>
        <v>24.545454545454533</v>
      </c>
      <c r="AI47" s="195">
        <f ca="1">IF(K47&lt;&gt;"",K47-$Y47,"")</f>
        <v>19.545454545454533</v>
      </c>
      <c r="AJ47" s="195">
        <f ca="1">IF(L47&lt;&gt;"",L47-$Y47,"")</f>
        <v>29.545454545454533</v>
      </c>
      <c r="AK47" s="195">
        <f ca="1">IF(M47&lt;&gt;"",M47-$Y47,"")</f>
        <v>-30.454545454545467</v>
      </c>
      <c r="AL47" s="195">
        <f ca="1">IF(N47&lt;&gt;"",N47-$Y47,"")</f>
        <v>-0.45454545454546746</v>
      </c>
      <c r="AM47" s="195">
        <f ca="1">IF(O47&lt;&gt;"",O47-$Y47,"")</f>
        <v>-15.454545454545467</v>
      </c>
      <c r="AN47" s="195">
        <f ca="1">IF(P47&lt;&gt;"",P47-$Y47,"")</f>
        <v>24.545454545454533</v>
      </c>
      <c r="AO47" s="195">
        <f ca="1">IF(S47&lt;&gt;"",S47-$Y47,"")</f>
        <v>-5.4545454545454675</v>
      </c>
      <c r="AP47" s="195">
        <f ca="1">IF(T47&lt;&gt;"",T47-$Y47,"")</f>
        <v>4.5454545454545325</v>
      </c>
      <c r="AQ47" s="195">
        <f ca="1">IF(U47&lt;&gt;"",U47-$Y47,"")</f>
        <v>9.5454545454545325</v>
      </c>
      <c r="AR47" s="195">
        <f ca="1">IF(V47&lt;&gt;"",V47-$Y47,"")</f>
        <v>9.5454545454545325</v>
      </c>
      <c r="AS47" s="195">
        <f ca="1">IF(W47&lt;&gt;"",W47-$Y47,"")</f>
        <v>-10.454545454545467</v>
      </c>
      <c r="AT47" s="195">
        <f ca="1">IF(Q47&lt;&gt;"",Q47-$Y47,"")</f>
        <v>-0.45454545454546746</v>
      </c>
      <c r="AU47" s="195">
        <f ca="1">IF(R47&lt;&gt;"",R47-$Y47,"")</f>
        <v>-30.454545454545467</v>
      </c>
      <c r="AV47" s="195">
        <f t="shared" ca="1" si="5"/>
        <v>-55.454545454545467</v>
      </c>
    </row>
    <row r="48" spans="1:48">
      <c r="A48" s="196" t="str">
        <f>B48</f>
        <v>Boni</v>
      </c>
      <c r="B48" s="166" t="s">
        <v>507</v>
      </c>
      <c r="C48" s="178">
        <f ca="1">IF(VLOOKUP($A47,INDIRECT(C$1&amp;"!$B$14:$P$89"),15,0)&lt;&gt;"",C47+IF(ISNA(MATCH(Invulblad!$S$51,INDIRECT(C$1&amp;"!$E$70:$E$77"),0)),0,10)+IF(ISNA(MATCH(Invulblad!$S$51,INDIRECT(C$1&amp;"!$G$70:$G$77"),0)),0,10)+IF(ISNA(MATCH(Invulblad!$S$52,INDIRECT(C$1&amp;"!$E$70:$E$77"),0)),0,10)+IF(ISNA(MATCH(Invulblad!$S$52,INDIRECT(C$1&amp;"!$G$70:$G$77"),0)),0,10),"")</f>
        <v>170</v>
      </c>
      <c r="D48" s="178">
        <f ca="1">IF(VLOOKUP($A47,INDIRECT(D$1&amp;"!$B$14:$P$89"),15,0)&lt;&gt;"",D47+IF(ISNA(MATCH(Invulblad!$S$51,INDIRECT(D$1&amp;"!$E$70:$E$77"),0)),0,10)+IF(ISNA(MATCH(Invulblad!$S$51,INDIRECT(D$1&amp;"!$G$70:$G$77"),0)),0,10)+IF(ISNA(MATCH(Invulblad!$S$52,INDIRECT(D$1&amp;"!$E$70:$E$77"),0)),0,10)+IF(ISNA(MATCH(Invulblad!$S$52,INDIRECT(D$1&amp;"!$G$70:$G$77"),0)),0,10),"")</f>
        <v>160</v>
      </c>
      <c r="E48" s="178">
        <f ca="1">IF(VLOOKUP($A47,INDIRECT(E$1&amp;"!$B$14:$P$89"),15,0)&lt;&gt;"",E47+IF(ISNA(MATCH(Invulblad!$S$51,INDIRECT(E$1&amp;"!$E$70:$E$77"),0)),0,10)+IF(ISNA(MATCH(Invulblad!$S$51,INDIRECT(E$1&amp;"!$G$70:$G$77"),0)),0,10)+IF(ISNA(MATCH(Invulblad!$S$52,INDIRECT(E$1&amp;"!$E$70:$E$77"),0)),0,10)+IF(ISNA(MATCH(Invulblad!$S$52,INDIRECT(E$1&amp;"!$G$70:$G$77"),0)),0,10),"")</f>
        <v>160</v>
      </c>
      <c r="F48" s="178">
        <f ca="1">IF(VLOOKUP($A47,INDIRECT(F$1&amp;"!$B$14:$P$89"),15,0)&lt;&gt;"",F47+IF(ISNA(MATCH(Invulblad!$S$51,INDIRECT(F$1&amp;"!$E$70:$E$77"),0)),0,10)+IF(ISNA(MATCH(Invulblad!$S$51,INDIRECT(F$1&amp;"!$G$70:$G$77"),0)),0,10)+IF(ISNA(MATCH(Invulblad!$S$52,INDIRECT(F$1&amp;"!$E$70:$E$77"),0)),0,10)+IF(ISNA(MATCH(Invulblad!$S$52,INDIRECT(F$1&amp;"!$G$70:$G$77"),0)),0,10),"")</f>
        <v>195</v>
      </c>
      <c r="G48" s="178">
        <f ca="1">IF(VLOOKUP($A47,INDIRECT(G$1&amp;"!$B$14:$P$89"),15,0)&lt;&gt;"",G47+IF(ISNA(MATCH(Invulblad!$S$51,INDIRECT(G$1&amp;"!$E$70:$E$77"),0)),0,10)+IF(ISNA(MATCH(Invulblad!$S$51,INDIRECT(G$1&amp;"!$G$70:$G$77"),0)),0,10)+IF(ISNA(MATCH(Invulblad!$S$52,INDIRECT(G$1&amp;"!$E$70:$E$77"),0)),0,10)+IF(ISNA(MATCH(Invulblad!$S$52,INDIRECT(G$1&amp;"!$G$70:$G$77"),0)),0,10),"")</f>
        <v>180</v>
      </c>
      <c r="H48" s="178">
        <f ca="1">IF(VLOOKUP($A47,INDIRECT(H$1&amp;"!$B$14:$P$89"),15,0)&lt;&gt;"",H47+IF(ISNA(MATCH(Invulblad!$S$51,INDIRECT(H$1&amp;"!$E$70:$E$77"),0)),0,10)+IF(ISNA(MATCH(Invulblad!$S$51,INDIRECT(H$1&amp;"!$G$70:$G$77"),0)),0,10)+IF(ISNA(MATCH(Invulblad!$S$52,INDIRECT(H$1&amp;"!$E$70:$E$77"),0)),0,10)+IF(ISNA(MATCH(Invulblad!$S$52,INDIRECT(H$1&amp;"!$G$70:$G$77"),0)),0,10),"")</f>
        <v>170</v>
      </c>
      <c r="I48" s="178">
        <f ca="1">IF(VLOOKUP($A47,INDIRECT(I$1&amp;"!$B$14:$P$89"),15,0)&lt;&gt;"",I47+IF(ISNA(MATCH(Invulblad!$S$51,INDIRECT(I$1&amp;"!$E$70:$E$77"),0)),0,10)+IF(ISNA(MATCH(Invulblad!$S$51,INDIRECT(I$1&amp;"!$G$70:$G$77"),0)),0,10)+IF(ISNA(MATCH(Invulblad!$S$52,INDIRECT(I$1&amp;"!$E$70:$E$77"),0)),0,10)+IF(ISNA(MATCH(Invulblad!$S$52,INDIRECT(I$1&amp;"!$G$70:$G$77"),0)),0,10),"")</f>
        <v>175</v>
      </c>
      <c r="J48" s="178">
        <f ca="1">IF(VLOOKUP($A47,INDIRECT(J$1&amp;"!$B$14:$P$89"),15,0)&lt;&gt;"",J47+IF(ISNA(MATCH(Invulblad!$S$51,INDIRECT(J$1&amp;"!$E$70:$E$77"),0)),0,10)+IF(ISNA(MATCH(Invulblad!$S$51,INDIRECT(J$1&amp;"!$G$70:$G$77"),0)),0,10)+IF(ISNA(MATCH(Invulblad!$S$52,INDIRECT(J$1&amp;"!$E$70:$E$77"),0)),0,10)+IF(ISNA(MATCH(Invulblad!$S$52,INDIRECT(J$1&amp;"!$G$70:$G$77"),0)),0,10),"")</f>
        <v>195</v>
      </c>
      <c r="K48" s="178">
        <f ca="1">IF(VLOOKUP($A47,INDIRECT(K$1&amp;"!$B$14:$P$89"),15,0)&lt;&gt;"",K47+IF(ISNA(MATCH(Invulblad!$S$51,INDIRECT(K$1&amp;"!$E$70:$E$77"),0)),0,10)+IF(ISNA(MATCH(Invulblad!$S$51,INDIRECT(K$1&amp;"!$G$70:$G$77"),0)),0,10)+IF(ISNA(MATCH(Invulblad!$S$52,INDIRECT(K$1&amp;"!$E$70:$E$77"),0)),0,10)+IF(ISNA(MATCH(Invulblad!$S$52,INDIRECT(K$1&amp;"!$G$70:$G$77"),0)),0,10),"")</f>
        <v>190</v>
      </c>
      <c r="L48" s="178">
        <f ca="1">IF(VLOOKUP($A47,INDIRECT(L$1&amp;"!$B$14:$P$89"),15,0)&lt;&gt;"",L47+IF(ISNA(MATCH(Invulblad!$S$51,INDIRECT(L$1&amp;"!$E$70:$E$77"),0)),0,10)+IF(ISNA(MATCH(Invulblad!$S$51,INDIRECT(L$1&amp;"!$G$70:$G$77"),0)),0,10)+IF(ISNA(MATCH(Invulblad!$S$52,INDIRECT(L$1&amp;"!$E$70:$E$77"),0)),0,10)+IF(ISNA(MATCH(Invulblad!$S$52,INDIRECT(L$1&amp;"!$G$70:$G$77"),0)),0,10),"")</f>
        <v>200</v>
      </c>
      <c r="M48" s="178">
        <f ca="1">IF(VLOOKUP($A47,INDIRECT(M$1&amp;"!$B$14:$P$89"),15,0)&lt;&gt;"",M47+IF(ISNA(MATCH(Invulblad!$S$51,INDIRECT(M$1&amp;"!$E$70:$E$77"),0)),0,10)+IF(ISNA(MATCH(Invulblad!$S$51,INDIRECT(M$1&amp;"!$G$70:$G$77"),0)),0,10)+IF(ISNA(MATCH(Invulblad!$S$52,INDIRECT(M$1&amp;"!$E$70:$E$77"),0)),0,10)+IF(ISNA(MATCH(Invulblad!$S$52,INDIRECT(M$1&amp;"!$G$70:$G$77"),0)),0,10),"")</f>
        <v>140</v>
      </c>
      <c r="N48" s="178">
        <f ca="1">IF(VLOOKUP($A47,INDIRECT(N$1&amp;"!$B$14:$P$89"),15,0)&lt;&gt;"",N47+IF(ISNA(MATCH(Invulblad!$S$51,INDIRECT(N$1&amp;"!$E$70:$E$77"),0)),0,10)+IF(ISNA(MATCH(Invulblad!$S$51,INDIRECT(N$1&amp;"!$G$70:$G$77"),0)),0,10)+IF(ISNA(MATCH(Invulblad!$S$52,INDIRECT(N$1&amp;"!$E$70:$E$77"),0)),0,10)+IF(ISNA(MATCH(Invulblad!$S$52,INDIRECT(N$1&amp;"!$G$70:$G$77"),0)),0,10),"")</f>
        <v>170</v>
      </c>
      <c r="O48" s="178">
        <f ca="1">IF(VLOOKUP($A47,INDIRECT(O$1&amp;"!$B$14:$P$89"),15,0)&lt;&gt;"",O47+IF(ISNA(MATCH(Invulblad!$S$51,INDIRECT(O$1&amp;"!$E$70:$E$77"),0)),0,10)+IF(ISNA(MATCH(Invulblad!$S$51,INDIRECT(O$1&amp;"!$G$70:$G$77"),0)),0,10)+IF(ISNA(MATCH(Invulblad!$S$52,INDIRECT(O$1&amp;"!$E$70:$E$77"),0)),0,10)+IF(ISNA(MATCH(Invulblad!$S$52,INDIRECT(O$1&amp;"!$G$70:$G$77"),0)),0,10),"")</f>
        <v>155</v>
      </c>
      <c r="P48" s="178">
        <f ca="1">IF(VLOOKUP($A47,INDIRECT(P$1&amp;"!$B$14:$P$89"),15,0)&lt;&gt;"",P47+IF(ISNA(MATCH(Invulblad!$S$51,INDIRECT(P$1&amp;"!$E$70:$E$77"),0)),0,10)+IF(ISNA(MATCH(Invulblad!$S$51,INDIRECT(P$1&amp;"!$G$70:$G$77"),0)),0,10)+IF(ISNA(MATCH(Invulblad!$S$52,INDIRECT(P$1&amp;"!$E$70:$E$77"),0)),0,10)+IF(ISNA(MATCH(Invulblad!$S$52,INDIRECT(P$1&amp;"!$G$70:$G$77"),0)),0,10),"")</f>
        <v>195</v>
      </c>
      <c r="Q48" s="178">
        <f ca="1">IF(VLOOKUP($A47,INDIRECT(Q$1&amp;"!$B$14:$P$89"),15,0)&lt;&gt;"",Q47+IF(ISNA(MATCH(Invulblad!$S$51,INDIRECT(Q$1&amp;"!$E$70:$E$77"),0)),0,10)+IF(ISNA(MATCH(Invulblad!$S$51,INDIRECT(Q$1&amp;"!$G$70:$G$77"),0)),0,10)+IF(ISNA(MATCH(Invulblad!$S$52,INDIRECT(Q$1&amp;"!$E$70:$E$77"),0)),0,10)+IF(ISNA(MATCH(Invulblad!$S$52,INDIRECT(Q$1&amp;"!$G$70:$G$77"),0)),0,10),"")</f>
        <v>160</v>
      </c>
      <c r="R48" s="178">
        <f ca="1">IF(VLOOKUP($A47,INDIRECT(R$1&amp;"!$B$14:$P$89"),15,0)&lt;&gt;"",R47+IF(ISNA(MATCH(Invulblad!$S$51,INDIRECT(R$1&amp;"!$E$70:$E$77"),0)),0,10)+IF(ISNA(MATCH(Invulblad!$S$51,INDIRECT(R$1&amp;"!$G$70:$G$77"),0)),0,10)+IF(ISNA(MATCH(Invulblad!$S$52,INDIRECT(R$1&amp;"!$E$70:$E$77"),0)),0,10)+IF(ISNA(MATCH(Invulblad!$S$52,INDIRECT(R$1&amp;"!$G$70:$G$77"),0)),0,10),"")</f>
        <v>140</v>
      </c>
      <c r="S48" s="178">
        <f ca="1">IF(VLOOKUP($A47,INDIRECT(S$1&amp;"!$B$14:$P$89"),15,0)&lt;&gt;"",S47+IF(ISNA(MATCH(Invulblad!$S$51,INDIRECT(S$1&amp;"!$E$70:$E$77"),0)),0,10)+IF(ISNA(MATCH(Invulblad!$S$51,INDIRECT(S$1&amp;"!$G$70:$G$77"),0)),0,10)+IF(ISNA(MATCH(Invulblad!$S$52,INDIRECT(S$1&amp;"!$E$70:$E$77"),0)),0,10)+IF(ISNA(MATCH(Invulblad!$S$52,INDIRECT(S$1&amp;"!$G$70:$G$77"),0)),0,10),"")</f>
        <v>175</v>
      </c>
      <c r="T48" s="178">
        <f ca="1">IF(VLOOKUP($A47,INDIRECT(T$1&amp;"!$B$14:$P$89"),15,0)&lt;&gt;"",T47+IF(ISNA(MATCH(Invulblad!$S$51,INDIRECT(T$1&amp;"!$E$70:$E$77"),0)),0,10)+IF(ISNA(MATCH(Invulblad!$S$51,INDIRECT(T$1&amp;"!$G$70:$G$77"),0)),0,10)+IF(ISNA(MATCH(Invulblad!$S$52,INDIRECT(T$1&amp;"!$E$70:$E$77"),0)),0,10)+IF(ISNA(MATCH(Invulblad!$S$52,INDIRECT(T$1&amp;"!$G$70:$G$77"),0)),0,10),"")</f>
        <v>175</v>
      </c>
      <c r="U48" s="178">
        <f ca="1">IF(VLOOKUP($A47,INDIRECT(U$1&amp;"!$B$14:$P$89"),15,0)&lt;&gt;"",U47+IF(ISNA(MATCH(Invulblad!$S$51,INDIRECT(U$1&amp;"!$E$70:$E$77"),0)),0,10)+IF(ISNA(MATCH(Invulblad!$S$51,INDIRECT(U$1&amp;"!$G$70:$G$77"),0)),0,10)+IF(ISNA(MATCH(Invulblad!$S$52,INDIRECT(U$1&amp;"!$E$70:$E$77"),0)),0,10)+IF(ISNA(MATCH(Invulblad!$S$52,INDIRECT(U$1&amp;"!$G$70:$G$77"),0)),0,10),"")</f>
        <v>180</v>
      </c>
      <c r="V48" s="178">
        <f ca="1">IF(VLOOKUP($A47,INDIRECT(V$1&amp;"!$B$14:$P$89"),15,0)&lt;&gt;"",V47+IF(ISNA(MATCH(Invulblad!$S$51,INDIRECT(V$1&amp;"!$E$70:$E$77"),0)),0,10)+IF(ISNA(MATCH(Invulblad!$S$51,INDIRECT(V$1&amp;"!$G$70:$G$77"),0)),0,10)+IF(ISNA(MATCH(Invulblad!$S$52,INDIRECT(V$1&amp;"!$E$70:$E$77"),0)),0,10)+IF(ISNA(MATCH(Invulblad!$S$52,INDIRECT(V$1&amp;"!$G$70:$G$77"),0)),0,10),"")</f>
        <v>180</v>
      </c>
      <c r="W48" s="178">
        <f ca="1">IF(VLOOKUP($A47,INDIRECT(W$1&amp;"!$B$14:$P$89"),15,0)&lt;&gt;"",W47+IF(ISNA(MATCH(Invulblad!$S$51,INDIRECT(W$1&amp;"!$E$70:$E$77"),0)),0,10)+IF(ISNA(MATCH(Invulblad!$S$51,INDIRECT(W$1&amp;"!$G$70:$G$77"),0)),0,10)+IF(ISNA(MATCH(Invulblad!$S$52,INDIRECT(W$1&amp;"!$E$70:$E$77"),0)),0,10)+IF(ISNA(MATCH(Invulblad!$S$52,INDIRECT(W$1&amp;"!$G$70:$G$77"),0)),0,10),"")</f>
        <v>160</v>
      </c>
      <c r="X48" s="178">
        <f ca="1">IF(VLOOKUP($A47,INDIRECT(X$1&amp;"!$B$14:$P$89"),15,0)&lt;&gt;"",X47+IF(ISNA(MATCH(Invulblad!$S$51,INDIRECT(X$1&amp;"!$E$70:$E$77"),0)),0,10)+IF(ISNA(MATCH(Invulblad!$S$51,INDIRECT(X$1&amp;"!$G$70:$G$77"),0)),0,10)+IF(ISNA(MATCH(Invulblad!$S$52,INDIRECT(X$1&amp;"!$E$70:$E$77"),0)),0,10)+IF(ISNA(MATCH(Invulblad!$S$52,INDIRECT(X$1&amp;"!$G$70:$G$77"),0)),0,10),"")</f>
        <v>115</v>
      </c>
      <c r="Y48" s="178">
        <f t="shared" ca="1" si="4"/>
        <v>170</v>
      </c>
      <c r="Z48" s="194">
        <f t="shared" ca="1" si="6"/>
        <v>9.5454545454545325</v>
      </c>
      <c r="AA48" s="195">
        <f ca="1">IF(C48&lt;&gt;"",C48-$Y48,"")</f>
        <v>0</v>
      </c>
      <c r="AB48" s="195">
        <f ca="1">IF(D48&lt;&gt;"",D48-$Y48,"")</f>
        <v>-10</v>
      </c>
      <c r="AC48" s="195">
        <f ca="1">IF(E48&lt;&gt;"",E48-$Y48,"")</f>
        <v>-10</v>
      </c>
      <c r="AD48" s="195">
        <f ca="1">IF(F48&lt;&gt;"",F48-$Y48,"")</f>
        <v>25</v>
      </c>
      <c r="AE48" s="195">
        <f ca="1">IF(G48&lt;&gt;"",G48-$Y48,"")</f>
        <v>10</v>
      </c>
      <c r="AF48" s="195">
        <f ca="1">IF(H48&lt;&gt;"",H48-$Y48,"")</f>
        <v>0</v>
      </c>
      <c r="AG48" s="195">
        <f ca="1">IF(I48&lt;&gt;"",I48-$Y48,"")</f>
        <v>5</v>
      </c>
      <c r="AH48" s="195">
        <f ca="1">IF(J48&lt;&gt;"",J48-$Y48,"")</f>
        <v>25</v>
      </c>
      <c r="AI48" s="195">
        <f ca="1">IF(K48&lt;&gt;"",K48-$Y48,"")</f>
        <v>20</v>
      </c>
      <c r="AJ48" s="195">
        <f ca="1">IF(L48&lt;&gt;"",L48-$Y48,"")</f>
        <v>30</v>
      </c>
      <c r="AK48" s="195">
        <f ca="1">IF(M48&lt;&gt;"",M48-$Y48,"")</f>
        <v>-30</v>
      </c>
      <c r="AL48" s="195">
        <f ca="1">IF(N48&lt;&gt;"",N48-$Y48,"")</f>
        <v>0</v>
      </c>
      <c r="AM48" s="195">
        <f ca="1">IF(O48&lt;&gt;"",O48-$Y48,"")</f>
        <v>-15</v>
      </c>
      <c r="AN48" s="195">
        <f ca="1">IF(P48&lt;&gt;"",P48-$Y48,"")</f>
        <v>25</v>
      </c>
      <c r="AO48" s="195">
        <f ca="1">IF(S48&lt;&gt;"",S48-$Y48,"")</f>
        <v>5</v>
      </c>
      <c r="AP48" s="195">
        <f ca="1">IF(T48&lt;&gt;"",T48-$Y48,"")</f>
        <v>5</v>
      </c>
      <c r="AQ48" s="195">
        <f ca="1">IF(U48&lt;&gt;"",U48-$Y48,"")</f>
        <v>10</v>
      </c>
      <c r="AR48" s="195">
        <f ca="1">IF(V48&lt;&gt;"",V48-$Y48,"")</f>
        <v>10</v>
      </c>
      <c r="AS48" s="195">
        <f ca="1">IF(W48&lt;&gt;"",W48-$Y48,"")</f>
        <v>-10</v>
      </c>
      <c r="AT48" s="195">
        <f ca="1">IF(Q48&lt;&gt;"",Q48-$Y48,"")</f>
        <v>-10</v>
      </c>
      <c r="AU48" s="195">
        <f ca="1">IF(R48&lt;&gt;"",R48-$Y48,"")</f>
        <v>-30</v>
      </c>
      <c r="AV48" s="195">
        <f t="shared" ca="1" si="5"/>
        <v>-55</v>
      </c>
    </row>
    <row r="49" spans="1:48">
      <c r="A49" s="189">
        <v>43</v>
      </c>
      <c r="B49" s="165" t="str">
        <f>VLOOKUP($A49,Willem!$B$14:$P$89,4,0)&amp;"-"&amp;VLOOKUP($A49,Willem!$B$14:$P$89,6,0)</f>
        <v>Denemarken  -  Japan</v>
      </c>
      <c r="C49" s="340">
        <f ca="1">IF(VLOOKUP($A49,INDIRECT(C$1&amp;"!$B$14:$P$89"),15,0)&lt;&gt;"",VLOOKUP($A49,INDIRECT(C$1&amp;"!$B$14:$P$89"),15,0)+C48,"")</f>
        <v>170</v>
      </c>
      <c r="D49" s="340">
        <f ca="1">IF(VLOOKUP($A49,INDIRECT(D$1&amp;"!$B$14:$P$89"),15,0)&lt;&gt;"",VLOOKUP($A49,INDIRECT(D$1&amp;"!$B$14:$P$89"),15,0)+D48,"")</f>
        <v>160</v>
      </c>
      <c r="E49" s="340">
        <f ca="1">IF(VLOOKUP($A49,INDIRECT(E$1&amp;"!$B$14:$P$89"),15,0)&lt;&gt;"",VLOOKUP($A49,INDIRECT(E$1&amp;"!$B$14:$P$89"),15,0)+E48,"")</f>
        <v>160</v>
      </c>
      <c r="F49" s="340">
        <f ca="1">IF(VLOOKUP($A49,INDIRECT(F$1&amp;"!$B$14:$P$89"),15,0)&lt;&gt;"",VLOOKUP($A49,INDIRECT(F$1&amp;"!$B$14:$P$89"),15,0)+F48,"")</f>
        <v>195</v>
      </c>
      <c r="G49" s="340">
        <f ca="1">IF(VLOOKUP($A49,INDIRECT(G$1&amp;"!$B$14:$P$89"),15,0)&lt;&gt;"",VLOOKUP($A49,INDIRECT(G$1&amp;"!$B$14:$P$89"),15,0)+G48,"")</f>
        <v>180</v>
      </c>
      <c r="H49" s="340">
        <f ca="1">IF(VLOOKUP($A49,INDIRECT(H$1&amp;"!$B$14:$P$89"),15,0)&lt;&gt;"",VLOOKUP($A49,INDIRECT(H$1&amp;"!$B$14:$P$89"),15,0)+H48,"")</f>
        <v>170</v>
      </c>
      <c r="I49" s="340">
        <f ca="1">IF(VLOOKUP($A49,INDIRECT(I$1&amp;"!$B$14:$P$89"),15,0)&lt;&gt;"",VLOOKUP($A49,INDIRECT(I$1&amp;"!$B$14:$P$89"),15,0)+I48,"")</f>
        <v>175</v>
      </c>
      <c r="J49" s="340">
        <f ca="1">IF(VLOOKUP($A49,INDIRECT(J$1&amp;"!$B$14:$P$89"),15,0)&lt;&gt;"",VLOOKUP($A49,INDIRECT(J$1&amp;"!$B$14:$P$89"),15,0)+J48,"")</f>
        <v>195</v>
      </c>
      <c r="K49" s="340">
        <f ca="1">IF(VLOOKUP($A49,INDIRECT(K$1&amp;"!$B$14:$P$89"),15,0)&lt;&gt;"",VLOOKUP($A49,INDIRECT(K$1&amp;"!$B$14:$P$89"),15,0)+K48,"")</f>
        <v>190</v>
      </c>
      <c r="L49" s="340">
        <f ca="1">IF(VLOOKUP($A49,INDIRECT(L$1&amp;"!$B$14:$P$89"),15,0)&lt;&gt;"",VLOOKUP($A49,INDIRECT(L$1&amp;"!$B$14:$P$89"),15,0)+L48,"")</f>
        <v>200</v>
      </c>
      <c r="M49" s="340">
        <f ca="1">IF(VLOOKUP($A49,INDIRECT(M$1&amp;"!$B$14:$P$89"),15,0)&lt;&gt;"",VLOOKUP($A49,INDIRECT(M$1&amp;"!$B$14:$P$89"),15,0)+M48,"")</f>
        <v>140</v>
      </c>
      <c r="N49" s="340">
        <f ca="1">IF(VLOOKUP($A49,INDIRECT(N$1&amp;"!$B$14:$P$89"),15,0)&lt;&gt;"",VLOOKUP($A49,INDIRECT(N$1&amp;"!$B$14:$P$89"),15,0)+N48,"")</f>
        <v>170</v>
      </c>
      <c r="O49" s="340">
        <f ca="1">IF(VLOOKUP($A49,INDIRECT(O$1&amp;"!$B$14:$P$89"),15,0)&lt;&gt;"",VLOOKUP($A49,INDIRECT(O$1&amp;"!$B$14:$P$89"),15,0)+O48,"")</f>
        <v>155</v>
      </c>
      <c r="P49" s="340">
        <f ca="1">IF(VLOOKUP($A49,INDIRECT(P$1&amp;"!$B$14:$P$89"),15,0)&lt;&gt;"",VLOOKUP($A49,INDIRECT(P$1&amp;"!$B$14:$P$89"),15,0)+P48,"")</f>
        <v>195</v>
      </c>
      <c r="Q49" s="340">
        <f ca="1">IF(VLOOKUP($A49,INDIRECT(Q$1&amp;"!$B$14:$P$89"),15,0)&lt;&gt;"",VLOOKUP($A49,INDIRECT(Q$1&amp;"!$B$14:$P$89"),15,0)+Q48,"")</f>
        <v>160</v>
      </c>
      <c r="R49" s="340">
        <f ca="1">IF(VLOOKUP($A49,INDIRECT(R$1&amp;"!$B$14:$P$89"),15,0)&lt;&gt;"",VLOOKUP($A49,INDIRECT(R$1&amp;"!$B$14:$P$89"),15,0)+R48,"")</f>
        <v>140</v>
      </c>
      <c r="S49" s="340">
        <f ca="1">IF(VLOOKUP($A49,INDIRECT(S$1&amp;"!$B$14:$P$89"),15,0)&lt;&gt;"",VLOOKUP($A49,INDIRECT(S$1&amp;"!$B$14:$P$89"),15,0)+S48,"")</f>
        <v>175</v>
      </c>
      <c r="T49" s="340">
        <f ca="1">IF(VLOOKUP($A49,INDIRECT(T$1&amp;"!$B$14:$P$89"),15,0)&lt;&gt;"",VLOOKUP($A49,INDIRECT(T$1&amp;"!$B$14:$P$89"),15,0)+T48,"")</f>
        <v>175</v>
      </c>
      <c r="U49" s="340">
        <f ca="1">IF(VLOOKUP($A49,INDIRECT(U$1&amp;"!$B$14:$P$89"),15,0)&lt;&gt;"",VLOOKUP($A49,INDIRECT(U$1&amp;"!$B$14:$P$89"),15,0)+U48,"")</f>
        <v>180</v>
      </c>
      <c r="V49" s="340">
        <f ca="1">IF(VLOOKUP($A49,INDIRECT(V$1&amp;"!$B$14:$P$89"),15,0)&lt;&gt;"",VLOOKUP($A49,INDIRECT(V$1&amp;"!$B$14:$P$89"),15,0)+V48,"")</f>
        <v>180</v>
      </c>
      <c r="W49" s="340">
        <f ca="1">IF(VLOOKUP($A49,INDIRECT(W$1&amp;"!$B$14:$P$89"),15,0)&lt;&gt;"",VLOOKUP($A49,INDIRECT(W$1&amp;"!$B$14:$P$89"),15,0)+W48,"")</f>
        <v>160</v>
      </c>
      <c r="X49" s="340">
        <f ca="1">IF(VLOOKUP($A49,INDIRECT(X$1&amp;"!$B$14:$P$89"),15,0)&lt;&gt;"",VLOOKUP($A49,INDIRECT(X$1&amp;"!$B$14:$P$89"),15,0)+X48,"")</f>
        <v>115</v>
      </c>
      <c r="Y49" s="178">
        <f t="shared" ca="1" si="4"/>
        <v>170</v>
      </c>
      <c r="Z49" s="194">
        <f t="shared" ca="1" si="6"/>
        <v>0</v>
      </c>
      <c r="AA49" s="195">
        <f ca="1">IF(C49&lt;&gt;"",C49-$Y49,"")</f>
        <v>0</v>
      </c>
      <c r="AB49" s="195">
        <f ca="1">IF(D49&lt;&gt;"",D49-$Y49,"")</f>
        <v>-10</v>
      </c>
      <c r="AC49" s="195">
        <f ca="1">IF(E49&lt;&gt;"",E49-$Y49,"")</f>
        <v>-10</v>
      </c>
      <c r="AD49" s="195">
        <f ca="1">IF(F49&lt;&gt;"",F49-$Y49,"")</f>
        <v>25</v>
      </c>
      <c r="AE49" s="195">
        <f ca="1">IF(G49&lt;&gt;"",G49-$Y49,"")</f>
        <v>10</v>
      </c>
      <c r="AF49" s="195">
        <f ca="1">IF(H49&lt;&gt;"",H49-$Y49,"")</f>
        <v>0</v>
      </c>
      <c r="AG49" s="195">
        <f ca="1">IF(I49&lt;&gt;"",I49-$Y49,"")</f>
        <v>5</v>
      </c>
      <c r="AH49" s="195">
        <f ca="1">IF(J49&lt;&gt;"",J49-$Y49,"")</f>
        <v>25</v>
      </c>
      <c r="AI49" s="195">
        <f ca="1">IF(K49&lt;&gt;"",K49-$Y49,"")</f>
        <v>20</v>
      </c>
      <c r="AJ49" s="195">
        <f ca="1">IF(L49&lt;&gt;"",L49-$Y49,"")</f>
        <v>30</v>
      </c>
      <c r="AK49" s="195">
        <f ca="1">IF(M49&lt;&gt;"",M49-$Y49,"")</f>
        <v>-30</v>
      </c>
      <c r="AL49" s="195">
        <f ca="1">IF(N49&lt;&gt;"",N49-$Y49,"")</f>
        <v>0</v>
      </c>
      <c r="AM49" s="195">
        <f ca="1">IF(O49&lt;&gt;"",O49-$Y49,"")</f>
        <v>-15</v>
      </c>
      <c r="AN49" s="195">
        <f ca="1">IF(P49&lt;&gt;"",P49-$Y49,"")</f>
        <v>25</v>
      </c>
      <c r="AO49" s="195">
        <f ca="1">IF(S49&lt;&gt;"",S49-$Y49,"")</f>
        <v>5</v>
      </c>
      <c r="AP49" s="195">
        <f ca="1">IF(T49&lt;&gt;"",T49-$Y49,"")</f>
        <v>5</v>
      </c>
      <c r="AQ49" s="195">
        <f ca="1">IF(U49&lt;&gt;"",U49-$Y49,"")</f>
        <v>10</v>
      </c>
      <c r="AR49" s="195">
        <f ca="1">IF(V49&lt;&gt;"",V49-$Y49,"")</f>
        <v>10</v>
      </c>
      <c r="AS49" s="195">
        <f ca="1">IF(W49&lt;&gt;"",W49-$Y49,"")</f>
        <v>-10</v>
      </c>
      <c r="AT49" s="195">
        <f ca="1">IF(Q49&lt;&gt;"",Q49-$Y49,"")</f>
        <v>-10</v>
      </c>
      <c r="AU49" s="195">
        <f ca="1">IF(R49&lt;&gt;"",R49-$Y49,"")</f>
        <v>-30</v>
      </c>
      <c r="AV49" s="195">
        <f t="shared" ca="1" si="5"/>
        <v>-55</v>
      </c>
    </row>
    <row r="50" spans="1:48">
      <c r="A50" s="189">
        <v>44</v>
      </c>
      <c r="B50" s="166" t="str">
        <f>VLOOKUP($A50,Willem!$B$14:$P$89,4,0)&amp;"-"&amp;VLOOKUP($A50,Willem!$B$14:$P$89,6,0)</f>
        <v>Kameroen  -  Nederland</v>
      </c>
      <c r="C50" s="341">
        <f ca="1">IF(VLOOKUP($A50,INDIRECT(C$1&amp;"!$B$14:$P$89"),15,0)&lt;&gt;"",VLOOKUP($A50,INDIRECT(C$1&amp;"!$B$14:$P$89"),15,0)+C49,"")</f>
        <v>175</v>
      </c>
      <c r="D50" s="341">
        <f ca="1">IF(VLOOKUP($A50,INDIRECT(D$1&amp;"!$B$14:$P$89"),15,0)&lt;&gt;"",VLOOKUP($A50,INDIRECT(D$1&amp;"!$B$14:$P$89"),15,0)+D49,"")</f>
        <v>160</v>
      </c>
      <c r="E50" s="341">
        <f ca="1">IF(VLOOKUP($A50,INDIRECT(E$1&amp;"!$B$14:$P$89"),15,0)&lt;&gt;"",VLOOKUP($A50,INDIRECT(E$1&amp;"!$B$14:$P$89"),15,0)+E49,"")</f>
        <v>170</v>
      </c>
      <c r="F50" s="341">
        <f ca="1">IF(VLOOKUP($A50,INDIRECT(F$1&amp;"!$B$14:$P$89"),15,0)&lt;&gt;"",VLOOKUP($A50,INDIRECT(F$1&amp;"!$B$14:$P$89"),15,0)+F49,"")</f>
        <v>205</v>
      </c>
      <c r="G50" s="341">
        <f ca="1">IF(VLOOKUP($A50,INDIRECT(G$1&amp;"!$B$14:$P$89"),15,0)&lt;&gt;"",VLOOKUP($A50,INDIRECT(G$1&amp;"!$B$14:$P$89"),15,0)+G49,"")</f>
        <v>190</v>
      </c>
      <c r="H50" s="341">
        <f ca="1">IF(VLOOKUP($A50,INDIRECT(H$1&amp;"!$B$14:$P$89"),15,0)&lt;&gt;"",VLOOKUP($A50,INDIRECT(H$1&amp;"!$B$14:$P$89"),15,0)+H49,"")</f>
        <v>170</v>
      </c>
      <c r="I50" s="341">
        <f ca="1">IF(VLOOKUP($A50,INDIRECT(I$1&amp;"!$B$14:$P$89"),15,0)&lt;&gt;"",VLOOKUP($A50,INDIRECT(I$1&amp;"!$B$14:$P$89"),15,0)+I49,"")</f>
        <v>185</v>
      </c>
      <c r="J50" s="341">
        <f ca="1">IF(VLOOKUP($A50,INDIRECT(J$1&amp;"!$B$14:$P$89"),15,0)&lt;&gt;"",VLOOKUP($A50,INDIRECT(J$1&amp;"!$B$14:$P$89"),15,0)+J49,"")</f>
        <v>195</v>
      </c>
      <c r="K50" s="341">
        <f ca="1">IF(VLOOKUP($A50,INDIRECT(K$1&amp;"!$B$14:$P$89"),15,0)&lt;&gt;"",VLOOKUP($A50,INDIRECT(K$1&amp;"!$B$14:$P$89"),15,0)+K49,"")</f>
        <v>200</v>
      </c>
      <c r="L50" s="341">
        <f ca="1">IF(VLOOKUP($A50,INDIRECT(L$1&amp;"!$B$14:$P$89"),15,0)&lt;&gt;"",VLOOKUP($A50,INDIRECT(L$1&amp;"!$B$14:$P$89"),15,0)+L49,"")</f>
        <v>205</v>
      </c>
      <c r="M50" s="341">
        <f ca="1">IF(VLOOKUP($A50,INDIRECT(M$1&amp;"!$B$14:$P$89"),15,0)&lt;&gt;"",VLOOKUP($A50,INDIRECT(M$1&amp;"!$B$14:$P$89"),15,0)+M49,"")</f>
        <v>150</v>
      </c>
      <c r="N50" s="341">
        <f ca="1">IF(VLOOKUP($A50,INDIRECT(N$1&amp;"!$B$14:$P$89"),15,0)&lt;&gt;"",VLOOKUP($A50,INDIRECT(N$1&amp;"!$B$14:$P$89"),15,0)+N49,"")</f>
        <v>180</v>
      </c>
      <c r="O50" s="341">
        <f ca="1">IF(VLOOKUP($A50,INDIRECT(O$1&amp;"!$B$14:$P$89"),15,0)&lt;&gt;"",VLOOKUP($A50,INDIRECT(O$1&amp;"!$B$14:$P$89"),15,0)+O49,"")</f>
        <v>165</v>
      </c>
      <c r="P50" s="341">
        <f ca="1">IF(VLOOKUP($A50,INDIRECT(P$1&amp;"!$B$14:$P$89"),15,0)&lt;&gt;"",VLOOKUP($A50,INDIRECT(P$1&amp;"!$B$14:$P$89"),15,0)+P49,"")</f>
        <v>195</v>
      </c>
      <c r="Q50" s="341">
        <f ca="1">IF(VLOOKUP($A50,INDIRECT(Q$1&amp;"!$B$14:$P$89"),15,0)&lt;&gt;"",VLOOKUP($A50,INDIRECT(Q$1&amp;"!$B$14:$P$89"),15,0)+Q49,"")</f>
        <v>165</v>
      </c>
      <c r="R50" s="341">
        <f ca="1">IF(VLOOKUP($A50,INDIRECT(R$1&amp;"!$B$14:$P$89"),15,0)&lt;&gt;"",VLOOKUP($A50,INDIRECT(R$1&amp;"!$B$14:$P$89"),15,0)+R49,"")</f>
        <v>150</v>
      </c>
      <c r="S50" s="341">
        <f ca="1">IF(VLOOKUP($A50,INDIRECT(S$1&amp;"!$B$14:$P$89"),15,0)&lt;&gt;"",VLOOKUP($A50,INDIRECT(S$1&amp;"!$B$14:$P$89"),15,0)+S49,"")</f>
        <v>175</v>
      </c>
      <c r="T50" s="341">
        <f ca="1">IF(VLOOKUP($A50,INDIRECT(T$1&amp;"!$B$14:$P$89"),15,0)&lt;&gt;"",VLOOKUP($A50,INDIRECT(T$1&amp;"!$B$14:$P$89"),15,0)+T49,"")</f>
        <v>185</v>
      </c>
      <c r="U50" s="341">
        <f ca="1">IF(VLOOKUP($A50,INDIRECT(U$1&amp;"!$B$14:$P$89"),15,0)&lt;&gt;"",VLOOKUP($A50,INDIRECT(U$1&amp;"!$B$14:$P$89"),15,0)+U49,"")</f>
        <v>180</v>
      </c>
      <c r="V50" s="341">
        <f ca="1">IF(VLOOKUP($A50,INDIRECT(V$1&amp;"!$B$14:$P$89"),15,0)&lt;&gt;"",VLOOKUP($A50,INDIRECT(V$1&amp;"!$B$14:$P$89"),15,0)+V49,"")</f>
        <v>180</v>
      </c>
      <c r="W50" s="341">
        <f ca="1">IF(VLOOKUP($A50,INDIRECT(W$1&amp;"!$B$14:$P$89"),15,0)&lt;&gt;"",VLOOKUP($A50,INDIRECT(W$1&amp;"!$B$14:$P$89"),15,0)+W49,"")</f>
        <v>170</v>
      </c>
      <c r="X50" s="341">
        <f ca="1">IF(VLOOKUP($A50,INDIRECT(X$1&amp;"!$B$14:$P$89"),15,0)&lt;&gt;"",VLOOKUP($A50,INDIRECT(X$1&amp;"!$B$14:$P$89"),15,0)+X49,"")</f>
        <v>115</v>
      </c>
      <c r="Y50" s="178">
        <f t="shared" ca="1" si="4"/>
        <v>175.68181818181819</v>
      </c>
      <c r="Z50" s="194">
        <f t="shared" ca="1" si="6"/>
        <v>5.681818181818187</v>
      </c>
      <c r="AA50" s="195">
        <f ca="1">IF(C50&lt;&gt;"",C50-$Y50,"")</f>
        <v>-0.68181818181818699</v>
      </c>
      <c r="AB50" s="195">
        <f ca="1">IF(D50&lt;&gt;"",D50-$Y50,"")</f>
        <v>-15.681818181818187</v>
      </c>
      <c r="AC50" s="195">
        <f ca="1">IF(E50&lt;&gt;"",E50-$Y50,"")</f>
        <v>-5.681818181818187</v>
      </c>
      <c r="AD50" s="195">
        <f ca="1">IF(F50&lt;&gt;"",F50-$Y50,"")</f>
        <v>29.318181818181813</v>
      </c>
      <c r="AE50" s="195">
        <f ca="1">IF(G50&lt;&gt;"",G50-$Y50,"")</f>
        <v>14.318181818181813</v>
      </c>
      <c r="AF50" s="195">
        <f ca="1">IF(H50&lt;&gt;"",H50-$Y50,"")</f>
        <v>-5.681818181818187</v>
      </c>
      <c r="AG50" s="195">
        <f ca="1">IF(I50&lt;&gt;"",I50-$Y50,"")</f>
        <v>9.318181818181813</v>
      </c>
      <c r="AH50" s="195">
        <f ca="1">IF(J50&lt;&gt;"",J50-$Y50,"")</f>
        <v>19.318181818181813</v>
      </c>
      <c r="AI50" s="195">
        <f ca="1">IF(K50&lt;&gt;"",K50-$Y50,"")</f>
        <v>24.318181818181813</v>
      </c>
      <c r="AJ50" s="195">
        <f ca="1">IF(L50&lt;&gt;"",L50-$Y50,"")</f>
        <v>29.318181818181813</v>
      </c>
      <c r="AK50" s="195">
        <f ca="1">IF(M50&lt;&gt;"",M50-$Y50,"")</f>
        <v>-25.681818181818187</v>
      </c>
      <c r="AL50" s="195">
        <f ca="1">IF(N50&lt;&gt;"",N50-$Y50,"")</f>
        <v>4.318181818181813</v>
      </c>
      <c r="AM50" s="195">
        <f ca="1">IF(O50&lt;&gt;"",O50-$Y50,"")</f>
        <v>-10.681818181818187</v>
      </c>
      <c r="AN50" s="195">
        <f ca="1">IF(P50&lt;&gt;"",P50-$Y50,"")</f>
        <v>19.318181818181813</v>
      </c>
      <c r="AO50" s="195">
        <f ca="1">IF(S50&lt;&gt;"",S50-$Y50,"")</f>
        <v>-0.68181818181818699</v>
      </c>
      <c r="AP50" s="195">
        <f ca="1">IF(T50&lt;&gt;"",T50-$Y50,"")</f>
        <v>9.318181818181813</v>
      </c>
      <c r="AQ50" s="195">
        <f ca="1">IF(U50&lt;&gt;"",U50-$Y50,"")</f>
        <v>4.318181818181813</v>
      </c>
      <c r="AR50" s="195">
        <f ca="1">IF(V50&lt;&gt;"",V50-$Y50,"")</f>
        <v>4.318181818181813</v>
      </c>
      <c r="AS50" s="195">
        <f ca="1">IF(W50&lt;&gt;"",W50-$Y50,"")</f>
        <v>-5.681818181818187</v>
      </c>
      <c r="AT50" s="195">
        <f ca="1">IF(Q50&lt;&gt;"",Q50-$Y50,"")</f>
        <v>-10.681818181818187</v>
      </c>
      <c r="AU50" s="195">
        <f ca="1">IF(R50&lt;&gt;"",R50-$Y50,"")</f>
        <v>-25.681818181818187</v>
      </c>
      <c r="AV50" s="195">
        <f t="shared" ca="1" si="5"/>
        <v>-60.681818181818187</v>
      </c>
    </row>
    <row r="51" spans="1:48">
      <c r="A51" s="196" t="str">
        <f>B51</f>
        <v>Boni</v>
      </c>
      <c r="B51" s="166" t="s">
        <v>507</v>
      </c>
      <c r="C51" s="178">
        <f ca="1">IF(VLOOKUP($A50,INDIRECT(C$1&amp;"!$B$14:$P$89"),15,0)&lt;&gt;"",C50+IF(ISNA(MATCH(Invulblad!$S$43,INDIRECT(C$1&amp;"!$E$70:$E$77"),0)),0,10)+IF(ISNA(MATCH(Invulblad!$S$43,INDIRECT(C$1&amp;"!$G$70:$G$77"),0)),0,10)+IF(ISNA(MATCH(Invulblad!$S$44,INDIRECT(C$1&amp;"!$E$70:$E$77"),0)),0,10)+IF(ISNA(MATCH(Invulblad!$S$44,INDIRECT(C$1&amp;"!$G$70:$G$77"),0)),0,10),"")</f>
        <v>185</v>
      </c>
      <c r="D51" s="178">
        <f ca="1">IF(VLOOKUP($A50,INDIRECT(D$1&amp;"!$B$14:$P$89"),15,0)&lt;&gt;"",D50+IF(ISNA(MATCH(Invulblad!$S$43,INDIRECT(D$1&amp;"!$E$70:$E$77"),0)),0,10)+IF(ISNA(MATCH(Invulblad!$S$43,INDIRECT(D$1&amp;"!$G$70:$G$77"),0)),0,10)+IF(ISNA(MATCH(Invulblad!$S$44,INDIRECT(D$1&amp;"!$E$70:$E$77"),0)),0,10)+IF(ISNA(MATCH(Invulblad!$S$44,INDIRECT(D$1&amp;"!$G$70:$G$77"),0)),0,10),"")</f>
        <v>170</v>
      </c>
      <c r="E51" s="178">
        <f ca="1">IF(VLOOKUP($A50,INDIRECT(E$1&amp;"!$B$14:$P$89"),15,0)&lt;&gt;"",E50+IF(ISNA(MATCH(Invulblad!$S$43,INDIRECT(E$1&amp;"!$E$70:$E$77"),0)),0,10)+IF(ISNA(MATCH(Invulblad!$S$43,INDIRECT(E$1&amp;"!$G$70:$G$77"),0)),0,10)+IF(ISNA(MATCH(Invulblad!$S$44,INDIRECT(E$1&amp;"!$E$70:$E$77"),0)),0,10)+IF(ISNA(MATCH(Invulblad!$S$44,INDIRECT(E$1&amp;"!$G$70:$G$77"),0)),0,10),"")</f>
        <v>180</v>
      </c>
      <c r="F51" s="178">
        <f ca="1">IF(VLOOKUP($A50,INDIRECT(F$1&amp;"!$B$14:$P$89"),15,0)&lt;&gt;"",F50+IF(ISNA(MATCH(Invulblad!$S$43,INDIRECT(F$1&amp;"!$E$70:$E$77"),0)),0,10)+IF(ISNA(MATCH(Invulblad!$S$43,INDIRECT(F$1&amp;"!$G$70:$G$77"),0)),0,10)+IF(ISNA(MATCH(Invulblad!$S$44,INDIRECT(F$1&amp;"!$E$70:$E$77"),0)),0,10)+IF(ISNA(MATCH(Invulblad!$S$44,INDIRECT(F$1&amp;"!$G$70:$G$77"),0)),0,10),"")</f>
        <v>215</v>
      </c>
      <c r="G51" s="178">
        <f ca="1">IF(VLOOKUP($A50,INDIRECT(G$1&amp;"!$B$14:$P$89"),15,0)&lt;&gt;"",G50+IF(ISNA(MATCH(Invulblad!$S$43,INDIRECT(G$1&amp;"!$E$70:$E$77"),0)),0,10)+IF(ISNA(MATCH(Invulblad!$S$43,INDIRECT(G$1&amp;"!$G$70:$G$77"),0)),0,10)+IF(ISNA(MATCH(Invulblad!$S$44,INDIRECT(G$1&amp;"!$E$70:$E$77"),0)),0,10)+IF(ISNA(MATCH(Invulblad!$S$44,INDIRECT(G$1&amp;"!$G$70:$G$77"),0)),0,10),"")</f>
        <v>200</v>
      </c>
      <c r="H51" s="178">
        <f ca="1">IF(VLOOKUP($A50,INDIRECT(H$1&amp;"!$B$14:$P$89"),15,0)&lt;&gt;"",H50+IF(ISNA(MATCH(Invulblad!$S$43,INDIRECT(H$1&amp;"!$E$70:$E$77"),0)),0,10)+IF(ISNA(MATCH(Invulblad!$S$43,INDIRECT(H$1&amp;"!$G$70:$G$77"),0)),0,10)+IF(ISNA(MATCH(Invulblad!$S$44,INDIRECT(H$1&amp;"!$E$70:$E$77"),0)),0,10)+IF(ISNA(MATCH(Invulblad!$S$44,INDIRECT(H$1&amp;"!$G$70:$G$77"),0)),0,10),"")</f>
        <v>180</v>
      </c>
      <c r="I51" s="178">
        <f ca="1">IF(VLOOKUP($A50,INDIRECT(I$1&amp;"!$B$14:$P$89"),15,0)&lt;&gt;"",I50+IF(ISNA(MATCH(Invulblad!$S$43,INDIRECT(I$1&amp;"!$E$70:$E$77"),0)),0,10)+IF(ISNA(MATCH(Invulblad!$S$43,INDIRECT(I$1&amp;"!$G$70:$G$77"),0)),0,10)+IF(ISNA(MATCH(Invulblad!$S$44,INDIRECT(I$1&amp;"!$E$70:$E$77"),0)),0,10)+IF(ISNA(MATCH(Invulblad!$S$44,INDIRECT(I$1&amp;"!$G$70:$G$77"),0)),0,10),"")</f>
        <v>195</v>
      </c>
      <c r="J51" s="178">
        <f ca="1">IF(VLOOKUP($A50,INDIRECT(J$1&amp;"!$B$14:$P$89"),15,0)&lt;&gt;"",J50+IF(ISNA(MATCH(Invulblad!$S$43,INDIRECT(J$1&amp;"!$E$70:$E$77"),0)),0,10)+IF(ISNA(MATCH(Invulblad!$S$43,INDIRECT(J$1&amp;"!$G$70:$G$77"),0)),0,10)+IF(ISNA(MATCH(Invulblad!$S$44,INDIRECT(J$1&amp;"!$E$70:$E$77"),0)),0,10)+IF(ISNA(MATCH(Invulblad!$S$44,INDIRECT(J$1&amp;"!$G$70:$G$77"),0)),0,10),"")</f>
        <v>205</v>
      </c>
      <c r="K51" s="178">
        <f ca="1">IF(VLOOKUP($A50,INDIRECT(K$1&amp;"!$B$14:$P$89"),15,0)&lt;&gt;"",K50+IF(ISNA(MATCH(Invulblad!$S$43,INDIRECT(K$1&amp;"!$E$70:$E$77"),0)),0,10)+IF(ISNA(MATCH(Invulblad!$S$43,INDIRECT(K$1&amp;"!$G$70:$G$77"),0)),0,10)+IF(ISNA(MATCH(Invulblad!$S$44,INDIRECT(K$1&amp;"!$E$70:$E$77"),0)),0,10)+IF(ISNA(MATCH(Invulblad!$S$44,INDIRECT(K$1&amp;"!$G$70:$G$77"),0)),0,10),"")</f>
        <v>210</v>
      </c>
      <c r="L51" s="178">
        <f ca="1">IF(VLOOKUP($A50,INDIRECT(L$1&amp;"!$B$14:$P$89"),15,0)&lt;&gt;"",L50+IF(ISNA(MATCH(Invulblad!$S$43,INDIRECT(L$1&amp;"!$E$70:$E$77"),0)),0,10)+IF(ISNA(MATCH(Invulblad!$S$43,INDIRECT(L$1&amp;"!$G$70:$G$77"),0)),0,10)+IF(ISNA(MATCH(Invulblad!$S$44,INDIRECT(L$1&amp;"!$E$70:$E$77"),0)),0,10)+IF(ISNA(MATCH(Invulblad!$S$44,INDIRECT(L$1&amp;"!$G$70:$G$77"),0)),0,10),"")</f>
        <v>215</v>
      </c>
      <c r="M51" s="178">
        <f ca="1">IF(VLOOKUP($A50,INDIRECT(M$1&amp;"!$B$14:$P$89"),15,0)&lt;&gt;"",M50+IF(ISNA(MATCH(Invulblad!$S$43,INDIRECT(M$1&amp;"!$E$70:$E$77"),0)),0,10)+IF(ISNA(MATCH(Invulblad!$S$43,INDIRECT(M$1&amp;"!$G$70:$G$77"),0)),0,10)+IF(ISNA(MATCH(Invulblad!$S$44,INDIRECT(M$1&amp;"!$E$70:$E$77"),0)),0,10)+IF(ISNA(MATCH(Invulblad!$S$44,INDIRECT(M$1&amp;"!$G$70:$G$77"),0)),0,10),"")</f>
        <v>160</v>
      </c>
      <c r="N51" s="178">
        <f ca="1">IF(VLOOKUP($A50,INDIRECT(N$1&amp;"!$B$14:$P$89"),15,0)&lt;&gt;"",N50+IF(ISNA(MATCH(Invulblad!$S$43,INDIRECT(N$1&amp;"!$E$70:$E$77"),0)),0,10)+IF(ISNA(MATCH(Invulblad!$S$43,INDIRECT(N$1&amp;"!$G$70:$G$77"),0)),0,10)+IF(ISNA(MATCH(Invulblad!$S$44,INDIRECT(N$1&amp;"!$E$70:$E$77"),0)),0,10)+IF(ISNA(MATCH(Invulblad!$S$44,INDIRECT(N$1&amp;"!$G$70:$G$77"),0)),0,10),"")</f>
        <v>190</v>
      </c>
      <c r="O51" s="178">
        <f ca="1">IF(VLOOKUP($A50,INDIRECT(O$1&amp;"!$B$14:$P$89"),15,0)&lt;&gt;"",O50+IF(ISNA(MATCH(Invulblad!$S$43,INDIRECT(O$1&amp;"!$E$70:$E$77"),0)),0,10)+IF(ISNA(MATCH(Invulblad!$S$43,INDIRECT(O$1&amp;"!$G$70:$G$77"),0)),0,10)+IF(ISNA(MATCH(Invulblad!$S$44,INDIRECT(O$1&amp;"!$E$70:$E$77"),0)),0,10)+IF(ISNA(MATCH(Invulblad!$S$44,INDIRECT(O$1&amp;"!$G$70:$G$77"),0)),0,10),"")</f>
        <v>175</v>
      </c>
      <c r="P51" s="178">
        <f ca="1">IF(VLOOKUP($A50,INDIRECT(P$1&amp;"!$B$14:$P$89"),15,0)&lt;&gt;"",P50+IF(ISNA(MATCH(Invulblad!$S$43,INDIRECT(P$1&amp;"!$E$70:$E$77"),0)),0,10)+IF(ISNA(MATCH(Invulblad!$S$43,INDIRECT(P$1&amp;"!$G$70:$G$77"),0)),0,10)+IF(ISNA(MATCH(Invulblad!$S$44,INDIRECT(P$1&amp;"!$E$70:$E$77"),0)),0,10)+IF(ISNA(MATCH(Invulblad!$S$44,INDIRECT(P$1&amp;"!$G$70:$G$77"),0)),0,10),"")</f>
        <v>205</v>
      </c>
      <c r="Q51" s="178">
        <f ca="1">IF(VLOOKUP($A50,INDIRECT(Q$1&amp;"!$B$14:$P$89"),15,0)&lt;&gt;"",Q50+IF(ISNA(MATCH(Invulblad!$S$43,INDIRECT(Q$1&amp;"!$E$70:$E$77"),0)),0,10)+IF(ISNA(MATCH(Invulblad!$S$43,INDIRECT(Q$1&amp;"!$G$70:$G$77"),0)),0,10)+IF(ISNA(MATCH(Invulblad!$S$44,INDIRECT(Q$1&amp;"!$E$70:$E$77"),0)),0,10)+IF(ISNA(MATCH(Invulblad!$S$44,INDIRECT(Q$1&amp;"!$G$70:$G$77"),0)),0,10),"")</f>
        <v>175</v>
      </c>
      <c r="R51" s="178">
        <f ca="1">IF(VLOOKUP($A50,INDIRECT(R$1&amp;"!$B$14:$P$89"),15,0)&lt;&gt;"",R50+IF(ISNA(MATCH(Invulblad!$S$43,INDIRECT(R$1&amp;"!$E$70:$E$77"),0)),0,10)+IF(ISNA(MATCH(Invulblad!$S$43,INDIRECT(R$1&amp;"!$G$70:$G$77"),0)),0,10)+IF(ISNA(MATCH(Invulblad!$S$44,INDIRECT(R$1&amp;"!$E$70:$E$77"),0)),0,10)+IF(ISNA(MATCH(Invulblad!$S$44,INDIRECT(R$1&amp;"!$G$70:$G$77"),0)),0,10),"")</f>
        <v>160</v>
      </c>
      <c r="S51" s="178">
        <f ca="1">IF(VLOOKUP($A50,INDIRECT(S$1&amp;"!$B$14:$P$89"),15,0)&lt;&gt;"",S50+IF(ISNA(MATCH(Invulblad!$S$43,INDIRECT(S$1&amp;"!$E$70:$E$77"),0)),0,10)+IF(ISNA(MATCH(Invulblad!$S$43,INDIRECT(S$1&amp;"!$G$70:$G$77"),0)),0,10)+IF(ISNA(MATCH(Invulblad!$S$44,INDIRECT(S$1&amp;"!$E$70:$E$77"),0)),0,10)+IF(ISNA(MATCH(Invulblad!$S$44,INDIRECT(S$1&amp;"!$G$70:$G$77"),0)),0,10),"")</f>
        <v>185</v>
      </c>
      <c r="T51" s="178">
        <f ca="1">IF(VLOOKUP($A50,INDIRECT(T$1&amp;"!$B$14:$P$89"),15,0)&lt;&gt;"",T50+IF(ISNA(MATCH(Invulblad!$S$43,INDIRECT(T$1&amp;"!$E$70:$E$77"),0)),0,10)+IF(ISNA(MATCH(Invulblad!$S$43,INDIRECT(T$1&amp;"!$G$70:$G$77"),0)),0,10)+IF(ISNA(MATCH(Invulblad!$S$44,INDIRECT(T$1&amp;"!$E$70:$E$77"),0)),0,10)+IF(ISNA(MATCH(Invulblad!$S$44,INDIRECT(T$1&amp;"!$G$70:$G$77"),0)),0,10),"")</f>
        <v>195</v>
      </c>
      <c r="U51" s="178">
        <f ca="1">IF(VLOOKUP($A50,INDIRECT(U$1&amp;"!$B$14:$P$89"),15,0)&lt;&gt;"",U50+IF(ISNA(MATCH(Invulblad!$S$43,INDIRECT(U$1&amp;"!$E$70:$E$77"),0)),0,10)+IF(ISNA(MATCH(Invulblad!$S$43,INDIRECT(U$1&amp;"!$G$70:$G$77"),0)),0,10)+IF(ISNA(MATCH(Invulblad!$S$44,INDIRECT(U$1&amp;"!$E$70:$E$77"),0)),0,10)+IF(ISNA(MATCH(Invulblad!$S$44,INDIRECT(U$1&amp;"!$G$70:$G$77"),0)),0,10),"")</f>
        <v>190</v>
      </c>
      <c r="V51" s="178">
        <f ca="1">IF(VLOOKUP($A50,INDIRECT(V$1&amp;"!$B$14:$P$89"),15,0)&lt;&gt;"",V50+IF(ISNA(MATCH(Invulblad!$S$43,INDIRECT(V$1&amp;"!$E$70:$E$77"),0)),0,10)+IF(ISNA(MATCH(Invulblad!$S$43,INDIRECT(V$1&amp;"!$G$70:$G$77"),0)),0,10)+IF(ISNA(MATCH(Invulblad!$S$44,INDIRECT(V$1&amp;"!$E$70:$E$77"),0)),0,10)+IF(ISNA(MATCH(Invulblad!$S$44,INDIRECT(V$1&amp;"!$G$70:$G$77"),0)),0,10),"")</f>
        <v>180</v>
      </c>
      <c r="W51" s="178">
        <f ca="1">IF(VLOOKUP($A50,INDIRECT(W$1&amp;"!$B$14:$P$89"),15,0)&lt;&gt;"",W50+IF(ISNA(MATCH(Invulblad!$S$43,INDIRECT(W$1&amp;"!$E$70:$E$77"),0)),0,10)+IF(ISNA(MATCH(Invulblad!$S$43,INDIRECT(W$1&amp;"!$G$70:$G$77"),0)),0,10)+IF(ISNA(MATCH(Invulblad!$S$44,INDIRECT(W$1&amp;"!$E$70:$E$77"),0)),0,10)+IF(ISNA(MATCH(Invulblad!$S$44,INDIRECT(W$1&amp;"!$G$70:$G$77"),0)),0,10),"")</f>
        <v>180</v>
      </c>
      <c r="X51" s="178">
        <f ca="1">IF(VLOOKUP($A50,INDIRECT(X$1&amp;"!$B$14:$P$89"),15,0)&lt;&gt;"",X50+IF(ISNA(MATCH(Invulblad!$S$43,INDIRECT(X$1&amp;"!$E$70:$E$77"),0)),0,10)+IF(ISNA(MATCH(Invulblad!$S$43,INDIRECT(X$1&amp;"!$G$70:$G$77"),0)),0,10)+IF(ISNA(MATCH(Invulblad!$S$44,INDIRECT(X$1&amp;"!$E$70:$E$77"),0)),0,10)+IF(ISNA(MATCH(Invulblad!$S$44,INDIRECT(X$1&amp;"!$G$70:$G$77"),0)),0,10),"")</f>
        <v>125</v>
      </c>
      <c r="Y51" s="178">
        <f t="shared" ca="1" si="4"/>
        <v>185.22727272727272</v>
      </c>
      <c r="Z51" s="194">
        <f t="shared" ca="1" si="6"/>
        <v>9.5454545454545325</v>
      </c>
      <c r="AA51" s="195">
        <f ca="1">IF(C51&lt;&gt;"",C51-$Y51,"")</f>
        <v>-0.22727272727271952</v>
      </c>
      <c r="AB51" s="195">
        <f ca="1">IF(D51&lt;&gt;"",D51-$Y51,"")</f>
        <v>-15.22727272727272</v>
      </c>
      <c r="AC51" s="195">
        <f ca="1">IF(E51&lt;&gt;"",E51-$Y51,"")</f>
        <v>-5.2272727272727195</v>
      </c>
      <c r="AD51" s="195">
        <f ca="1">IF(F51&lt;&gt;"",F51-$Y51,"")</f>
        <v>29.77272727272728</v>
      </c>
      <c r="AE51" s="195">
        <f ca="1">IF(G51&lt;&gt;"",G51-$Y51,"")</f>
        <v>14.77272727272728</v>
      </c>
      <c r="AF51" s="195">
        <f ca="1">IF(H51&lt;&gt;"",H51-$Y51,"")</f>
        <v>-5.2272727272727195</v>
      </c>
      <c r="AG51" s="195">
        <f ca="1">IF(I51&lt;&gt;"",I51-$Y51,"")</f>
        <v>9.7727272727272805</v>
      </c>
      <c r="AH51" s="195">
        <f ca="1">IF(J51&lt;&gt;"",J51-$Y51,"")</f>
        <v>19.77272727272728</v>
      </c>
      <c r="AI51" s="195">
        <f ca="1">IF(K51&lt;&gt;"",K51-$Y51,"")</f>
        <v>24.77272727272728</v>
      </c>
      <c r="AJ51" s="195">
        <f ca="1">IF(L51&lt;&gt;"",L51-$Y51,"")</f>
        <v>29.77272727272728</v>
      </c>
      <c r="AK51" s="195">
        <f ca="1">IF(M51&lt;&gt;"",M51-$Y51,"")</f>
        <v>-25.22727272727272</v>
      </c>
      <c r="AL51" s="195">
        <f ca="1">IF(N51&lt;&gt;"",N51-$Y51,"")</f>
        <v>4.7727272727272805</v>
      </c>
      <c r="AM51" s="195">
        <f ca="1">IF(O51&lt;&gt;"",O51-$Y51,"")</f>
        <v>-10.22727272727272</v>
      </c>
      <c r="AN51" s="195">
        <f ca="1">IF(P51&lt;&gt;"",P51-$Y51,"")</f>
        <v>19.77272727272728</v>
      </c>
      <c r="AO51" s="195">
        <f ca="1">IF(S51&lt;&gt;"",S51-$Y51,"")</f>
        <v>-0.22727272727271952</v>
      </c>
      <c r="AP51" s="195">
        <f ca="1">IF(T51&lt;&gt;"",T51-$Y51,"")</f>
        <v>9.7727272727272805</v>
      </c>
      <c r="AQ51" s="195">
        <f ca="1">IF(U51&lt;&gt;"",U51-$Y51,"")</f>
        <v>4.7727272727272805</v>
      </c>
      <c r="AR51" s="195">
        <f ca="1">IF(V51&lt;&gt;"",V51-$Y51,"")</f>
        <v>-5.2272727272727195</v>
      </c>
      <c r="AS51" s="195">
        <f ca="1">IF(W51&lt;&gt;"",W51-$Y51,"")</f>
        <v>-5.2272727272727195</v>
      </c>
      <c r="AT51" s="195">
        <f ca="1">IF(Q51&lt;&gt;"",Q51-$Y51,"")</f>
        <v>-10.22727272727272</v>
      </c>
      <c r="AU51" s="195">
        <f ca="1">IF(R51&lt;&gt;"",R51-$Y51,"")</f>
        <v>-25.22727272727272</v>
      </c>
      <c r="AV51" s="195">
        <f t="shared" ca="1" si="5"/>
        <v>-60.22727272727272</v>
      </c>
    </row>
    <row r="52" spans="1:48">
      <c r="A52" s="189">
        <v>45</v>
      </c>
      <c r="B52" s="165" t="str">
        <f>VLOOKUP($A52,Willem!$B$14:$P$89,4,0)&amp;"-"&amp;VLOOKUP($A52,Willem!$B$14:$P$89,6,0)</f>
        <v>Portugal  -  Brazilië</v>
      </c>
      <c r="C52" s="340">
        <f ca="1">IF(VLOOKUP($A52,INDIRECT(C$1&amp;"!$B$14:$P$89"),15,0)&lt;&gt;"",VLOOKUP($A52,INDIRECT(C$1&amp;"!$B$14:$P$89"),15,0)+C51,"")</f>
        <v>190</v>
      </c>
      <c r="D52" s="340">
        <f ca="1">IF(VLOOKUP($A52,INDIRECT(D$1&amp;"!$B$14:$P$89"),15,0)&lt;&gt;"",VLOOKUP($A52,INDIRECT(D$1&amp;"!$B$14:$P$89"),15,0)+D51,"")</f>
        <v>170</v>
      </c>
      <c r="E52" s="340">
        <f ca="1">IF(VLOOKUP($A52,INDIRECT(E$1&amp;"!$B$14:$P$89"),15,0)&lt;&gt;"",VLOOKUP($A52,INDIRECT(E$1&amp;"!$B$14:$P$89"),15,0)+E51,"")</f>
        <v>180</v>
      </c>
      <c r="F52" s="340">
        <f ca="1">IF(VLOOKUP($A52,INDIRECT(F$1&amp;"!$B$14:$P$89"),15,0)&lt;&gt;"",VLOOKUP($A52,INDIRECT(F$1&amp;"!$B$14:$P$89"),15,0)+F51,"")</f>
        <v>215</v>
      </c>
      <c r="G52" s="340">
        <f ca="1">IF(VLOOKUP($A52,INDIRECT(G$1&amp;"!$B$14:$P$89"),15,0)&lt;&gt;"",VLOOKUP($A52,INDIRECT(G$1&amp;"!$B$14:$P$89"),15,0)+G51,"")</f>
        <v>200</v>
      </c>
      <c r="H52" s="340">
        <f ca="1">IF(VLOOKUP($A52,INDIRECT(H$1&amp;"!$B$14:$P$89"),15,0)&lt;&gt;"",VLOOKUP($A52,INDIRECT(H$1&amp;"!$B$14:$P$89"),15,0)+H51,"")</f>
        <v>185</v>
      </c>
      <c r="I52" s="340">
        <f ca="1">IF(VLOOKUP($A52,INDIRECT(I$1&amp;"!$B$14:$P$89"),15,0)&lt;&gt;"",VLOOKUP($A52,INDIRECT(I$1&amp;"!$B$14:$P$89"),15,0)+I51,"")</f>
        <v>195</v>
      </c>
      <c r="J52" s="340">
        <f ca="1">IF(VLOOKUP($A52,INDIRECT(J$1&amp;"!$B$14:$P$89"),15,0)&lt;&gt;"",VLOOKUP($A52,INDIRECT(J$1&amp;"!$B$14:$P$89"),15,0)+J51,"")</f>
        <v>210</v>
      </c>
      <c r="K52" s="340">
        <f ca="1">IF(VLOOKUP($A52,INDIRECT(K$1&amp;"!$B$14:$P$89"),15,0)&lt;&gt;"",VLOOKUP($A52,INDIRECT(K$1&amp;"!$B$14:$P$89"),15,0)+K51,"")</f>
        <v>215</v>
      </c>
      <c r="L52" s="340">
        <f ca="1">IF(VLOOKUP($A52,INDIRECT(L$1&amp;"!$B$14:$P$89"),15,0)&lt;&gt;"",VLOOKUP($A52,INDIRECT(L$1&amp;"!$B$14:$P$89"),15,0)+L51,"")</f>
        <v>215</v>
      </c>
      <c r="M52" s="340">
        <f ca="1">IF(VLOOKUP($A52,INDIRECT(M$1&amp;"!$B$14:$P$89"),15,0)&lt;&gt;"",VLOOKUP($A52,INDIRECT(M$1&amp;"!$B$14:$P$89"),15,0)+M51,"")</f>
        <v>160</v>
      </c>
      <c r="N52" s="340">
        <f ca="1">IF(VLOOKUP($A52,INDIRECT(N$1&amp;"!$B$14:$P$89"),15,0)&lt;&gt;"",VLOOKUP($A52,INDIRECT(N$1&amp;"!$B$14:$P$89"),15,0)+N51,"")</f>
        <v>190</v>
      </c>
      <c r="O52" s="340">
        <f ca="1">IF(VLOOKUP($A52,INDIRECT(O$1&amp;"!$B$14:$P$89"),15,0)&lt;&gt;"",VLOOKUP($A52,INDIRECT(O$1&amp;"!$B$14:$P$89"),15,0)+O51,"")</f>
        <v>180</v>
      </c>
      <c r="P52" s="340">
        <f ca="1">IF(VLOOKUP($A52,INDIRECT(P$1&amp;"!$B$14:$P$89"),15,0)&lt;&gt;"",VLOOKUP($A52,INDIRECT(P$1&amp;"!$B$14:$P$89"),15,0)+P51,"")</f>
        <v>205</v>
      </c>
      <c r="Q52" s="340">
        <f ca="1">IF(VLOOKUP($A52,INDIRECT(Q$1&amp;"!$B$14:$P$89"),15,0)&lt;&gt;"",VLOOKUP($A52,INDIRECT(Q$1&amp;"!$B$14:$P$89"),15,0)+Q51,"")</f>
        <v>180</v>
      </c>
      <c r="R52" s="340">
        <f ca="1">IF(VLOOKUP($A52,INDIRECT(R$1&amp;"!$B$14:$P$89"),15,0)&lt;&gt;"",VLOOKUP($A52,INDIRECT(R$1&amp;"!$B$14:$P$89"),15,0)+R51,"")</f>
        <v>160</v>
      </c>
      <c r="S52" s="340">
        <f ca="1">IF(VLOOKUP($A52,INDIRECT(S$1&amp;"!$B$14:$P$89"),15,0)&lt;&gt;"",VLOOKUP($A52,INDIRECT(S$1&amp;"!$B$14:$P$89"),15,0)+S51,"")</f>
        <v>190</v>
      </c>
      <c r="T52" s="340">
        <f ca="1">IF(VLOOKUP($A52,INDIRECT(T$1&amp;"!$B$14:$P$89"),15,0)&lt;&gt;"",VLOOKUP($A52,INDIRECT(T$1&amp;"!$B$14:$P$89"),15,0)+T51,"")</f>
        <v>195</v>
      </c>
      <c r="U52" s="340">
        <f ca="1">IF(VLOOKUP($A52,INDIRECT(U$1&amp;"!$B$14:$P$89"),15,0)&lt;&gt;"",VLOOKUP($A52,INDIRECT(U$1&amp;"!$B$14:$P$89"),15,0)+U51,"")</f>
        <v>195</v>
      </c>
      <c r="V52" s="340">
        <f ca="1">IF(VLOOKUP($A52,INDIRECT(V$1&amp;"!$B$14:$P$89"),15,0)&lt;&gt;"",VLOOKUP($A52,INDIRECT(V$1&amp;"!$B$14:$P$89"),15,0)+V51,"")</f>
        <v>185</v>
      </c>
      <c r="W52" s="340">
        <f ca="1">IF(VLOOKUP($A52,INDIRECT(W$1&amp;"!$B$14:$P$89"),15,0)&lt;&gt;"",VLOOKUP($A52,INDIRECT(W$1&amp;"!$B$14:$P$89"),15,0)+W51,"")</f>
        <v>180</v>
      </c>
      <c r="X52" s="340">
        <f ca="1">IF(VLOOKUP($A52,INDIRECT(X$1&amp;"!$B$14:$P$89"),15,0)&lt;&gt;"",VLOOKUP($A52,INDIRECT(X$1&amp;"!$B$14:$P$89"),15,0)+X51,"")</f>
        <v>125</v>
      </c>
      <c r="Y52" s="178">
        <f t="shared" ca="1" si="4"/>
        <v>187.27272727272728</v>
      </c>
      <c r="Z52" s="194">
        <f t="shared" ca="1" si="6"/>
        <v>2.045454545454561</v>
      </c>
      <c r="AA52" s="195">
        <f ca="1">IF(C52&lt;&gt;"",C52-$Y52,"")</f>
        <v>2.7272727272727195</v>
      </c>
      <c r="AB52" s="195">
        <f ca="1">IF(D52&lt;&gt;"",D52-$Y52,"")</f>
        <v>-17.27272727272728</v>
      </c>
      <c r="AC52" s="195">
        <f ca="1">IF(E52&lt;&gt;"",E52-$Y52,"")</f>
        <v>-7.2727272727272805</v>
      </c>
      <c r="AD52" s="195">
        <f ca="1">IF(F52&lt;&gt;"",F52-$Y52,"")</f>
        <v>27.72727272727272</v>
      </c>
      <c r="AE52" s="195">
        <f ca="1">IF(G52&lt;&gt;"",G52-$Y52,"")</f>
        <v>12.72727272727272</v>
      </c>
      <c r="AF52" s="195">
        <f ca="1">IF(H52&lt;&gt;"",H52-$Y52,"")</f>
        <v>-2.2727272727272805</v>
      </c>
      <c r="AG52" s="195">
        <f ca="1">IF(I52&lt;&gt;"",I52-$Y52,"")</f>
        <v>7.7272727272727195</v>
      </c>
      <c r="AH52" s="195">
        <f ca="1">IF(J52&lt;&gt;"",J52-$Y52,"")</f>
        <v>22.72727272727272</v>
      </c>
      <c r="AI52" s="195">
        <f ca="1">IF(K52&lt;&gt;"",K52-$Y52,"")</f>
        <v>27.72727272727272</v>
      </c>
      <c r="AJ52" s="195">
        <f ca="1">IF(L52&lt;&gt;"",L52-$Y52,"")</f>
        <v>27.72727272727272</v>
      </c>
      <c r="AK52" s="195">
        <f ca="1">IF(M52&lt;&gt;"",M52-$Y52,"")</f>
        <v>-27.27272727272728</v>
      </c>
      <c r="AL52" s="195">
        <f ca="1">IF(N52&lt;&gt;"",N52-$Y52,"")</f>
        <v>2.7272727272727195</v>
      </c>
      <c r="AM52" s="195">
        <f ca="1">IF(O52&lt;&gt;"",O52-$Y52,"")</f>
        <v>-7.2727272727272805</v>
      </c>
      <c r="AN52" s="195">
        <f ca="1">IF(P52&lt;&gt;"",P52-$Y52,"")</f>
        <v>17.72727272727272</v>
      </c>
      <c r="AO52" s="195">
        <f ca="1">IF(S52&lt;&gt;"",S52-$Y52,"")</f>
        <v>2.7272727272727195</v>
      </c>
      <c r="AP52" s="195">
        <f ca="1">IF(T52&lt;&gt;"",T52-$Y52,"")</f>
        <v>7.7272727272727195</v>
      </c>
      <c r="AQ52" s="195">
        <f ca="1">IF(U52&lt;&gt;"",U52-$Y52,"")</f>
        <v>7.7272727272727195</v>
      </c>
      <c r="AR52" s="195">
        <f ca="1">IF(V52&lt;&gt;"",V52-$Y52,"")</f>
        <v>-2.2727272727272805</v>
      </c>
      <c r="AS52" s="195">
        <f ca="1">IF(W52&lt;&gt;"",W52-$Y52,"")</f>
        <v>-7.2727272727272805</v>
      </c>
      <c r="AT52" s="195">
        <f ca="1">IF(Q52&lt;&gt;"",Q52-$Y52,"")</f>
        <v>-7.2727272727272805</v>
      </c>
      <c r="AU52" s="195">
        <f ca="1">IF(R52&lt;&gt;"",R52-$Y52,"")</f>
        <v>-27.27272727272728</v>
      </c>
      <c r="AV52" s="195">
        <f t="shared" ca="1" si="5"/>
        <v>-62.27272727272728</v>
      </c>
    </row>
    <row r="53" spans="1:48">
      <c r="A53" s="189">
        <v>46</v>
      </c>
      <c r="B53" s="166" t="str">
        <f>VLOOKUP($A53,Willem!$B$14:$P$89,4,0)&amp;"-"&amp;VLOOKUP($A53,Willem!$B$14:$P$89,6,0)</f>
        <v>Noord-Korea  -  Ivoorkust</v>
      </c>
      <c r="C53" s="341">
        <f ca="1">IF(VLOOKUP($A53,INDIRECT(C$1&amp;"!$B$14:$P$89"),15,0)&lt;&gt;"",VLOOKUP($A53,INDIRECT(C$1&amp;"!$B$14:$P$89"),15,0)+C52,"")</f>
        <v>195</v>
      </c>
      <c r="D53" s="341">
        <f ca="1">IF(VLOOKUP($A53,INDIRECT(D$1&amp;"!$B$14:$P$89"),15,0)&lt;&gt;"",VLOOKUP($A53,INDIRECT(D$1&amp;"!$B$14:$P$89"),15,0)+D52,"")</f>
        <v>175</v>
      </c>
      <c r="E53" s="341">
        <f ca="1">IF(VLOOKUP($A53,INDIRECT(E$1&amp;"!$B$14:$P$89"),15,0)&lt;&gt;"",VLOOKUP($A53,INDIRECT(E$1&amp;"!$B$14:$P$89"),15,0)+E52,"")</f>
        <v>185</v>
      </c>
      <c r="F53" s="341">
        <f ca="1">IF(VLOOKUP($A53,INDIRECT(F$1&amp;"!$B$14:$P$89"),15,0)&lt;&gt;"",VLOOKUP($A53,INDIRECT(F$1&amp;"!$B$14:$P$89"),15,0)+F52,"")</f>
        <v>215</v>
      </c>
      <c r="G53" s="341">
        <f ca="1">IF(VLOOKUP($A53,INDIRECT(G$1&amp;"!$B$14:$P$89"),15,0)&lt;&gt;"",VLOOKUP($A53,INDIRECT(G$1&amp;"!$B$14:$P$89"),15,0)+G52,"")</f>
        <v>210</v>
      </c>
      <c r="H53" s="341">
        <f ca="1">IF(VLOOKUP($A53,INDIRECT(H$1&amp;"!$B$14:$P$89"),15,0)&lt;&gt;"",VLOOKUP($A53,INDIRECT(H$1&amp;"!$B$14:$P$89"),15,0)+H52,"")</f>
        <v>185</v>
      </c>
      <c r="I53" s="341">
        <f ca="1">IF(VLOOKUP($A53,INDIRECT(I$1&amp;"!$B$14:$P$89"),15,0)&lt;&gt;"",VLOOKUP($A53,INDIRECT(I$1&amp;"!$B$14:$P$89"),15,0)+I52,"")</f>
        <v>200</v>
      </c>
      <c r="J53" s="341">
        <f ca="1">IF(VLOOKUP($A53,INDIRECT(J$1&amp;"!$B$14:$P$89"),15,0)&lt;&gt;"",VLOOKUP($A53,INDIRECT(J$1&amp;"!$B$14:$P$89"),15,0)+J52,"")</f>
        <v>215</v>
      </c>
      <c r="K53" s="341">
        <f ca="1">IF(VLOOKUP($A53,INDIRECT(K$1&amp;"!$B$14:$P$89"),15,0)&lt;&gt;"",VLOOKUP($A53,INDIRECT(K$1&amp;"!$B$14:$P$89"),15,0)+K52,"")</f>
        <v>220</v>
      </c>
      <c r="L53" s="341">
        <f ca="1">IF(VLOOKUP($A53,INDIRECT(L$1&amp;"!$B$14:$P$89"),15,0)&lt;&gt;"",VLOOKUP($A53,INDIRECT(L$1&amp;"!$B$14:$P$89"),15,0)+L52,"")</f>
        <v>225</v>
      </c>
      <c r="M53" s="341">
        <f ca="1">IF(VLOOKUP($A53,INDIRECT(M$1&amp;"!$B$14:$P$89"),15,0)&lt;&gt;"",VLOOKUP($A53,INDIRECT(M$1&amp;"!$B$14:$P$89"),15,0)+M52,"")</f>
        <v>165</v>
      </c>
      <c r="N53" s="341">
        <f ca="1">IF(VLOOKUP($A53,INDIRECT(N$1&amp;"!$B$14:$P$89"),15,0)&lt;&gt;"",VLOOKUP($A53,INDIRECT(N$1&amp;"!$B$14:$P$89"),15,0)+N52,"")</f>
        <v>195</v>
      </c>
      <c r="O53" s="341">
        <f ca="1">IF(VLOOKUP($A53,INDIRECT(O$1&amp;"!$B$14:$P$89"),15,0)&lt;&gt;"",VLOOKUP($A53,INDIRECT(O$1&amp;"!$B$14:$P$89"),15,0)+O52,"")</f>
        <v>185</v>
      </c>
      <c r="P53" s="341">
        <f ca="1">IF(VLOOKUP($A53,INDIRECT(P$1&amp;"!$B$14:$P$89"),15,0)&lt;&gt;"",VLOOKUP($A53,INDIRECT(P$1&amp;"!$B$14:$P$89"),15,0)+P52,"")</f>
        <v>210</v>
      </c>
      <c r="Q53" s="341">
        <f ca="1">IF(VLOOKUP($A53,INDIRECT(Q$1&amp;"!$B$14:$P$89"),15,0)&lt;&gt;"",VLOOKUP($A53,INDIRECT(Q$1&amp;"!$B$14:$P$89"),15,0)+Q52,"")</f>
        <v>180</v>
      </c>
      <c r="R53" s="341">
        <f ca="1">IF(VLOOKUP($A53,INDIRECT(R$1&amp;"!$B$14:$P$89"),15,0)&lt;&gt;"",VLOOKUP($A53,INDIRECT(R$1&amp;"!$B$14:$P$89"),15,0)+R52,"")</f>
        <v>165</v>
      </c>
      <c r="S53" s="341">
        <f ca="1">IF(VLOOKUP($A53,INDIRECT(S$1&amp;"!$B$14:$P$89"),15,0)&lt;&gt;"",VLOOKUP($A53,INDIRECT(S$1&amp;"!$B$14:$P$89"),15,0)+S52,"")</f>
        <v>195</v>
      </c>
      <c r="T53" s="341">
        <f ca="1">IF(VLOOKUP($A53,INDIRECT(T$1&amp;"!$B$14:$P$89"),15,0)&lt;&gt;"",VLOOKUP($A53,INDIRECT(T$1&amp;"!$B$14:$P$89"),15,0)+T52,"")</f>
        <v>200</v>
      </c>
      <c r="U53" s="341">
        <f ca="1">IF(VLOOKUP($A53,INDIRECT(U$1&amp;"!$B$14:$P$89"),15,0)&lt;&gt;"",VLOOKUP($A53,INDIRECT(U$1&amp;"!$B$14:$P$89"),15,0)+U52,"")</f>
        <v>200</v>
      </c>
      <c r="V53" s="341">
        <f ca="1">IF(VLOOKUP($A53,INDIRECT(V$1&amp;"!$B$14:$P$89"),15,0)&lt;&gt;"",VLOOKUP($A53,INDIRECT(V$1&amp;"!$B$14:$P$89"),15,0)+V52,"")</f>
        <v>185</v>
      </c>
      <c r="W53" s="341">
        <f ca="1">IF(VLOOKUP($A53,INDIRECT(W$1&amp;"!$B$14:$P$89"),15,0)&lt;&gt;"",VLOOKUP($A53,INDIRECT(W$1&amp;"!$B$14:$P$89"),15,0)+W52,"")</f>
        <v>185</v>
      </c>
      <c r="X53" s="341">
        <f ca="1">IF(VLOOKUP($A53,INDIRECT(X$1&amp;"!$B$14:$P$89"),15,0)&lt;&gt;"",VLOOKUP($A53,INDIRECT(X$1&amp;"!$B$14:$P$89"),15,0)+X52,"")</f>
        <v>130</v>
      </c>
      <c r="Y53" s="178">
        <f t="shared" ca="1" si="4"/>
        <v>191.81818181818181</v>
      </c>
      <c r="Z53" s="194">
        <f t="shared" ca="1" si="6"/>
        <v>4.5454545454545325</v>
      </c>
      <c r="AA53" s="195">
        <f ca="1">IF(C53&lt;&gt;"",C53-$Y53,"")</f>
        <v>3.181818181818187</v>
      </c>
      <c r="AB53" s="195">
        <f ca="1">IF(D53&lt;&gt;"",D53-$Y53,"")</f>
        <v>-16.818181818181813</v>
      </c>
      <c r="AC53" s="195">
        <f ca="1">IF(E53&lt;&gt;"",E53-$Y53,"")</f>
        <v>-6.818181818181813</v>
      </c>
      <c r="AD53" s="195">
        <f ca="1">IF(F53&lt;&gt;"",F53-$Y53,"")</f>
        <v>23.181818181818187</v>
      </c>
      <c r="AE53" s="195">
        <f ca="1">IF(G53&lt;&gt;"",G53-$Y53,"")</f>
        <v>18.181818181818187</v>
      </c>
      <c r="AF53" s="195">
        <f ca="1">IF(H53&lt;&gt;"",H53-$Y53,"")</f>
        <v>-6.818181818181813</v>
      </c>
      <c r="AG53" s="195">
        <f ca="1">IF(I53&lt;&gt;"",I53-$Y53,"")</f>
        <v>8.181818181818187</v>
      </c>
      <c r="AH53" s="195">
        <f ca="1">IF(J53&lt;&gt;"",J53-$Y53,"")</f>
        <v>23.181818181818187</v>
      </c>
      <c r="AI53" s="195">
        <f ca="1">IF(K53&lt;&gt;"",K53-$Y53,"")</f>
        <v>28.181818181818187</v>
      </c>
      <c r="AJ53" s="195">
        <f ca="1">IF(L53&lt;&gt;"",L53-$Y53,"")</f>
        <v>33.181818181818187</v>
      </c>
      <c r="AK53" s="195">
        <f ca="1">IF(M53&lt;&gt;"",M53-$Y53,"")</f>
        <v>-26.818181818181813</v>
      </c>
      <c r="AL53" s="195">
        <f ca="1">IF(N53&lt;&gt;"",N53-$Y53,"")</f>
        <v>3.181818181818187</v>
      </c>
      <c r="AM53" s="195">
        <f ca="1">IF(O53&lt;&gt;"",O53-$Y53,"")</f>
        <v>-6.818181818181813</v>
      </c>
      <c r="AN53" s="195">
        <f ca="1">IF(P53&lt;&gt;"",P53-$Y53,"")</f>
        <v>18.181818181818187</v>
      </c>
      <c r="AO53" s="195">
        <f ca="1">IF(S53&lt;&gt;"",S53-$Y53,"")</f>
        <v>3.181818181818187</v>
      </c>
      <c r="AP53" s="195">
        <f ca="1">IF(T53&lt;&gt;"",T53-$Y53,"")</f>
        <v>8.181818181818187</v>
      </c>
      <c r="AQ53" s="195">
        <f ca="1">IF(U53&lt;&gt;"",U53-$Y53,"")</f>
        <v>8.181818181818187</v>
      </c>
      <c r="AR53" s="195">
        <f ca="1">IF(V53&lt;&gt;"",V53-$Y53,"")</f>
        <v>-6.818181818181813</v>
      </c>
      <c r="AS53" s="195">
        <f ca="1">IF(W53&lt;&gt;"",W53-$Y53,"")</f>
        <v>-6.818181818181813</v>
      </c>
      <c r="AT53" s="195">
        <f ca="1">IF(Q53&lt;&gt;"",Q53-$Y53,"")</f>
        <v>-11.818181818181813</v>
      </c>
      <c r="AU53" s="195">
        <f ca="1">IF(R53&lt;&gt;"",R53-$Y53,"")</f>
        <v>-26.818181818181813</v>
      </c>
      <c r="AV53" s="195">
        <f t="shared" ca="1" si="5"/>
        <v>-61.818181818181813</v>
      </c>
    </row>
    <row r="54" spans="1:48">
      <c r="A54" s="196" t="str">
        <f>B54</f>
        <v>Boni</v>
      </c>
      <c r="B54" s="166" t="s">
        <v>507</v>
      </c>
      <c r="C54" s="178">
        <f ca="1">IF(VLOOKUP($A53,INDIRECT(C$1&amp;"!$B$14:$P$89"),15,0)&lt;&gt;"",C53+IF(ISNA(MATCH(Invulblad!$S$59,INDIRECT(C$1&amp;"!$E$70:$E$77"),0)),0,10)+IF(ISNA(MATCH(Invulblad!$S$59,INDIRECT(C$1&amp;"!$G$70:$G$77"),0)),0,10)+IF(ISNA(MATCH(Invulblad!$S$60,INDIRECT(C$1&amp;"!$E$70:$E$77"),0)),0,10)+IF(ISNA(MATCH(Invulblad!$S$60,INDIRECT(C$1&amp;"!$G$70:$G$77"),0)),0,10),"")</f>
        <v>215</v>
      </c>
      <c r="D54" s="178">
        <f ca="1">IF(VLOOKUP($A53,INDIRECT(D$1&amp;"!$B$14:$P$89"),15,0)&lt;&gt;"",D53+IF(ISNA(MATCH(Invulblad!$S$59,INDIRECT(D$1&amp;"!$E$70:$E$77"),0)),0,10)+IF(ISNA(MATCH(Invulblad!$S$59,INDIRECT(D$1&amp;"!$G$70:$G$77"),0)),0,10)+IF(ISNA(MATCH(Invulblad!$S$60,INDIRECT(D$1&amp;"!$E$70:$E$77"),0)),0,10)+IF(ISNA(MATCH(Invulblad!$S$60,INDIRECT(D$1&amp;"!$G$70:$G$77"),0)),0,10),"")</f>
        <v>185</v>
      </c>
      <c r="E54" s="178">
        <f ca="1">IF(VLOOKUP($A53,INDIRECT(E$1&amp;"!$B$14:$P$89"),15,0)&lt;&gt;"",E53+IF(ISNA(MATCH(Invulblad!$S$59,INDIRECT(E$1&amp;"!$E$70:$E$77"),0)),0,10)+IF(ISNA(MATCH(Invulblad!$S$59,INDIRECT(E$1&amp;"!$G$70:$G$77"),0)),0,10)+IF(ISNA(MATCH(Invulblad!$S$60,INDIRECT(E$1&amp;"!$E$70:$E$77"),0)),0,10)+IF(ISNA(MATCH(Invulblad!$S$60,INDIRECT(E$1&amp;"!$G$70:$G$77"),0)),0,10),"")</f>
        <v>205</v>
      </c>
      <c r="F54" s="178">
        <f ca="1">IF(VLOOKUP($A53,INDIRECT(F$1&amp;"!$B$14:$P$89"),15,0)&lt;&gt;"",F53+IF(ISNA(MATCH(Invulblad!$S$59,INDIRECT(F$1&amp;"!$E$70:$E$77"),0)),0,10)+IF(ISNA(MATCH(Invulblad!$S$59,INDIRECT(F$1&amp;"!$G$70:$G$77"),0)),0,10)+IF(ISNA(MATCH(Invulblad!$S$60,INDIRECT(F$1&amp;"!$E$70:$E$77"),0)),0,10)+IF(ISNA(MATCH(Invulblad!$S$60,INDIRECT(F$1&amp;"!$G$70:$G$77"),0)),0,10),"")</f>
        <v>235</v>
      </c>
      <c r="G54" s="178">
        <f ca="1">IF(VLOOKUP($A53,INDIRECT(G$1&amp;"!$B$14:$P$89"),15,0)&lt;&gt;"",G53+IF(ISNA(MATCH(Invulblad!$S$59,INDIRECT(G$1&amp;"!$E$70:$E$77"),0)),0,10)+IF(ISNA(MATCH(Invulblad!$S$59,INDIRECT(G$1&amp;"!$G$70:$G$77"),0)),0,10)+IF(ISNA(MATCH(Invulblad!$S$60,INDIRECT(G$1&amp;"!$E$70:$E$77"),0)),0,10)+IF(ISNA(MATCH(Invulblad!$S$60,INDIRECT(G$1&amp;"!$G$70:$G$77"),0)),0,10),"")</f>
        <v>220</v>
      </c>
      <c r="H54" s="178">
        <f ca="1">IF(VLOOKUP($A53,INDIRECT(H$1&amp;"!$B$14:$P$89"),15,0)&lt;&gt;"",H53+IF(ISNA(MATCH(Invulblad!$S$59,INDIRECT(H$1&amp;"!$E$70:$E$77"),0)),0,10)+IF(ISNA(MATCH(Invulblad!$S$59,INDIRECT(H$1&amp;"!$G$70:$G$77"),0)),0,10)+IF(ISNA(MATCH(Invulblad!$S$60,INDIRECT(H$1&amp;"!$E$70:$E$77"),0)),0,10)+IF(ISNA(MATCH(Invulblad!$S$60,INDIRECT(H$1&amp;"!$G$70:$G$77"),0)),0,10),"")</f>
        <v>195</v>
      </c>
      <c r="I54" s="178">
        <f ca="1">IF(VLOOKUP($A53,INDIRECT(I$1&amp;"!$B$14:$P$89"),15,0)&lt;&gt;"",I53+IF(ISNA(MATCH(Invulblad!$S$59,INDIRECT(I$1&amp;"!$E$70:$E$77"),0)),0,10)+IF(ISNA(MATCH(Invulblad!$S$59,INDIRECT(I$1&amp;"!$G$70:$G$77"),0)),0,10)+IF(ISNA(MATCH(Invulblad!$S$60,INDIRECT(I$1&amp;"!$E$70:$E$77"),0)),0,10)+IF(ISNA(MATCH(Invulblad!$S$60,INDIRECT(I$1&amp;"!$G$70:$G$77"),0)),0,10),"")</f>
        <v>220</v>
      </c>
      <c r="J54" s="178">
        <f ca="1">IF(VLOOKUP($A53,INDIRECT(J$1&amp;"!$B$14:$P$89"),15,0)&lt;&gt;"",J53+IF(ISNA(MATCH(Invulblad!$S$59,INDIRECT(J$1&amp;"!$E$70:$E$77"),0)),0,10)+IF(ISNA(MATCH(Invulblad!$S$59,INDIRECT(J$1&amp;"!$G$70:$G$77"),0)),0,10)+IF(ISNA(MATCH(Invulblad!$S$60,INDIRECT(J$1&amp;"!$E$70:$E$77"),0)),0,10)+IF(ISNA(MATCH(Invulblad!$S$60,INDIRECT(J$1&amp;"!$G$70:$G$77"),0)),0,10),"")</f>
        <v>225</v>
      </c>
      <c r="K54" s="178">
        <f ca="1">IF(VLOOKUP($A53,INDIRECT(K$1&amp;"!$B$14:$P$89"),15,0)&lt;&gt;"",K53+IF(ISNA(MATCH(Invulblad!$S$59,INDIRECT(K$1&amp;"!$E$70:$E$77"),0)),0,10)+IF(ISNA(MATCH(Invulblad!$S$59,INDIRECT(K$1&amp;"!$G$70:$G$77"),0)),0,10)+IF(ISNA(MATCH(Invulblad!$S$60,INDIRECT(K$1&amp;"!$E$70:$E$77"),0)),0,10)+IF(ISNA(MATCH(Invulblad!$S$60,INDIRECT(K$1&amp;"!$G$70:$G$77"),0)),0,10),"")</f>
        <v>240</v>
      </c>
      <c r="L54" s="178">
        <f ca="1">IF(VLOOKUP($A53,INDIRECT(L$1&amp;"!$B$14:$P$89"),15,0)&lt;&gt;"",L53+IF(ISNA(MATCH(Invulblad!$S$59,INDIRECT(L$1&amp;"!$E$70:$E$77"),0)),0,10)+IF(ISNA(MATCH(Invulblad!$S$59,INDIRECT(L$1&amp;"!$G$70:$G$77"),0)),0,10)+IF(ISNA(MATCH(Invulblad!$S$60,INDIRECT(L$1&amp;"!$E$70:$E$77"),0)),0,10)+IF(ISNA(MATCH(Invulblad!$S$60,INDIRECT(L$1&amp;"!$G$70:$G$77"),0)),0,10),"")</f>
        <v>235</v>
      </c>
      <c r="M54" s="178">
        <f ca="1">IF(VLOOKUP($A53,INDIRECT(M$1&amp;"!$B$14:$P$89"),15,0)&lt;&gt;"",M53+IF(ISNA(MATCH(Invulblad!$S$59,INDIRECT(M$1&amp;"!$E$70:$E$77"),0)),0,10)+IF(ISNA(MATCH(Invulblad!$S$59,INDIRECT(M$1&amp;"!$G$70:$G$77"),0)),0,10)+IF(ISNA(MATCH(Invulblad!$S$60,INDIRECT(M$1&amp;"!$E$70:$E$77"),0)),0,10)+IF(ISNA(MATCH(Invulblad!$S$60,INDIRECT(M$1&amp;"!$G$70:$G$77"),0)),0,10),"")</f>
        <v>185</v>
      </c>
      <c r="N54" s="178">
        <f ca="1">IF(VLOOKUP($A53,INDIRECT(N$1&amp;"!$B$14:$P$89"),15,0)&lt;&gt;"",N53+IF(ISNA(MATCH(Invulblad!$S$59,INDIRECT(N$1&amp;"!$E$70:$E$77"),0)),0,10)+IF(ISNA(MATCH(Invulblad!$S$59,INDIRECT(N$1&amp;"!$G$70:$G$77"),0)),0,10)+IF(ISNA(MATCH(Invulblad!$S$60,INDIRECT(N$1&amp;"!$E$70:$E$77"),0)),0,10)+IF(ISNA(MATCH(Invulblad!$S$60,INDIRECT(N$1&amp;"!$G$70:$G$77"),0)),0,10),"")</f>
        <v>215</v>
      </c>
      <c r="O54" s="178">
        <f ca="1">IF(VLOOKUP($A53,INDIRECT(O$1&amp;"!$B$14:$P$89"),15,0)&lt;&gt;"",O53+IF(ISNA(MATCH(Invulblad!$S$59,INDIRECT(O$1&amp;"!$E$70:$E$77"),0)),0,10)+IF(ISNA(MATCH(Invulblad!$S$59,INDIRECT(O$1&amp;"!$G$70:$G$77"),0)),0,10)+IF(ISNA(MATCH(Invulblad!$S$60,INDIRECT(O$1&amp;"!$E$70:$E$77"),0)),0,10)+IF(ISNA(MATCH(Invulblad!$S$60,INDIRECT(O$1&amp;"!$G$70:$G$77"),0)),0,10),"")</f>
        <v>195</v>
      </c>
      <c r="P54" s="178">
        <f ca="1">IF(VLOOKUP($A53,INDIRECT(P$1&amp;"!$B$14:$P$89"),15,0)&lt;&gt;"",P53+IF(ISNA(MATCH(Invulblad!$S$59,INDIRECT(P$1&amp;"!$E$70:$E$77"),0)),0,10)+IF(ISNA(MATCH(Invulblad!$S$59,INDIRECT(P$1&amp;"!$G$70:$G$77"),0)),0,10)+IF(ISNA(MATCH(Invulblad!$S$60,INDIRECT(P$1&amp;"!$E$70:$E$77"),0)),0,10)+IF(ISNA(MATCH(Invulblad!$S$60,INDIRECT(P$1&amp;"!$G$70:$G$77"),0)),0,10),"")</f>
        <v>230</v>
      </c>
      <c r="Q54" s="178">
        <f ca="1">IF(VLOOKUP($A53,INDIRECT(Q$1&amp;"!$B$14:$P$89"),15,0)&lt;&gt;"",Q53+IF(ISNA(MATCH(Invulblad!$S$59,INDIRECT(Q$1&amp;"!$E$70:$E$77"),0)),0,10)+IF(ISNA(MATCH(Invulblad!$S$59,INDIRECT(Q$1&amp;"!$G$70:$G$77"),0)),0,10)+IF(ISNA(MATCH(Invulblad!$S$60,INDIRECT(Q$1&amp;"!$E$70:$E$77"),0)),0,10)+IF(ISNA(MATCH(Invulblad!$S$60,INDIRECT(Q$1&amp;"!$G$70:$G$77"),0)),0,10),"")</f>
        <v>200</v>
      </c>
      <c r="R54" s="178">
        <f ca="1">IF(VLOOKUP($A53,INDIRECT(R$1&amp;"!$B$14:$P$89"),15,0)&lt;&gt;"",R53+IF(ISNA(MATCH(Invulblad!$S$59,INDIRECT(R$1&amp;"!$E$70:$E$77"),0)),0,10)+IF(ISNA(MATCH(Invulblad!$S$59,INDIRECT(R$1&amp;"!$G$70:$G$77"),0)),0,10)+IF(ISNA(MATCH(Invulblad!$S$60,INDIRECT(R$1&amp;"!$E$70:$E$77"),0)),0,10)+IF(ISNA(MATCH(Invulblad!$S$60,INDIRECT(R$1&amp;"!$G$70:$G$77"),0)),0,10),"")</f>
        <v>175</v>
      </c>
      <c r="S54" s="178">
        <f ca="1">IF(VLOOKUP($A53,INDIRECT(S$1&amp;"!$B$14:$P$89"),15,0)&lt;&gt;"",S53+IF(ISNA(MATCH(Invulblad!$S$59,INDIRECT(S$1&amp;"!$E$70:$E$77"),0)),0,10)+IF(ISNA(MATCH(Invulblad!$S$59,INDIRECT(S$1&amp;"!$G$70:$G$77"),0)),0,10)+IF(ISNA(MATCH(Invulblad!$S$60,INDIRECT(S$1&amp;"!$E$70:$E$77"),0)),0,10)+IF(ISNA(MATCH(Invulblad!$S$60,INDIRECT(S$1&amp;"!$G$70:$G$77"),0)),0,10),"")</f>
        <v>215</v>
      </c>
      <c r="T54" s="178">
        <f ca="1">IF(VLOOKUP($A53,INDIRECT(T$1&amp;"!$B$14:$P$89"),15,0)&lt;&gt;"",T53+IF(ISNA(MATCH(Invulblad!$S$59,INDIRECT(T$1&amp;"!$E$70:$E$77"),0)),0,10)+IF(ISNA(MATCH(Invulblad!$S$59,INDIRECT(T$1&amp;"!$G$70:$G$77"),0)),0,10)+IF(ISNA(MATCH(Invulblad!$S$60,INDIRECT(T$1&amp;"!$E$70:$E$77"),0)),0,10)+IF(ISNA(MATCH(Invulblad!$S$60,INDIRECT(T$1&amp;"!$G$70:$G$77"),0)),0,10),"")</f>
        <v>220</v>
      </c>
      <c r="U54" s="178">
        <f ca="1">IF(VLOOKUP($A53,INDIRECT(U$1&amp;"!$B$14:$P$89"),15,0)&lt;&gt;"",U53+IF(ISNA(MATCH(Invulblad!$S$59,INDIRECT(U$1&amp;"!$E$70:$E$77"),0)),0,10)+IF(ISNA(MATCH(Invulblad!$S$59,INDIRECT(U$1&amp;"!$G$70:$G$77"),0)),0,10)+IF(ISNA(MATCH(Invulblad!$S$60,INDIRECT(U$1&amp;"!$E$70:$E$77"),0)),0,10)+IF(ISNA(MATCH(Invulblad!$S$60,INDIRECT(U$1&amp;"!$G$70:$G$77"),0)),0,10),"")</f>
        <v>210</v>
      </c>
      <c r="V54" s="178">
        <f ca="1">IF(VLOOKUP($A53,INDIRECT(V$1&amp;"!$B$14:$P$89"),15,0)&lt;&gt;"",V53+IF(ISNA(MATCH(Invulblad!$S$59,INDIRECT(V$1&amp;"!$E$70:$E$77"),0)),0,10)+IF(ISNA(MATCH(Invulblad!$S$59,INDIRECT(V$1&amp;"!$G$70:$G$77"),0)),0,10)+IF(ISNA(MATCH(Invulblad!$S$60,INDIRECT(V$1&amp;"!$E$70:$E$77"),0)),0,10)+IF(ISNA(MATCH(Invulblad!$S$60,INDIRECT(V$1&amp;"!$G$70:$G$77"),0)),0,10),"")</f>
        <v>205</v>
      </c>
      <c r="W54" s="178">
        <f ca="1">IF(VLOOKUP($A53,INDIRECT(W$1&amp;"!$B$14:$P$89"),15,0)&lt;&gt;"",W53+IF(ISNA(MATCH(Invulblad!$S$59,INDIRECT(W$1&amp;"!$E$70:$E$77"),0)),0,10)+IF(ISNA(MATCH(Invulblad!$S$59,INDIRECT(W$1&amp;"!$G$70:$G$77"),0)),0,10)+IF(ISNA(MATCH(Invulblad!$S$60,INDIRECT(W$1&amp;"!$E$70:$E$77"),0)),0,10)+IF(ISNA(MATCH(Invulblad!$S$60,INDIRECT(W$1&amp;"!$G$70:$G$77"),0)),0,10),"")</f>
        <v>205</v>
      </c>
      <c r="X54" s="178">
        <f ca="1">IF(VLOOKUP($A53,INDIRECT(X$1&amp;"!$B$14:$P$89"),15,0)&lt;&gt;"",X53+IF(ISNA(MATCH(Invulblad!$S$59,INDIRECT(X$1&amp;"!$E$70:$E$77"),0)),0,10)+IF(ISNA(MATCH(Invulblad!$S$59,INDIRECT(X$1&amp;"!$G$70:$G$77"),0)),0,10)+IF(ISNA(MATCH(Invulblad!$S$60,INDIRECT(X$1&amp;"!$E$70:$E$77"),0)),0,10)+IF(ISNA(MATCH(Invulblad!$S$60,INDIRECT(X$1&amp;"!$G$70:$G$77"),0)),0,10),"")</f>
        <v>140</v>
      </c>
      <c r="Y54" s="178">
        <f t="shared" ca="1" si="4"/>
        <v>207.72727272727272</v>
      </c>
      <c r="Z54" s="194">
        <f t="shared" ca="1" si="6"/>
        <v>15.909090909090907</v>
      </c>
      <c r="AA54" s="195">
        <f ca="1">IF(C54&lt;&gt;"",C54-$Y54,"")</f>
        <v>7.2727272727272805</v>
      </c>
      <c r="AB54" s="195">
        <f ca="1">IF(D54&lt;&gt;"",D54-$Y54,"")</f>
        <v>-22.72727272727272</v>
      </c>
      <c r="AC54" s="195">
        <f ca="1">IF(E54&lt;&gt;"",E54-$Y54,"")</f>
        <v>-2.7272727272727195</v>
      </c>
      <c r="AD54" s="195">
        <f ca="1">IF(F54&lt;&gt;"",F54-$Y54,"")</f>
        <v>27.27272727272728</v>
      </c>
      <c r="AE54" s="195">
        <f ca="1">IF(G54&lt;&gt;"",G54-$Y54,"")</f>
        <v>12.27272727272728</v>
      </c>
      <c r="AF54" s="195">
        <f ca="1">IF(H54&lt;&gt;"",H54-$Y54,"")</f>
        <v>-12.72727272727272</v>
      </c>
      <c r="AG54" s="195">
        <f ca="1">IF(I54&lt;&gt;"",I54-$Y54,"")</f>
        <v>12.27272727272728</v>
      </c>
      <c r="AH54" s="195">
        <f ca="1">IF(J54&lt;&gt;"",J54-$Y54,"")</f>
        <v>17.27272727272728</v>
      </c>
      <c r="AI54" s="195">
        <f ca="1">IF(K54&lt;&gt;"",K54-$Y54,"")</f>
        <v>32.27272727272728</v>
      </c>
      <c r="AJ54" s="195">
        <f ca="1">IF(L54&lt;&gt;"",L54-$Y54,"")</f>
        <v>27.27272727272728</v>
      </c>
      <c r="AK54" s="195">
        <f ca="1">IF(M54&lt;&gt;"",M54-$Y54,"")</f>
        <v>-22.72727272727272</v>
      </c>
      <c r="AL54" s="195">
        <f ca="1">IF(N54&lt;&gt;"",N54-$Y54,"")</f>
        <v>7.2727272727272805</v>
      </c>
      <c r="AM54" s="195">
        <f ca="1">IF(O54&lt;&gt;"",O54-$Y54,"")</f>
        <v>-12.72727272727272</v>
      </c>
      <c r="AN54" s="195">
        <f ca="1">IF(P54&lt;&gt;"",P54-$Y54,"")</f>
        <v>22.27272727272728</v>
      </c>
      <c r="AO54" s="195">
        <f ca="1">IF(S54&lt;&gt;"",S54-$Y54,"")</f>
        <v>7.2727272727272805</v>
      </c>
      <c r="AP54" s="195">
        <f ca="1">IF(T54&lt;&gt;"",T54-$Y54,"")</f>
        <v>12.27272727272728</v>
      </c>
      <c r="AQ54" s="195">
        <f ca="1">IF(U54&lt;&gt;"",U54-$Y54,"")</f>
        <v>2.2727272727272805</v>
      </c>
      <c r="AR54" s="195">
        <f ca="1">IF(V54&lt;&gt;"",V54-$Y54,"")</f>
        <v>-2.7272727272727195</v>
      </c>
      <c r="AS54" s="195">
        <f ca="1">IF(W54&lt;&gt;"",W54-$Y54,"")</f>
        <v>-2.7272727272727195</v>
      </c>
      <c r="AT54" s="195">
        <f ca="1">IF(Q54&lt;&gt;"",Q54-$Y54,"")</f>
        <v>-7.7272727272727195</v>
      </c>
      <c r="AU54" s="195">
        <f ca="1">IF(R54&lt;&gt;"",R54-$Y54,"")</f>
        <v>-32.72727272727272</v>
      </c>
      <c r="AV54" s="195">
        <f t="shared" ca="1" si="5"/>
        <v>-67.72727272727272</v>
      </c>
    </row>
    <row r="55" spans="1:48">
      <c r="A55" s="189">
        <v>47</v>
      </c>
      <c r="B55" s="165" t="str">
        <f>VLOOKUP($A55,Willem!$B$14:$P$89,4,0)&amp;"-"&amp;VLOOKUP($A55,Willem!$B$14:$P$89,6,0)</f>
        <v>Chili  -  Spanje</v>
      </c>
      <c r="C55" s="340">
        <f ca="1">IF(VLOOKUP($A55,INDIRECT(C$1&amp;"!$B$14:$P$89"),15,0)&lt;&gt;"",VLOOKUP($A55,INDIRECT(C$1&amp;"!$B$14:$P$89"),15,0)+C54,"")</f>
        <v>220</v>
      </c>
      <c r="D55" s="340">
        <f ca="1">IF(VLOOKUP($A55,INDIRECT(D$1&amp;"!$B$14:$P$89"),15,0)&lt;&gt;"",VLOOKUP($A55,INDIRECT(D$1&amp;"!$B$14:$P$89"),15,0)+D54,"")</f>
        <v>190</v>
      </c>
      <c r="E55" s="340">
        <f ca="1">IF(VLOOKUP($A55,INDIRECT(E$1&amp;"!$B$14:$P$89"),15,0)&lt;&gt;"",VLOOKUP($A55,INDIRECT(E$1&amp;"!$B$14:$P$89"),15,0)+E54,"")</f>
        <v>210</v>
      </c>
      <c r="F55" s="340">
        <f ca="1">IF(VLOOKUP($A55,INDIRECT(F$1&amp;"!$B$14:$P$89"),15,0)&lt;&gt;"",VLOOKUP($A55,INDIRECT(F$1&amp;"!$B$14:$P$89"),15,0)+F54,"")</f>
        <v>240</v>
      </c>
      <c r="G55" s="340">
        <f ca="1">IF(VLOOKUP($A55,INDIRECT(G$1&amp;"!$B$14:$P$89"),15,0)&lt;&gt;"",VLOOKUP($A55,INDIRECT(G$1&amp;"!$B$14:$P$89"),15,0)+G54,"")</f>
        <v>220</v>
      </c>
      <c r="H55" s="340">
        <f ca="1">IF(VLOOKUP($A55,INDIRECT(H$1&amp;"!$B$14:$P$89"),15,0)&lt;&gt;"",VLOOKUP($A55,INDIRECT(H$1&amp;"!$B$14:$P$89"),15,0)+H54,"")</f>
        <v>195</v>
      </c>
      <c r="I55" s="340">
        <f ca="1">IF(VLOOKUP($A55,INDIRECT(I$1&amp;"!$B$14:$P$89"),15,0)&lt;&gt;"",VLOOKUP($A55,INDIRECT(I$1&amp;"!$B$14:$P$89"),15,0)+I54,"")</f>
        <v>225</v>
      </c>
      <c r="J55" s="340">
        <f ca="1">IF(VLOOKUP($A55,INDIRECT(J$1&amp;"!$B$14:$P$89"),15,0)&lt;&gt;"",VLOOKUP($A55,INDIRECT(J$1&amp;"!$B$14:$P$89"),15,0)+J54,"")</f>
        <v>230</v>
      </c>
      <c r="K55" s="340">
        <f ca="1">IF(VLOOKUP($A55,INDIRECT(K$1&amp;"!$B$14:$P$89"),15,0)&lt;&gt;"",VLOOKUP($A55,INDIRECT(K$1&amp;"!$B$14:$P$89"),15,0)+K54,"")</f>
        <v>245</v>
      </c>
      <c r="L55" s="340">
        <f ca="1">IF(VLOOKUP($A55,INDIRECT(L$1&amp;"!$B$14:$P$89"),15,0)&lt;&gt;"",VLOOKUP($A55,INDIRECT(L$1&amp;"!$B$14:$P$89"),15,0)+L54,"")</f>
        <v>245</v>
      </c>
      <c r="M55" s="340">
        <f ca="1">IF(VLOOKUP($A55,INDIRECT(M$1&amp;"!$B$14:$P$89"),15,0)&lt;&gt;"",VLOOKUP($A55,INDIRECT(M$1&amp;"!$B$14:$P$89"),15,0)+M54,"")</f>
        <v>195</v>
      </c>
      <c r="N55" s="340">
        <f ca="1">IF(VLOOKUP($A55,INDIRECT(N$1&amp;"!$B$14:$P$89"),15,0)&lt;&gt;"",VLOOKUP($A55,INDIRECT(N$1&amp;"!$B$14:$P$89"),15,0)+N54,"")</f>
        <v>225</v>
      </c>
      <c r="O55" s="340">
        <f ca="1">IF(VLOOKUP($A55,INDIRECT(O$1&amp;"!$B$14:$P$89"),15,0)&lt;&gt;"",VLOOKUP($A55,INDIRECT(O$1&amp;"!$B$14:$P$89"),15,0)+O54,"")</f>
        <v>200</v>
      </c>
      <c r="P55" s="340">
        <f ca="1">IF(VLOOKUP($A55,INDIRECT(P$1&amp;"!$B$14:$P$89"),15,0)&lt;&gt;"",VLOOKUP($A55,INDIRECT(P$1&amp;"!$B$14:$P$89"),15,0)+P54,"")</f>
        <v>235</v>
      </c>
      <c r="Q55" s="340">
        <f ca="1">IF(VLOOKUP($A55,INDIRECT(Q$1&amp;"!$B$14:$P$89"),15,0)&lt;&gt;"",VLOOKUP($A55,INDIRECT(Q$1&amp;"!$B$14:$P$89"),15,0)+Q54,"")</f>
        <v>200</v>
      </c>
      <c r="R55" s="340">
        <f ca="1">IF(VLOOKUP($A55,INDIRECT(R$1&amp;"!$B$14:$P$89"),15,0)&lt;&gt;"",VLOOKUP($A55,INDIRECT(R$1&amp;"!$B$14:$P$89"),15,0)+R54,"")</f>
        <v>175</v>
      </c>
      <c r="S55" s="340">
        <f ca="1">IF(VLOOKUP($A55,INDIRECT(S$1&amp;"!$B$14:$P$89"),15,0)&lt;&gt;"",VLOOKUP($A55,INDIRECT(S$1&amp;"!$B$14:$P$89"),15,0)+S54,"")</f>
        <v>215</v>
      </c>
      <c r="T55" s="340">
        <f ca="1">IF(VLOOKUP($A55,INDIRECT(T$1&amp;"!$B$14:$P$89"),15,0)&lt;&gt;"",VLOOKUP($A55,INDIRECT(T$1&amp;"!$B$14:$P$89"),15,0)+T54,"")</f>
        <v>225</v>
      </c>
      <c r="U55" s="340">
        <f ca="1">IF(VLOOKUP($A55,INDIRECT(U$1&amp;"!$B$14:$P$89"),15,0)&lt;&gt;"",VLOOKUP($A55,INDIRECT(U$1&amp;"!$B$14:$P$89"),15,0)+U54,"")</f>
        <v>210</v>
      </c>
      <c r="V55" s="340">
        <f ca="1">IF(VLOOKUP($A55,INDIRECT(V$1&amp;"!$B$14:$P$89"),15,0)&lt;&gt;"",VLOOKUP($A55,INDIRECT(V$1&amp;"!$B$14:$P$89"),15,0)+V54,"")</f>
        <v>210</v>
      </c>
      <c r="W55" s="340">
        <f ca="1">IF(VLOOKUP($A55,INDIRECT(W$1&amp;"!$B$14:$P$89"),15,0)&lt;&gt;"",VLOOKUP($A55,INDIRECT(W$1&amp;"!$B$14:$P$89"),15,0)+W54,"")</f>
        <v>215</v>
      </c>
      <c r="X55" s="340">
        <f ca="1">IF(VLOOKUP($A55,INDIRECT(X$1&amp;"!$B$14:$P$89"),15,0)&lt;&gt;"",VLOOKUP($A55,INDIRECT(X$1&amp;"!$B$14:$P$89"),15,0)+X54,"")</f>
        <v>150</v>
      </c>
      <c r="Y55" s="178">
        <f t="shared" ca="1" si="4"/>
        <v>212.5</v>
      </c>
      <c r="Z55" s="194">
        <f t="shared" ca="1" si="6"/>
        <v>4.7727272727272805</v>
      </c>
      <c r="AA55" s="195">
        <f ca="1">IF(C55&lt;&gt;"",C55-$Y55,"")</f>
        <v>7.5</v>
      </c>
      <c r="AB55" s="195">
        <f ca="1">IF(D55&lt;&gt;"",D55-$Y55,"")</f>
        <v>-22.5</v>
      </c>
      <c r="AC55" s="195">
        <f ca="1">IF(E55&lt;&gt;"",E55-$Y55,"")</f>
        <v>-2.5</v>
      </c>
      <c r="AD55" s="195">
        <f ca="1">IF(F55&lt;&gt;"",F55-$Y55,"")</f>
        <v>27.5</v>
      </c>
      <c r="AE55" s="195">
        <f ca="1">IF(G55&lt;&gt;"",G55-$Y55,"")</f>
        <v>7.5</v>
      </c>
      <c r="AF55" s="195">
        <f ca="1">IF(H55&lt;&gt;"",H55-$Y55,"")</f>
        <v>-17.5</v>
      </c>
      <c r="AG55" s="195">
        <f ca="1">IF(I55&lt;&gt;"",I55-$Y55,"")</f>
        <v>12.5</v>
      </c>
      <c r="AH55" s="195">
        <f ca="1">IF(J55&lt;&gt;"",J55-$Y55,"")</f>
        <v>17.5</v>
      </c>
      <c r="AI55" s="195">
        <f ca="1">IF(K55&lt;&gt;"",K55-$Y55,"")</f>
        <v>32.5</v>
      </c>
      <c r="AJ55" s="195">
        <f ca="1">IF(L55&lt;&gt;"",L55-$Y55,"")</f>
        <v>32.5</v>
      </c>
      <c r="AK55" s="195">
        <f ca="1">IF(M55&lt;&gt;"",M55-$Y55,"")</f>
        <v>-17.5</v>
      </c>
      <c r="AL55" s="195">
        <f ca="1">IF(N55&lt;&gt;"",N55-$Y55,"")</f>
        <v>12.5</v>
      </c>
      <c r="AM55" s="195">
        <f ca="1">IF(O55&lt;&gt;"",O55-$Y55,"")</f>
        <v>-12.5</v>
      </c>
      <c r="AN55" s="195">
        <f ca="1">IF(P55&lt;&gt;"",P55-$Y55,"")</f>
        <v>22.5</v>
      </c>
      <c r="AO55" s="195">
        <f ca="1">IF(S55&lt;&gt;"",S55-$Y55,"")</f>
        <v>2.5</v>
      </c>
      <c r="AP55" s="195">
        <f ca="1">IF(T55&lt;&gt;"",T55-$Y55,"")</f>
        <v>12.5</v>
      </c>
      <c r="AQ55" s="195">
        <f ca="1">IF(U55&lt;&gt;"",U55-$Y55,"")</f>
        <v>-2.5</v>
      </c>
      <c r="AR55" s="195">
        <f ca="1">IF(V55&lt;&gt;"",V55-$Y55,"")</f>
        <v>-2.5</v>
      </c>
      <c r="AS55" s="195">
        <f ca="1">IF(W55&lt;&gt;"",W55-$Y55,"")</f>
        <v>2.5</v>
      </c>
      <c r="AT55" s="195">
        <f ca="1">IF(Q55&lt;&gt;"",Q55-$Y55,"")</f>
        <v>-12.5</v>
      </c>
      <c r="AU55" s="195">
        <f ca="1">IF(R55&lt;&gt;"",R55-$Y55,"")</f>
        <v>-37.5</v>
      </c>
      <c r="AV55" s="195">
        <f t="shared" ca="1" si="5"/>
        <v>-62.5</v>
      </c>
    </row>
    <row r="56" spans="1:48">
      <c r="A56" s="189">
        <v>48</v>
      </c>
      <c r="B56" s="166" t="str">
        <f>VLOOKUP($A56,Willem!$B$14:$P$89,4,0)&amp;"-"&amp;VLOOKUP($A56,Willem!$B$14:$P$89,6,0)</f>
        <v>Zwitserland  -  Honduras</v>
      </c>
      <c r="C56" s="341">
        <f ca="1">IF(VLOOKUP($A56,INDIRECT(C$1&amp;"!$B$14:$P$89"),15,0)&lt;&gt;"",VLOOKUP($A56,INDIRECT(C$1&amp;"!$B$14:$P$89"),15,0)+C55,"")</f>
        <v>225</v>
      </c>
      <c r="D56" s="341">
        <f ca="1">IF(VLOOKUP($A56,INDIRECT(D$1&amp;"!$B$14:$P$89"),15,0)&lt;&gt;"",VLOOKUP($A56,INDIRECT(D$1&amp;"!$B$14:$P$89"),15,0)+D55,"")</f>
        <v>195</v>
      </c>
      <c r="E56" s="341">
        <f ca="1">IF(VLOOKUP($A56,INDIRECT(E$1&amp;"!$B$14:$P$89"),15,0)&lt;&gt;"",VLOOKUP($A56,INDIRECT(E$1&amp;"!$B$14:$P$89"),15,0)+E55,"")</f>
        <v>210</v>
      </c>
      <c r="F56" s="341">
        <f ca="1">IF(VLOOKUP($A56,INDIRECT(F$1&amp;"!$B$14:$P$89"),15,0)&lt;&gt;"",VLOOKUP($A56,INDIRECT(F$1&amp;"!$B$14:$P$89"),15,0)+F55,"")</f>
        <v>240</v>
      </c>
      <c r="G56" s="341">
        <f ca="1">IF(VLOOKUP($A56,INDIRECT(G$1&amp;"!$B$14:$P$89"),15,0)&lt;&gt;"",VLOOKUP($A56,INDIRECT(G$1&amp;"!$B$14:$P$89"),15,0)+G55,"")</f>
        <v>220</v>
      </c>
      <c r="H56" s="341">
        <f ca="1">IF(VLOOKUP($A56,INDIRECT(H$1&amp;"!$B$14:$P$89"),15,0)&lt;&gt;"",VLOOKUP($A56,INDIRECT(H$1&amp;"!$B$14:$P$89"),15,0)+H55,"")</f>
        <v>195</v>
      </c>
      <c r="I56" s="341">
        <f ca="1">IF(VLOOKUP($A56,INDIRECT(I$1&amp;"!$B$14:$P$89"),15,0)&lt;&gt;"",VLOOKUP($A56,INDIRECT(I$1&amp;"!$B$14:$P$89"),15,0)+I55,"")</f>
        <v>225</v>
      </c>
      <c r="J56" s="341">
        <f ca="1">IF(VLOOKUP($A56,INDIRECT(J$1&amp;"!$B$14:$P$89"),15,0)&lt;&gt;"",VLOOKUP($A56,INDIRECT(J$1&amp;"!$B$14:$P$89"),15,0)+J55,"")</f>
        <v>230</v>
      </c>
      <c r="K56" s="341">
        <f ca="1">IF(VLOOKUP($A56,INDIRECT(K$1&amp;"!$B$14:$P$89"),15,0)&lt;&gt;"",VLOOKUP($A56,INDIRECT(K$1&amp;"!$B$14:$P$89"),15,0)+K55,"")</f>
        <v>245</v>
      </c>
      <c r="L56" s="341">
        <f ca="1">IF(VLOOKUP($A56,INDIRECT(L$1&amp;"!$B$14:$P$89"),15,0)&lt;&gt;"",VLOOKUP($A56,INDIRECT(L$1&amp;"!$B$14:$P$89"),15,0)+L55,"")</f>
        <v>255</v>
      </c>
      <c r="M56" s="341">
        <f ca="1">IF(VLOOKUP($A56,INDIRECT(M$1&amp;"!$B$14:$P$89"),15,0)&lt;&gt;"",VLOOKUP($A56,INDIRECT(M$1&amp;"!$B$14:$P$89"),15,0)+M55,"")</f>
        <v>195</v>
      </c>
      <c r="N56" s="341">
        <f ca="1">IF(VLOOKUP($A56,INDIRECT(N$1&amp;"!$B$14:$P$89"),15,0)&lt;&gt;"",VLOOKUP($A56,INDIRECT(N$1&amp;"!$B$14:$P$89"),15,0)+N55,"")</f>
        <v>225</v>
      </c>
      <c r="O56" s="341">
        <f ca="1">IF(VLOOKUP($A56,INDIRECT(O$1&amp;"!$B$14:$P$89"),15,0)&lt;&gt;"",VLOOKUP($A56,INDIRECT(O$1&amp;"!$B$14:$P$89"),15,0)+O55,"")</f>
        <v>200</v>
      </c>
      <c r="P56" s="341">
        <f ca="1">IF(VLOOKUP($A56,INDIRECT(P$1&amp;"!$B$14:$P$89"),15,0)&lt;&gt;"",VLOOKUP($A56,INDIRECT(P$1&amp;"!$B$14:$P$89"),15,0)+P55,"")</f>
        <v>245</v>
      </c>
      <c r="Q56" s="341">
        <f ca="1">IF(VLOOKUP($A56,INDIRECT(Q$1&amp;"!$B$14:$P$89"),15,0)&lt;&gt;"",VLOOKUP($A56,INDIRECT(Q$1&amp;"!$B$14:$P$89"),15,0)+Q55,"")</f>
        <v>200</v>
      </c>
      <c r="R56" s="341">
        <f ca="1">IF(VLOOKUP($A56,INDIRECT(R$1&amp;"!$B$14:$P$89"),15,0)&lt;&gt;"",VLOOKUP($A56,INDIRECT(R$1&amp;"!$B$14:$P$89"),15,0)+R55,"")</f>
        <v>175</v>
      </c>
      <c r="S56" s="341">
        <f ca="1">IF(VLOOKUP($A56,INDIRECT(S$1&amp;"!$B$14:$P$89"),15,0)&lt;&gt;"",VLOOKUP($A56,INDIRECT(S$1&amp;"!$B$14:$P$89"),15,0)+S55,"")</f>
        <v>215</v>
      </c>
      <c r="T56" s="341">
        <f ca="1">IF(VLOOKUP($A56,INDIRECT(T$1&amp;"!$B$14:$P$89"),15,0)&lt;&gt;"",VLOOKUP($A56,INDIRECT(T$1&amp;"!$B$14:$P$89"),15,0)+T55,"")</f>
        <v>225</v>
      </c>
      <c r="U56" s="341">
        <f ca="1">IF(VLOOKUP($A56,INDIRECT(U$1&amp;"!$B$14:$P$89"),15,0)&lt;&gt;"",VLOOKUP($A56,INDIRECT(U$1&amp;"!$B$14:$P$89"),15,0)+U55,"")</f>
        <v>210</v>
      </c>
      <c r="V56" s="341">
        <f ca="1">IF(VLOOKUP($A56,INDIRECT(V$1&amp;"!$B$14:$P$89"),15,0)&lt;&gt;"",VLOOKUP($A56,INDIRECT(V$1&amp;"!$B$14:$P$89"),15,0)+V55,"")</f>
        <v>210</v>
      </c>
      <c r="W56" s="341">
        <f ca="1">IF(VLOOKUP($A56,INDIRECT(W$1&amp;"!$B$14:$P$89"),15,0)&lt;&gt;"",VLOOKUP($A56,INDIRECT(W$1&amp;"!$B$14:$P$89"),15,0)+W55,"")</f>
        <v>215</v>
      </c>
      <c r="X56" s="341">
        <f ca="1">IF(VLOOKUP($A56,INDIRECT(X$1&amp;"!$B$14:$P$89"),15,0)&lt;&gt;"",VLOOKUP($A56,INDIRECT(X$1&amp;"!$B$14:$P$89"),15,0)+X55,"")</f>
        <v>155</v>
      </c>
      <c r="Y56" s="178">
        <f t="shared" ca="1" si="4"/>
        <v>214.09090909090909</v>
      </c>
      <c r="Z56" s="194">
        <f t="shared" ca="1" si="6"/>
        <v>1.5909090909090935</v>
      </c>
      <c r="AA56" s="195">
        <f ca="1">IF(C56&lt;&gt;"",C56-$Y56,"")</f>
        <v>10.909090909090907</v>
      </c>
      <c r="AB56" s="195">
        <f ca="1">IF(D56&lt;&gt;"",D56-$Y56,"")</f>
        <v>-19.090909090909093</v>
      </c>
      <c r="AC56" s="195">
        <f ca="1">IF(E56&lt;&gt;"",E56-$Y56,"")</f>
        <v>-4.0909090909090935</v>
      </c>
      <c r="AD56" s="195">
        <f ca="1">IF(F56&lt;&gt;"",F56-$Y56,"")</f>
        <v>25.909090909090907</v>
      </c>
      <c r="AE56" s="195">
        <f ca="1">IF(G56&lt;&gt;"",G56-$Y56,"")</f>
        <v>5.9090909090909065</v>
      </c>
      <c r="AF56" s="195">
        <f ca="1">IF(H56&lt;&gt;"",H56-$Y56,"")</f>
        <v>-19.090909090909093</v>
      </c>
      <c r="AG56" s="195">
        <f ca="1">IF(I56&lt;&gt;"",I56-$Y56,"")</f>
        <v>10.909090909090907</v>
      </c>
      <c r="AH56" s="195">
        <f ca="1">IF(J56&lt;&gt;"",J56-$Y56,"")</f>
        <v>15.909090909090907</v>
      </c>
      <c r="AI56" s="195">
        <f ca="1">IF(K56&lt;&gt;"",K56-$Y56,"")</f>
        <v>30.909090909090907</v>
      </c>
      <c r="AJ56" s="195">
        <f ca="1">IF(L56&lt;&gt;"",L56-$Y56,"")</f>
        <v>40.909090909090907</v>
      </c>
      <c r="AK56" s="195">
        <f ca="1">IF(M56&lt;&gt;"",M56-$Y56,"")</f>
        <v>-19.090909090909093</v>
      </c>
      <c r="AL56" s="195">
        <f ca="1">IF(N56&lt;&gt;"",N56-$Y56,"")</f>
        <v>10.909090909090907</v>
      </c>
      <c r="AM56" s="195">
        <f ca="1">IF(O56&lt;&gt;"",O56-$Y56,"")</f>
        <v>-14.090909090909093</v>
      </c>
      <c r="AN56" s="195">
        <f ca="1">IF(P56&lt;&gt;"",P56-$Y56,"")</f>
        <v>30.909090909090907</v>
      </c>
      <c r="AO56" s="195">
        <f ca="1">IF(S56&lt;&gt;"",S56-$Y56,"")</f>
        <v>0.90909090909090651</v>
      </c>
      <c r="AP56" s="195">
        <f ca="1">IF(T56&lt;&gt;"",T56-$Y56,"")</f>
        <v>10.909090909090907</v>
      </c>
      <c r="AQ56" s="195">
        <f ca="1">IF(U56&lt;&gt;"",U56-$Y56,"")</f>
        <v>-4.0909090909090935</v>
      </c>
      <c r="AR56" s="195">
        <f ca="1">IF(V56&lt;&gt;"",V56-$Y56,"")</f>
        <v>-4.0909090909090935</v>
      </c>
      <c r="AS56" s="195">
        <f ca="1">IF(W56&lt;&gt;"",W56-$Y56,"")</f>
        <v>0.90909090909090651</v>
      </c>
      <c r="AT56" s="195">
        <f ca="1">IF(Q56&lt;&gt;"",Q56-$Y56,"")</f>
        <v>-14.090909090909093</v>
      </c>
      <c r="AU56" s="195">
        <f ca="1">IF(R56&lt;&gt;"",R56-$Y56,"")</f>
        <v>-39.090909090909093</v>
      </c>
      <c r="AV56" s="195">
        <f t="shared" ca="1" si="5"/>
        <v>-59.090909090909093</v>
      </c>
    </row>
    <row r="57" spans="1:48" s="175" customFormat="1">
      <c r="A57" s="196" t="str">
        <f>B57</f>
        <v>Boni</v>
      </c>
      <c r="B57" s="166" t="s">
        <v>507</v>
      </c>
      <c r="C57" s="178">
        <f ca="1">IF(VLOOKUP($A56,INDIRECT(C$1&amp;"!$B$14:$P$89"),15,0)&lt;&gt;"",C56+IF(ISNA(MATCH(Invulblad!$S$67,INDIRECT(C$1&amp;"!$E$70:$E$77"),0)),0,10)+IF(ISNA(MATCH(Invulblad!$S$67,INDIRECT(C$1&amp;"!$G$70:$G$77"),0)),0,10)+IF(ISNA(MATCH(Invulblad!$S$68,INDIRECT(C$1&amp;"!$E$70:$E$77"),0)),0,10)+IF(ISNA(MATCH(Invulblad!$S$68,INDIRECT(C$1&amp;"!$G$70:$G$77"),0)),0,10),"")</f>
        <v>245</v>
      </c>
      <c r="D57" s="178">
        <f ca="1">IF(VLOOKUP($A56,INDIRECT(D$1&amp;"!$B$14:$P$89"),15,0)&lt;&gt;"",D56+IF(ISNA(MATCH(Invulblad!$S$67,INDIRECT(D$1&amp;"!$E$70:$E$77"),0)),0,10)+IF(ISNA(MATCH(Invulblad!$S$67,INDIRECT(D$1&amp;"!$G$70:$G$77"),0)),0,10)+IF(ISNA(MATCH(Invulblad!$S$68,INDIRECT(D$1&amp;"!$E$70:$E$77"),0)),0,10)+IF(ISNA(MATCH(Invulblad!$S$68,INDIRECT(D$1&amp;"!$G$70:$G$77"),0)),0,10),"")</f>
        <v>215</v>
      </c>
      <c r="E57" s="178">
        <f ca="1">IF(VLOOKUP($A56,INDIRECT(E$1&amp;"!$B$14:$P$89"),15,0)&lt;&gt;"",E56+IF(ISNA(MATCH(Invulblad!$S$67,INDIRECT(E$1&amp;"!$E$70:$E$77"),0)),0,10)+IF(ISNA(MATCH(Invulblad!$S$67,INDIRECT(E$1&amp;"!$G$70:$G$77"),0)),0,10)+IF(ISNA(MATCH(Invulblad!$S$68,INDIRECT(E$1&amp;"!$E$70:$E$77"),0)),0,10)+IF(ISNA(MATCH(Invulblad!$S$68,INDIRECT(E$1&amp;"!$G$70:$G$77"),0)),0,10),"")</f>
        <v>220</v>
      </c>
      <c r="F57" s="178">
        <f ca="1">IF(VLOOKUP($A56,INDIRECT(F$1&amp;"!$B$14:$P$89"),15,0)&lt;&gt;"",F56+IF(ISNA(MATCH(Invulblad!$S$67,INDIRECT(F$1&amp;"!$E$70:$E$77"),0)),0,10)+IF(ISNA(MATCH(Invulblad!$S$67,INDIRECT(F$1&amp;"!$G$70:$G$77"),0)),0,10)+IF(ISNA(MATCH(Invulblad!$S$68,INDIRECT(F$1&amp;"!$E$70:$E$77"),0)),0,10)+IF(ISNA(MATCH(Invulblad!$S$68,INDIRECT(F$1&amp;"!$G$70:$G$77"),0)),0,10),"")</f>
        <v>250</v>
      </c>
      <c r="G57" s="178">
        <f ca="1">IF(VLOOKUP($A56,INDIRECT(G$1&amp;"!$B$14:$P$89"),15,0)&lt;&gt;"",G56+IF(ISNA(MATCH(Invulblad!$S$67,INDIRECT(G$1&amp;"!$E$70:$E$77"),0)),0,10)+IF(ISNA(MATCH(Invulblad!$S$67,INDIRECT(G$1&amp;"!$G$70:$G$77"),0)),0,10)+IF(ISNA(MATCH(Invulblad!$S$68,INDIRECT(G$1&amp;"!$E$70:$E$77"),0)),0,10)+IF(ISNA(MATCH(Invulblad!$S$68,INDIRECT(G$1&amp;"!$G$70:$G$77"),0)),0,10),"")</f>
        <v>230</v>
      </c>
      <c r="H57" s="178">
        <f ca="1">IF(VLOOKUP($A56,INDIRECT(H$1&amp;"!$B$14:$P$89"),15,0)&lt;&gt;"",H56+IF(ISNA(MATCH(Invulblad!$S$67,INDIRECT(H$1&amp;"!$E$70:$E$77"),0)),0,10)+IF(ISNA(MATCH(Invulblad!$S$67,INDIRECT(H$1&amp;"!$G$70:$G$77"),0)),0,10)+IF(ISNA(MATCH(Invulblad!$S$68,INDIRECT(H$1&amp;"!$E$70:$E$77"),0)),0,10)+IF(ISNA(MATCH(Invulblad!$S$68,INDIRECT(H$1&amp;"!$G$70:$G$77"),0)),0,10),"")</f>
        <v>215</v>
      </c>
      <c r="I57" s="178">
        <f ca="1">IF(VLOOKUP($A56,INDIRECT(I$1&amp;"!$B$14:$P$89"),15,0)&lt;&gt;"",I56+IF(ISNA(MATCH(Invulblad!$S$67,INDIRECT(I$1&amp;"!$E$70:$E$77"),0)),0,10)+IF(ISNA(MATCH(Invulblad!$S$67,INDIRECT(I$1&amp;"!$G$70:$G$77"),0)),0,10)+IF(ISNA(MATCH(Invulblad!$S$68,INDIRECT(I$1&amp;"!$E$70:$E$77"),0)),0,10)+IF(ISNA(MATCH(Invulblad!$S$68,INDIRECT(I$1&amp;"!$G$70:$G$77"),0)),0,10),"")</f>
        <v>235</v>
      </c>
      <c r="J57" s="178">
        <f ca="1">IF(VLOOKUP($A56,INDIRECT(J$1&amp;"!$B$14:$P$89"),15,0)&lt;&gt;"",J56+IF(ISNA(MATCH(Invulblad!$S$67,INDIRECT(J$1&amp;"!$E$70:$E$77"),0)),0,10)+IF(ISNA(MATCH(Invulblad!$S$67,INDIRECT(J$1&amp;"!$G$70:$G$77"),0)),0,10)+IF(ISNA(MATCH(Invulblad!$S$68,INDIRECT(J$1&amp;"!$E$70:$E$77"),0)),0,10)+IF(ISNA(MATCH(Invulblad!$S$68,INDIRECT(J$1&amp;"!$G$70:$G$77"),0)),0,10),"")</f>
        <v>240</v>
      </c>
      <c r="K57" s="178">
        <f ca="1">IF(VLOOKUP($A56,INDIRECT(K$1&amp;"!$B$14:$P$89"),15,0)&lt;&gt;"",K56+IF(ISNA(MATCH(Invulblad!$S$67,INDIRECT(K$1&amp;"!$E$70:$E$77"),0)),0,10)+IF(ISNA(MATCH(Invulblad!$S$67,INDIRECT(K$1&amp;"!$G$70:$G$77"),0)),0,10)+IF(ISNA(MATCH(Invulblad!$S$68,INDIRECT(K$1&amp;"!$E$70:$E$77"),0)),0,10)+IF(ISNA(MATCH(Invulblad!$S$68,INDIRECT(K$1&amp;"!$G$70:$G$77"),0)),0,10),"")</f>
        <v>255</v>
      </c>
      <c r="L57" s="178">
        <f ca="1">IF(VLOOKUP($A56,INDIRECT(L$1&amp;"!$B$14:$P$89"),15,0)&lt;&gt;"",L56+IF(ISNA(MATCH(Invulblad!$S$67,INDIRECT(L$1&amp;"!$E$70:$E$77"),0)),0,10)+IF(ISNA(MATCH(Invulblad!$S$67,INDIRECT(L$1&amp;"!$G$70:$G$77"),0)),0,10)+IF(ISNA(MATCH(Invulblad!$S$68,INDIRECT(L$1&amp;"!$E$70:$E$77"),0)),0,10)+IF(ISNA(MATCH(Invulblad!$S$68,INDIRECT(L$1&amp;"!$G$70:$G$77"),0)),0,10),"")</f>
        <v>265</v>
      </c>
      <c r="M57" s="178">
        <f ca="1">IF(VLOOKUP($A56,INDIRECT(M$1&amp;"!$B$14:$P$89"),15,0)&lt;&gt;"",M56+IF(ISNA(MATCH(Invulblad!$S$67,INDIRECT(M$1&amp;"!$E$70:$E$77"),0)),0,10)+IF(ISNA(MATCH(Invulblad!$S$67,INDIRECT(M$1&amp;"!$G$70:$G$77"),0)),0,10)+IF(ISNA(MATCH(Invulblad!$S$68,INDIRECT(M$1&amp;"!$E$70:$E$77"),0)),0,10)+IF(ISNA(MATCH(Invulblad!$S$68,INDIRECT(M$1&amp;"!$G$70:$G$77"),0)),0,10),"")</f>
        <v>215</v>
      </c>
      <c r="N57" s="178">
        <f ca="1">IF(VLOOKUP($A56,INDIRECT(N$1&amp;"!$B$14:$P$89"),15,0)&lt;&gt;"",N56+IF(ISNA(MATCH(Invulblad!$S$67,INDIRECT(N$1&amp;"!$E$70:$E$77"),0)),0,10)+IF(ISNA(MATCH(Invulblad!$S$67,INDIRECT(N$1&amp;"!$G$70:$G$77"),0)),0,10)+IF(ISNA(MATCH(Invulblad!$S$68,INDIRECT(N$1&amp;"!$E$70:$E$77"),0)),0,10)+IF(ISNA(MATCH(Invulblad!$S$68,INDIRECT(N$1&amp;"!$G$70:$G$77"),0)),0,10),"")</f>
        <v>245</v>
      </c>
      <c r="O57" s="178">
        <f ca="1">IF(VLOOKUP($A56,INDIRECT(O$1&amp;"!$B$14:$P$89"),15,0)&lt;&gt;"",O56+IF(ISNA(MATCH(Invulblad!$S$67,INDIRECT(O$1&amp;"!$E$70:$E$77"),0)),0,10)+IF(ISNA(MATCH(Invulblad!$S$67,INDIRECT(O$1&amp;"!$G$70:$G$77"),0)),0,10)+IF(ISNA(MATCH(Invulblad!$S$68,INDIRECT(O$1&amp;"!$E$70:$E$77"),0)),0,10)+IF(ISNA(MATCH(Invulblad!$S$68,INDIRECT(O$1&amp;"!$G$70:$G$77"),0)),0,10),"")</f>
        <v>220</v>
      </c>
      <c r="P57" s="178">
        <f ca="1">IF(VLOOKUP($A56,INDIRECT(P$1&amp;"!$B$14:$P$89"),15,0)&lt;&gt;"",P56+IF(ISNA(MATCH(Invulblad!$S$67,INDIRECT(P$1&amp;"!$E$70:$E$77"),0)),0,10)+IF(ISNA(MATCH(Invulblad!$S$67,INDIRECT(P$1&amp;"!$G$70:$G$77"),0)),0,10)+IF(ISNA(MATCH(Invulblad!$S$68,INDIRECT(P$1&amp;"!$E$70:$E$77"),0)),0,10)+IF(ISNA(MATCH(Invulblad!$S$68,INDIRECT(P$1&amp;"!$G$70:$G$77"),0)),0,10),"")</f>
        <v>265</v>
      </c>
      <c r="Q57" s="178">
        <f ca="1">IF(VLOOKUP($A56,INDIRECT(Q$1&amp;"!$B$14:$P$89"),15,0)&lt;&gt;"",Q56+IF(ISNA(MATCH(Invulblad!$S$67,INDIRECT(Q$1&amp;"!$E$70:$E$77"),0)),0,10)+IF(ISNA(MATCH(Invulblad!$S$67,INDIRECT(Q$1&amp;"!$G$70:$G$77"),0)),0,10)+IF(ISNA(MATCH(Invulblad!$S$68,INDIRECT(Q$1&amp;"!$E$70:$E$77"),0)),0,10)+IF(ISNA(MATCH(Invulblad!$S$68,INDIRECT(Q$1&amp;"!$G$70:$G$77"),0)),0,10),"")</f>
        <v>210</v>
      </c>
      <c r="R57" s="178">
        <f ca="1">IF(VLOOKUP($A56,INDIRECT(R$1&amp;"!$B$14:$P$89"),15,0)&lt;&gt;"",R56+IF(ISNA(MATCH(Invulblad!$S$67,INDIRECT(R$1&amp;"!$E$70:$E$77"),0)),0,10)+IF(ISNA(MATCH(Invulblad!$S$67,INDIRECT(R$1&amp;"!$G$70:$G$77"),0)),0,10)+IF(ISNA(MATCH(Invulblad!$S$68,INDIRECT(R$1&amp;"!$E$70:$E$77"),0)),0,10)+IF(ISNA(MATCH(Invulblad!$S$68,INDIRECT(R$1&amp;"!$G$70:$G$77"),0)),0,10),"")</f>
        <v>195</v>
      </c>
      <c r="S57" s="178">
        <f ca="1">IF(VLOOKUP($A56,INDIRECT(S$1&amp;"!$B$14:$P$89"),15,0)&lt;&gt;"",S56+IF(ISNA(MATCH(Invulblad!$S$67,INDIRECT(S$1&amp;"!$E$70:$E$77"),0)),0,10)+IF(ISNA(MATCH(Invulblad!$S$67,INDIRECT(S$1&amp;"!$G$70:$G$77"),0)),0,10)+IF(ISNA(MATCH(Invulblad!$S$68,INDIRECT(S$1&amp;"!$E$70:$E$77"),0)),0,10)+IF(ISNA(MATCH(Invulblad!$S$68,INDIRECT(S$1&amp;"!$G$70:$G$77"),0)),0,10),"")</f>
        <v>235</v>
      </c>
      <c r="T57" s="178">
        <f ca="1">IF(VLOOKUP($A56,INDIRECT(T$1&amp;"!$B$14:$P$89"),15,0)&lt;&gt;"",T56+IF(ISNA(MATCH(Invulblad!$S$67,INDIRECT(T$1&amp;"!$E$70:$E$77"),0)),0,10)+IF(ISNA(MATCH(Invulblad!$S$67,INDIRECT(T$1&amp;"!$G$70:$G$77"),0)),0,10)+IF(ISNA(MATCH(Invulblad!$S$68,INDIRECT(T$1&amp;"!$E$70:$E$77"),0)),0,10)+IF(ISNA(MATCH(Invulblad!$S$68,INDIRECT(T$1&amp;"!$G$70:$G$77"),0)),0,10),"")</f>
        <v>235</v>
      </c>
      <c r="U57" s="178">
        <f ca="1">IF(VLOOKUP($A56,INDIRECT(U$1&amp;"!$B$14:$P$89"),15,0)&lt;&gt;"",U56+IF(ISNA(MATCH(Invulblad!$S$67,INDIRECT(U$1&amp;"!$E$70:$E$77"),0)),0,10)+IF(ISNA(MATCH(Invulblad!$S$67,INDIRECT(U$1&amp;"!$G$70:$G$77"),0)),0,10)+IF(ISNA(MATCH(Invulblad!$S$68,INDIRECT(U$1&amp;"!$E$70:$E$77"),0)),0,10)+IF(ISNA(MATCH(Invulblad!$S$68,INDIRECT(U$1&amp;"!$G$70:$G$77"),0)),0,10),"")</f>
        <v>230</v>
      </c>
      <c r="V57" s="178">
        <f ca="1">IF(VLOOKUP($A56,INDIRECT(V$1&amp;"!$B$14:$P$89"),15,0)&lt;&gt;"",V56+IF(ISNA(MATCH(Invulblad!$S$67,INDIRECT(V$1&amp;"!$E$70:$E$77"),0)),0,10)+IF(ISNA(MATCH(Invulblad!$S$67,INDIRECT(V$1&amp;"!$G$70:$G$77"),0)),0,10)+IF(ISNA(MATCH(Invulblad!$S$68,INDIRECT(V$1&amp;"!$E$70:$E$77"),0)),0,10)+IF(ISNA(MATCH(Invulblad!$S$68,INDIRECT(V$1&amp;"!$G$70:$G$77"),0)),0,10),"")</f>
        <v>230</v>
      </c>
      <c r="W57" s="178">
        <f ca="1">IF(VLOOKUP($A56,INDIRECT(W$1&amp;"!$B$14:$P$89"),15,0)&lt;&gt;"",W56+IF(ISNA(MATCH(Invulblad!$S$67,INDIRECT(W$1&amp;"!$E$70:$E$77"),0)),0,10)+IF(ISNA(MATCH(Invulblad!$S$67,INDIRECT(W$1&amp;"!$G$70:$G$77"),0)),0,10)+IF(ISNA(MATCH(Invulblad!$S$68,INDIRECT(W$1&amp;"!$E$70:$E$77"),0)),0,10)+IF(ISNA(MATCH(Invulblad!$S$68,INDIRECT(W$1&amp;"!$G$70:$G$77"),0)),0,10),"")</f>
        <v>235</v>
      </c>
      <c r="X57" s="178">
        <f ca="1">IF(VLOOKUP($A56,INDIRECT(X$1&amp;"!$B$14:$P$89"),15,0)&lt;&gt;"",X56+IF(ISNA(MATCH(Invulblad!$S$67,INDIRECT(X$1&amp;"!$E$70:$E$77"),0)),0,10)+IF(ISNA(MATCH(Invulblad!$S$67,INDIRECT(X$1&amp;"!$G$70:$G$77"),0)),0,10)+IF(ISNA(MATCH(Invulblad!$S$68,INDIRECT(X$1&amp;"!$E$70:$E$77"),0)),0,10)+IF(ISNA(MATCH(Invulblad!$S$68,INDIRECT(X$1&amp;"!$G$70:$G$77"),0)),0,10),"")</f>
        <v>175</v>
      </c>
      <c r="Y57" s="197">
        <f t="shared" ca="1" si="4"/>
        <v>230</v>
      </c>
      <c r="Z57" s="198">
        <f t="shared" ca="1" si="6"/>
        <v>15.909090909090907</v>
      </c>
      <c r="AA57" s="199">
        <f ca="1">IF(C57&lt;&gt;"",C57-$Y57,"")</f>
        <v>15</v>
      </c>
      <c r="AB57" s="199">
        <f ca="1">IF(D57&lt;&gt;"",D57-$Y57,"")</f>
        <v>-15</v>
      </c>
      <c r="AC57" s="199">
        <f ca="1">IF(E57&lt;&gt;"",E57-$Y57,"")</f>
        <v>-10</v>
      </c>
      <c r="AD57" s="199">
        <f ca="1">IF(F57&lt;&gt;"",F57-$Y57,"")</f>
        <v>20</v>
      </c>
      <c r="AE57" s="199">
        <f ca="1">IF(G57&lt;&gt;"",G57-$Y57,"")</f>
        <v>0</v>
      </c>
      <c r="AF57" s="199">
        <f ca="1">IF(H57&lt;&gt;"",H57-$Y57,"")</f>
        <v>-15</v>
      </c>
      <c r="AG57" s="199">
        <f ca="1">IF(I57&lt;&gt;"",I57-$Y57,"")</f>
        <v>5</v>
      </c>
      <c r="AH57" s="199">
        <f ca="1">IF(J57&lt;&gt;"",J57-$Y57,"")</f>
        <v>10</v>
      </c>
      <c r="AI57" s="199">
        <f ca="1">IF(K57&lt;&gt;"",K57-$Y57,"")</f>
        <v>25</v>
      </c>
      <c r="AJ57" s="199">
        <f ca="1">IF(L57&lt;&gt;"",L57-$Y57,"")</f>
        <v>35</v>
      </c>
      <c r="AK57" s="199">
        <f ca="1">IF(M57&lt;&gt;"",M57-$Y57,"")</f>
        <v>-15</v>
      </c>
      <c r="AL57" s="199">
        <f ca="1">IF(N57&lt;&gt;"",N57-$Y57,"")</f>
        <v>15</v>
      </c>
      <c r="AM57" s="199">
        <f ca="1">IF(O57&lt;&gt;"",O57-$Y57,"")</f>
        <v>-10</v>
      </c>
      <c r="AN57" s="199">
        <f ca="1">IF(P57&lt;&gt;"",P57-$Y57,"")</f>
        <v>35</v>
      </c>
      <c r="AO57" s="199">
        <f ca="1">IF(S57&lt;&gt;"",S57-$Y57,"")</f>
        <v>5</v>
      </c>
      <c r="AP57" s="199">
        <f ca="1">IF(T57&lt;&gt;"",T57-$Y57,"")</f>
        <v>5</v>
      </c>
      <c r="AQ57" s="199">
        <f ca="1">IF(U57&lt;&gt;"",U57-$Y57,"")</f>
        <v>0</v>
      </c>
      <c r="AR57" s="199">
        <f ca="1">IF(V57&lt;&gt;"",V57-$Y57,"")</f>
        <v>0</v>
      </c>
      <c r="AS57" s="199">
        <f ca="1">IF(W57&lt;&gt;"",W57-$Y57,"")</f>
        <v>5</v>
      </c>
      <c r="AT57" s="199">
        <f ca="1">IF(Q57&lt;&gt;"",Q57-$Y57,"")</f>
        <v>-20</v>
      </c>
      <c r="AU57" s="199">
        <f ca="1">IF(R57&lt;&gt;"",R57-$Y57,"")</f>
        <v>-35</v>
      </c>
      <c r="AV57" s="199">
        <f t="shared" ca="1" si="5"/>
        <v>-55</v>
      </c>
    </row>
    <row r="58" spans="1:48">
      <c r="A58" s="189">
        <v>49</v>
      </c>
      <c r="B58" s="200" t="str">
        <f>VLOOKUP($A58,Invulblad!A$76:J$103,6,0)&amp;"-"&amp;VLOOKUP($A58,Invulblad!A$76:J$103,10,0)</f>
        <v>Uruguay-Zuid-Korea</v>
      </c>
      <c r="C58" s="342">
        <f ca="1">IF(VLOOKUP($A58,INDIRECT(C$1&amp;"!$B$14:$P$89"),15,0)&lt;&gt;"",VLOOKUP($A58,INDIRECT(C$1&amp;"!$B$14:$P$89"),15,0)+C57,"")</f>
        <v>245</v>
      </c>
      <c r="D58" s="342">
        <f ca="1">IF(VLOOKUP($A58,INDIRECT(D$1&amp;"!$B$14:$P$89"),15,0)&lt;&gt;"",VLOOKUP($A58,INDIRECT(D$1&amp;"!$B$14:$P$89"),15,0)+D57,"")</f>
        <v>220</v>
      </c>
      <c r="E58" s="342">
        <f ca="1">IF(VLOOKUP($A58,INDIRECT(E$1&amp;"!$B$14:$P$89"),15,0)&lt;&gt;"",VLOOKUP($A58,INDIRECT(E$1&amp;"!$B$14:$P$89"),15,0)+E57,"")</f>
        <v>220</v>
      </c>
      <c r="F58" s="342">
        <f ca="1">IF(VLOOKUP($A58,INDIRECT(F$1&amp;"!$B$14:$P$89"),15,0)&lt;&gt;"",VLOOKUP($A58,INDIRECT(F$1&amp;"!$B$14:$P$89"),15,0)+F57,"")</f>
        <v>260</v>
      </c>
      <c r="G58" s="342">
        <f ca="1">IF(VLOOKUP($A58,INDIRECT(G$1&amp;"!$B$14:$P$89"),15,0)&lt;&gt;"",VLOOKUP($A58,INDIRECT(G$1&amp;"!$B$14:$P$89"),15,0)+G57,"")</f>
        <v>240</v>
      </c>
      <c r="H58" s="342">
        <f ca="1">IF(VLOOKUP($A58,INDIRECT(H$1&amp;"!$B$14:$P$89"),15,0)&lt;&gt;"",VLOOKUP($A58,INDIRECT(H$1&amp;"!$B$14:$P$89"),15,0)+H57,"")</f>
        <v>220</v>
      </c>
      <c r="I58" s="342">
        <f ca="1">IF(VLOOKUP($A58,INDIRECT(I$1&amp;"!$B$14:$P$89"),15,0)&lt;&gt;"",VLOOKUP($A58,INDIRECT(I$1&amp;"!$B$14:$P$89"),15,0)+I57,"")</f>
        <v>240</v>
      </c>
      <c r="J58" s="342">
        <f ca="1">IF(VLOOKUP($A58,INDIRECT(J$1&amp;"!$B$14:$P$89"),15,0)&lt;&gt;"",VLOOKUP($A58,INDIRECT(J$1&amp;"!$B$14:$P$89"),15,0)+J57,"")</f>
        <v>245</v>
      </c>
      <c r="K58" s="342">
        <f ca="1">IF(VLOOKUP($A58,INDIRECT(K$1&amp;"!$B$14:$P$89"),15,0)&lt;&gt;"",VLOOKUP($A58,INDIRECT(K$1&amp;"!$B$14:$P$89"),15,0)+K57,"")</f>
        <v>255</v>
      </c>
      <c r="L58" s="342">
        <f ca="1">IF(VLOOKUP($A58,INDIRECT(L$1&amp;"!$B$14:$P$89"),15,0)&lt;&gt;"",VLOOKUP($A58,INDIRECT(L$1&amp;"!$B$14:$P$89"),15,0)+L57,"")</f>
        <v>275</v>
      </c>
      <c r="M58" s="342">
        <f ca="1">IF(VLOOKUP($A58,INDIRECT(M$1&amp;"!$B$14:$P$89"),15,0)&lt;&gt;"",VLOOKUP($A58,INDIRECT(M$1&amp;"!$B$14:$P$89"),15,0)+M57,"")</f>
        <v>215</v>
      </c>
      <c r="N58" s="342">
        <f ca="1">IF(VLOOKUP($A58,INDIRECT(N$1&amp;"!$B$14:$P$89"),15,0)&lt;&gt;"",VLOOKUP($A58,INDIRECT(N$1&amp;"!$B$14:$P$89"),15,0)+N57,"")</f>
        <v>255</v>
      </c>
      <c r="O58" s="342">
        <f ca="1">IF(VLOOKUP($A58,INDIRECT(O$1&amp;"!$B$14:$P$89"),15,0)&lt;&gt;"",VLOOKUP($A58,INDIRECT(O$1&amp;"!$B$14:$P$89"),15,0)+O57,"")</f>
        <v>225</v>
      </c>
      <c r="P58" s="342">
        <f ca="1">IF(VLOOKUP($A58,INDIRECT(P$1&amp;"!$B$14:$P$89"),15,0)&lt;&gt;"",VLOOKUP($A58,INDIRECT(P$1&amp;"!$B$14:$P$89"),15,0)+P57,"")</f>
        <v>265</v>
      </c>
      <c r="Q58" s="342">
        <f ca="1">IF(VLOOKUP($A58,INDIRECT(Q$1&amp;"!$B$14:$P$89"),15,0)&lt;&gt;"",VLOOKUP($A58,INDIRECT(Q$1&amp;"!$B$14:$P$89"),15,0)+Q57,"")</f>
        <v>210</v>
      </c>
      <c r="R58" s="342">
        <f ca="1">IF(VLOOKUP($A58,INDIRECT(R$1&amp;"!$B$14:$P$89"),15,0)&lt;&gt;"",VLOOKUP($A58,INDIRECT(R$1&amp;"!$B$14:$P$89"),15,0)+R57,"")</f>
        <v>200</v>
      </c>
      <c r="S58" s="342">
        <f ca="1">IF(VLOOKUP($A58,INDIRECT(S$1&amp;"!$B$14:$P$89"),15,0)&lt;&gt;"",VLOOKUP($A58,INDIRECT(S$1&amp;"!$B$14:$P$89"),15,0)+S57,"")</f>
        <v>235</v>
      </c>
      <c r="T58" s="342">
        <f ca="1">IF(VLOOKUP($A58,INDIRECT(T$1&amp;"!$B$14:$P$89"),15,0)&lt;&gt;"",VLOOKUP($A58,INDIRECT(T$1&amp;"!$B$14:$P$89"),15,0)+T57,"")</f>
        <v>235</v>
      </c>
      <c r="U58" s="342">
        <f ca="1">IF(VLOOKUP($A58,INDIRECT(U$1&amp;"!$B$14:$P$89"),15,0)&lt;&gt;"",VLOOKUP($A58,INDIRECT(U$1&amp;"!$B$14:$P$89"),15,0)+U57,"")</f>
        <v>230</v>
      </c>
      <c r="V58" s="342">
        <f ca="1">IF(VLOOKUP($A58,INDIRECT(V$1&amp;"!$B$14:$P$89"),15,0)&lt;&gt;"",VLOOKUP($A58,INDIRECT(V$1&amp;"!$B$14:$P$89"),15,0)+V57,"")</f>
        <v>235</v>
      </c>
      <c r="W58" s="342">
        <f ca="1">IF(VLOOKUP($A58,INDIRECT(W$1&amp;"!$B$14:$P$89"),15,0)&lt;&gt;"",VLOOKUP($A58,INDIRECT(W$1&amp;"!$B$14:$P$89"),15,0)+W57,"")</f>
        <v>235</v>
      </c>
      <c r="X58" s="342">
        <f ca="1">IF(VLOOKUP($A58,INDIRECT(X$1&amp;"!$B$14:$P$89"),15,0)&lt;&gt;"",VLOOKUP($A58,INDIRECT(X$1&amp;"!$B$14:$P$89"),15,0)+X57,"")</f>
        <v>175</v>
      </c>
      <c r="Y58" s="178">
        <f t="shared" ca="1" si="4"/>
        <v>233.40909090909091</v>
      </c>
      <c r="Z58" s="194">
        <f t="shared" ca="1" si="6"/>
        <v>3.4090909090909065</v>
      </c>
      <c r="AA58" s="195">
        <f ca="1">IF(C58&lt;&gt;"",C58-$Y58,"")</f>
        <v>11.590909090909093</v>
      </c>
      <c r="AB58" s="195">
        <f ca="1">IF(D58&lt;&gt;"",D58-$Y58,"")</f>
        <v>-13.409090909090907</v>
      </c>
      <c r="AC58" s="195">
        <f ca="1">IF(E58&lt;&gt;"",E58-$Y58,"")</f>
        <v>-13.409090909090907</v>
      </c>
      <c r="AD58" s="195">
        <f ca="1">IF(F58&lt;&gt;"",F58-$Y58,"")</f>
        <v>26.590909090909093</v>
      </c>
      <c r="AE58" s="195">
        <f ca="1">IF(G58&lt;&gt;"",G58-$Y58,"")</f>
        <v>6.5909090909090935</v>
      </c>
      <c r="AF58" s="195">
        <f ca="1">IF(H58&lt;&gt;"",H58-$Y58,"")</f>
        <v>-13.409090909090907</v>
      </c>
      <c r="AG58" s="195">
        <f ca="1">IF(I58&lt;&gt;"",I58-$Y58,"")</f>
        <v>6.5909090909090935</v>
      </c>
      <c r="AH58" s="195">
        <f ca="1">IF(J58&lt;&gt;"",J58-$Y58,"")</f>
        <v>11.590909090909093</v>
      </c>
      <c r="AI58" s="195">
        <f ca="1">IF(K58&lt;&gt;"",K58-$Y58,"")</f>
        <v>21.590909090909093</v>
      </c>
      <c r="AJ58" s="195">
        <f ca="1">IF(L58&lt;&gt;"",L58-$Y58,"")</f>
        <v>41.590909090909093</v>
      </c>
      <c r="AK58" s="195">
        <f ca="1">IF(M58&lt;&gt;"",M58-$Y58,"")</f>
        <v>-18.409090909090907</v>
      </c>
      <c r="AL58" s="195">
        <f ca="1">IF(N58&lt;&gt;"",N58-$Y58,"")</f>
        <v>21.590909090909093</v>
      </c>
      <c r="AM58" s="195">
        <f ca="1">IF(O58&lt;&gt;"",O58-$Y58,"")</f>
        <v>-8.4090909090909065</v>
      </c>
      <c r="AN58" s="195">
        <f ca="1">IF(P58&lt;&gt;"",P58-$Y58,"")</f>
        <v>31.590909090909093</v>
      </c>
      <c r="AO58" s="195">
        <f ca="1">IF(S58&lt;&gt;"",S58-$Y58,"")</f>
        <v>1.5909090909090935</v>
      </c>
      <c r="AP58" s="195">
        <f ca="1">IF(T58&lt;&gt;"",T58-$Y58,"")</f>
        <v>1.5909090909090935</v>
      </c>
      <c r="AQ58" s="195">
        <f ca="1">IF(U58&lt;&gt;"",U58-$Y58,"")</f>
        <v>-3.4090909090909065</v>
      </c>
      <c r="AR58" s="195">
        <f ca="1">IF(V58&lt;&gt;"",V58-$Y58,"")</f>
        <v>1.5909090909090935</v>
      </c>
      <c r="AS58" s="195">
        <f ca="1">IF(W58&lt;&gt;"",W58-$Y58,"")</f>
        <v>1.5909090909090935</v>
      </c>
      <c r="AT58" s="195">
        <f ca="1">IF(Q58&lt;&gt;"",Q58-$Y58,"")</f>
        <v>-23.409090909090907</v>
      </c>
      <c r="AU58" s="195">
        <f ca="1">IF(R58&lt;&gt;"",R58-$Y58,"")</f>
        <v>-33.409090909090907</v>
      </c>
      <c r="AV58" s="195">
        <f t="shared" ca="1" si="5"/>
        <v>-58.409090909090907</v>
      </c>
    </row>
    <row r="59" spans="1:48">
      <c r="A59" s="189">
        <v>50</v>
      </c>
      <c r="B59" s="201" t="str">
        <f>VLOOKUP($A59,Invulblad!A$76:J$103,6,0)&amp;"-"&amp;VLOOKUP($A59,Invulblad!A$76:J$103,10,0)</f>
        <v>USA-Ghana</v>
      </c>
      <c r="C59" s="343">
        <f ca="1">IF(VLOOKUP($A59,INDIRECT(C$1&amp;"!$B$14:$P$89"),15,0)&lt;&gt;"",VLOOKUP($A59,INDIRECT(C$1&amp;"!$B$14:$P$89"),15,0)+C58,"")</f>
        <v>245</v>
      </c>
      <c r="D59" s="343">
        <f ca="1">IF(VLOOKUP($A59,INDIRECT(D$1&amp;"!$B$14:$P$89"),15,0)&lt;&gt;"",VLOOKUP($A59,INDIRECT(D$1&amp;"!$B$14:$P$89"),15,0)+D58,"")</f>
        <v>225</v>
      </c>
      <c r="E59" s="343">
        <f ca="1">IF(VLOOKUP($A59,INDIRECT(E$1&amp;"!$B$14:$P$89"),15,0)&lt;&gt;"",VLOOKUP($A59,INDIRECT(E$1&amp;"!$B$14:$P$89"),15,0)+E58,"")</f>
        <v>220</v>
      </c>
      <c r="F59" s="343">
        <f ca="1">IF(VLOOKUP($A59,INDIRECT(F$1&amp;"!$B$14:$P$89"),15,0)&lt;&gt;"",VLOOKUP($A59,INDIRECT(F$1&amp;"!$B$14:$P$89"),15,0)+F58,"")</f>
        <v>260</v>
      </c>
      <c r="G59" s="343">
        <f ca="1">IF(VLOOKUP($A59,INDIRECT(G$1&amp;"!$B$14:$P$89"),15,0)&lt;&gt;"",VLOOKUP($A59,INDIRECT(G$1&amp;"!$B$14:$P$89"),15,0)+G58,"")</f>
        <v>240</v>
      </c>
      <c r="H59" s="343">
        <f ca="1">IF(VLOOKUP($A59,INDIRECT(H$1&amp;"!$B$14:$P$89"),15,0)&lt;&gt;"",VLOOKUP($A59,INDIRECT(H$1&amp;"!$B$14:$P$89"),15,0)+H58,"")</f>
        <v>220</v>
      </c>
      <c r="I59" s="343">
        <f ca="1">IF(VLOOKUP($A59,INDIRECT(I$1&amp;"!$B$14:$P$89"),15,0)&lt;&gt;"",VLOOKUP($A59,INDIRECT(I$1&amp;"!$B$14:$P$89"),15,0)+I58,"")</f>
        <v>240</v>
      </c>
      <c r="J59" s="343">
        <f ca="1">IF(VLOOKUP($A59,INDIRECT(J$1&amp;"!$B$14:$P$89"),15,0)&lt;&gt;"",VLOOKUP($A59,INDIRECT(J$1&amp;"!$B$14:$P$89"),15,0)+J58,"")</f>
        <v>250</v>
      </c>
      <c r="K59" s="343">
        <f ca="1">IF(VLOOKUP($A59,INDIRECT(K$1&amp;"!$B$14:$P$89"),15,0)&lt;&gt;"",VLOOKUP($A59,INDIRECT(K$1&amp;"!$B$14:$P$89"),15,0)+K58,"")</f>
        <v>255</v>
      </c>
      <c r="L59" s="343">
        <f ca="1">IF(VLOOKUP($A59,INDIRECT(L$1&amp;"!$B$14:$P$89"),15,0)&lt;&gt;"",VLOOKUP($A59,INDIRECT(L$1&amp;"!$B$14:$P$89"),15,0)+L58,"")</f>
        <v>275</v>
      </c>
      <c r="M59" s="343">
        <f ca="1">IF(VLOOKUP($A59,INDIRECT(M$1&amp;"!$B$14:$P$89"),15,0)&lt;&gt;"",VLOOKUP($A59,INDIRECT(M$1&amp;"!$B$14:$P$89"),15,0)+M58,"")</f>
        <v>225</v>
      </c>
      <c r="N59" s="343">
        <f ca="1">IF(VLOOKUP($A59,INDIRECT(N$1&amp;"!$B$14:$P$89"),15,0)&lt;&gt;"",VLOOKUP($A59,INDIRECT(N$1&amp;"!$B$14:$P$89"),15,0)+N58,"")</f>
        <v>265</v>
      </c>
      <c r="O59" s="343">
        <f ca="1">IF(VLOOKUP($A59,INDIRECT(O$1&amp;"!$B$14:$P$89"),15,0)&lt;&gt;"",VLOOKUP($A59,INDIRECT(O$1&amp;"!$B$14:$P$89"),15,0)+O58,"")</f>
        <v>225</v>
      </c>
      <c r="P59" s="343">
        <f ca="1">IF(VLOOKUP($A59,INDIRECT(P$1&amp;"!$B$14:$P$89"),15,0)&lt;&gt;"",VLOOKUP($A59,INDIRECT(P$1&amp;"!$B$14:$P$89"),15,0)+P58,"")</f>
        <v>265</v>
      </c>
      <c r="Q59" s="343">
        <f ca="1">IF(VLOOKUP($A59,INDIRECT(Q$1&amp;"!$B$14:$P$89"),15,0)&lt;&gt;"",VLOOKUP($A59,INDIRECT(Q$1&amp;"!$B$14:$P$89"),15,0)+Q58,"")</f>
        <v>215</v>
      </c>
      <c r="R59" s="343">
        <f ca="1">IF(VLOOKUP($A59,INDIRECT(R$1&amp;"!$B$14:$P$89"),15,0)&lt;&gt;"",VLOOKUP($A59,INDIRECT(R$1&amp;"!$B$14:$P$89"),15,0)+R58,"")</f>
        <v>200</v>
      </c>
      <c r="S59" s="343">
        <f ca="1">IF(VLOOKUP($A59,INDIRECT(S$1&amp;"!$B$14:$P$89"),15,0)&lt;&gt;"",VLOOKUP($A59,INDIRECT(S$1&amp;"!$B$14:$P$89"),15,0)+S58,"")</f>
        <v>240</v>
      </c>
      <c r="T59" s="343">
        <f ca="1">IF(VLOOKUP($A59,INDIRECT(T$1&amp;"!$B$14:$P$89"),15,0)&lt;&gt;"",VLOOKUP($A59,INDIRECT(T$1&amp;"!$B$14:$P$89"),15,0)+T58,"")</f>
        <v>235</v>
      </c>
      <c r="U59" s="343">
        <f ca="1">IF(VLOOKUP($A59,INDIRECT(U$1&amp;"!$B$14:$P$89"),15,0)&lt;&gt;"",VLOOKUP($A59,INDIRECT(U$1&amp;"!$B$14:$P$89"),15,0)+U58,"")</f>
        <v>230</v>
      </c>
      <c r="V59" s="343">
        <f ca="1">IF(VLOOKUP($A59,INDIRECT(V$1&amp;"!$B$14:$P$89"),15,0)&lt;&gt;"",VLOOKUP($A59,INDIRECT(V$1&amp;"!$B$14:$P$89"),15,0)+V58,"")</f>
        <v>235</v>
      </c>
      <c r="W59" s="343">
        <f ca="1">IF(VLOOKUP($A59,INDIRECT(W$1&amp;"!$B$14:$P$89"),15,0)&lt;&gt;"",VLOOKUP($A59,INDIRECT(W$1&amp;"!$B$14:$P$89"),15,0)+W58,"")</f>
        <v>235</v>
      </c>
      <c r="X59" s="343">
        <f ca="1">IF(VLOOKUP($A59,INDIRECT(X$1&amp;"!$B$14:$P$89"),15,0)&lt;&gt;"",VLOOKUP($A59,INDIRECT(X$1&amp;"!$B$14:$P$89"),15,0)+X58,"")</f>
        <v>175</v>
      </c>
      <c r="Y59" s="178">
        <f t="shared" ca="1" si="4"/>
        <v>235.22727272727272</v>
      </c>
      <c r="Z59" s="194">
        <f t="shared" ca="1" si="6"/>
        <v>1.818181818181813</v>
      </c>
      <c r="AA59" s="195">
        <f ca="1">IF(C59&lt;&gt;"",C59-$Y59,"")</f>
        <v>9.7727272727272805</v>
      </c>
      <c r="AB59" s="195">
        <f ca="1">IF(D59&lt;&gt;"",D59-$Y59,"")</f>
        <v>-10.22727272727272</v>
      </c>
      <c r="AC59" s="195">
        <f ca="1">IF(E59&lt;&gt;"",E59-$Y59,"")</f>
        <v>-15.22727272727272</v>
      </c>
      <c r="AD59" s="195">
        <f ca="1">IF(F59&lt;&gt;"",F59-$Y59,"")</f>
        <v>24.77272727272728</v>
      </c>
      <c r="AE59" s="195">
        <f ca="1">IF(G59&lt;&gt;"",G59-$Y59,"")</f>
        <v>4.7727272727272805</v>
      </c>
      <c r="AF59" s="195">
        <f ca="1">IF(H59&lt;&gt;"",H59-$Y59,"")</f>
        <v>-15.22727272727272</v>
      </c>
      <c r="AG59" s="195">
        <f ca="1">IF(I59&lt;&gt;"",I59-$Y59,"")</f>
        <v>4.7727272727272805</v>
      </c>
      <c r="AH59" s="195">
        <f ca="1">IF(J59&lt;&gt;"",J59-$Y59,"")</f>
        <v>14.77272727272728</v>
      </c>
      <c r="AI59" s="195">
        <f ca="1">IF(K59&lt;&gt;"",K59-$Y59,"")</f>
        <v>19.77272727272728</v>
      </c>
      <c r="AJ59" s="195">
        <f ca="1">IF(L59&lt;&gt;"",L59-$Y59,"")</f>
        <v>39.77272727272728</v>
      </c>
      <c r="AK59" s="195">
        <f ca="1">IF(M59&lt;&gt;"",M59-$Y59,"")</f>
        <v>-10.22727272727272</v>
      </c>
      <c r="AL59" s="195">
        <f ca="1">IF(N59&lt;&gt;"",N59-$Y59,"")</f>
        <v>29.77272727272728</v>
      </c>
      <c r="AM59" s="195">
        <f ca="1">IF(O59&lt;&gt;"",O59-$Y59,"")</f>
        <v>-10.22727272727272</v>
      </c>
      <c r="AN59" s="195">
        <f ca="1">IF(P59&lt;&gt;"",P59-$Y59,"")</f>
        <v>29.77272727272728</v>
      </c>
      <c r="AO59" s="195">
        <f ca="1">IF(S59&lt;&gt;"",S59-$Y59,"")</f>
        <v>4.7727272727272805</v>
      </c>
      <c r="AP59" s="195">
        <f ca="1">IF(T59&lt;&gt;"",T59-$Y59,"")</f>
        <v>-0.22727272727271952</v>
      </c>
      <c r="AQ59" s="195">
        <f ca="1">IF(U59&lt;&gt;"",U59-$Y59,"")</f>
        <v>-5.2272727272727195</v>
      </c>
      <c r="AR59" s="195">
        <f ca="1">IF(V59&lt;&gt;"",V59-$Y59,"")</f>
        <v>-0.22727272727271952</v>
      </c>
      <c r="AS59" s="195">
        <f ca="1">IF(W59&lt;&gt;"",W59-$Y59,"")</f>
        <v>-0.22727272727271952</v>
      </c>
      <c r="AT59" s="195">
        <f ca="1">IF(Q59&lt;&gt;"",Q59-$Y59,"")</f>
        <v>-20.22727272727272</v>
      </c>
      <c r="AU59" s="195">
        <f ca="1">IF(R59&lt;&gt;"",R59-$Y59,"")</f>
        <v>-35.22727272727272</v>
      </c>
      <c r="AV59" s="195">
        <f t="shared" ca="1" si="5"/>
        <v>-60.22727272727272</v>
      </c>
    </row>
    <row r="60" spans="1:48" ht="12" customHeight="1">
      <c r="A60" s="189">
        <v>51</v>
      </c>
      <c r="B60" s="200" t="str">
        <f>VLOOKUP($A60,Invulblad!A$76:J$103,6,0)&amp;"-"&amp;VLOOKUP($A60,Invulblad!A$76:J$103,10,0)</f>
        <v>Duitsland-Engeland</v>
      </c>
      <c r="C60" s="342">
        <f ca="1">IF(VLOOKUP($A60,INDIRECT(C$1&amp;"!$B$14:$P$89"),15,0)&lt;&gt;"",VLOOKUP($A60,INDIRECT(C$1&amp;"!$B$14:$P$89"),15,0)+C59,"")</f>
        <v>250</v>
      </c>
      <c r="D60" s="342">
        <f ca="1">IF(VLOOKUP($A60,INDIRECT(D$1&amp;"!$B$14:$P$89"),15,0)&lt;&gt;"",VLOOKUP($A60,INDIRECT(D$1&amp;"!$B$14:$P$89"),15,0)+D59,"")</f>
        <v>225</v>
      </c>
      <c r="E60" s="342">
        <f ca="1">IF(VLOOKUP($A60,INDIRECT(E$1&amp;"!$B$14:$P$89"),15,0)&lt;&gt;"",VLOOKUP($A60,INDIRECT(E$1&amp;"!$B$14:$P$89"),15,0)+E59,"")</f>
        <v>225</v>
      </c>
      <c r="F60" s="342">
        <f ca="1">IF(VLOOKUP($A60,INDIRECT(F$1&amp;"!$B$14:$P$89"),15,0)&lt;&gt;"",VLOOKUP($A60,INDIRECT(F$1&amp;"!$B$14:$P$89"),15,0)+F59,"")</f>
        <v>265</v>
      </c>
      <c r="G60" s="342">
        <f ca="1">IF(VLOOKUP($A60,INDIRECT(G$1&amp;"!$B$14:$P$89"),15,0)&lt;&gt;"",VLOOKUP($A60,INDIRECT(G$1&amp;"!$B$14:$P$89"),15,0)+G59,"")</f>
        <v>240</v>
      </c>
      <c r="H60" s="342">
        <f ca="1">IF(VLOOKUP($A60,INDIRECT(H$1&amp;"!$B$14:$P$89"),15,0)&lt;&gt;"",VLOOKUP($A60,INDIRECT(H$1&amp;"!$B$14:$P$89"),15,0)+H59,"")</f>
        <v>225</v>
      </c>
      <c r="I60" s="342">
        <f ca="1">IF(VLOOKUP($A60,INDIRECT(I$1&amp;"!$B$14:$P$89"),15,0)&lt;&gt;"",VLOOKUP($A60,INDIRECT(I$1&amp;"!$B$14:$P$89"),15,0)+I59,"")</f>
        <v>245</v>
      </c>
      <c r="J60" s="342">
        <f ca="1">IF(VLOOKUP($A60,INDIRECT(J$1&amp;"!$B$14:$P$89"),15,0)&lt;&gt;"",VLOOKUP($A60,INDIRECT(J$1&amp;"!$B$14:$P$89"),15,0)+J59,"")</f>
        <v>250</v>
      </c>
      <c r="K60" s="342">
        <f ca="1">IF(VLOOKUP($A60,INDIRECT(K$1&amp;"!$B$14:$P$89"),15,0)&lt;&gt;"",VLOOKUP($A60,INDIRECT(K$1&amp;"!$B$14:$P$89"),15,0)+K59,"")</f>
        <v>260</v>
      </c>
      <c r="L60" s="342">
        <f ca="1">IF(VLOOKUP($A60,INDIRECT(L$1&amp;"!$B$14:$P$89"),15,0)&lt;&gt;"",VLOOKUP($A60,INDIRECT(L$1&amp;"!$B$14:$P$89"),15,0)+L59,"")</f>
        <v>280</v>
      </c>
      <c r="M60" s="342">
        <f ca="1">IF(VLOOKUP($A60,INDIRECT(M$1&amp;"!$B$14:$P$89"),15,0)&lt;&gt;"",VLOOKUP($A60,INDIRECT(M$1&amp;"!$B$14:$P$89"),15,0)+M59,"")</f>
        <v>230</v>
      </c>
      <c r="N60" s="342">
        <f ca="1">IF(VLOOKUP($A60,INDIRECT(N$1&amp;"!$B$14:$P$89"),15,0)&lt;&gt;"",VLOOKUP($A60,INDIRECT(N$1&amp;"!$B$14:$P$89"),15,0)+N59,"")</f>
        <v>265</v>
      </c>
      <c r="O60" s="342">
        <f ca="1">IF(VLOOKUP($A60,INDIRECT(O$1&amp;"!$B$14:$P$89"),15,0)&lt;&gt;"",VLOOKUP($A60,INDIRECT(O$1&amp;"!$B$14:$P$89"),15,0)+O59,"")</f>
        <v>230</v>
      </c>
      <c r="P60" s="342">
        <f ca="1">IF(VLOOKUP($A60,INDIRECT(P$1&amp;"!$B$14:$P$89"),15,0)&lt;&gt;"",VLOOKUP($A60,INDIRECT(P$1&amp;"!$B$14:$P$89"),15,0)+P59,"")</f>
        <v>270</v>
      </c>
      <c r="Q60" s="342">
        <f ca="1">IF(VLOOKUP($A60,INDIRECT(Q$1&amp;"!$B$14:$P$89"),15,0)&lt;&gt;"",VLOOKUP($A60,INDIRECT(Q$1&amp;"!$B$14:$P$89"),15,0)+Q59,"")</f>
        <v>220</v>
      </c>
      <c r="R60" s="342">
        <f ca="1">IF(VLOOKUP($A60,INDIRECT(R$1&amp;"!$B$14:$P$89"),15,0)&lt;&gt;"",VLOOKUP($A60,INDIRECT(R$1&amp;"!$B$14:$P$89"),15,0)+R59,"")</f>
        <v>205</v>
      </c>
      <c r="S60" s="342">
        <f ca="1">IF(VLOOKUP($A60,INDIRECT(S$1&amp;"!$B$14:$P$89"),15,0)&lt;&gt;"",VLOOKUP($A60,INDIRECT(S$1&amp;"!$B$14:$P$89"),15,0)+S59,"")</f>
        <v>245</v>
      </c>
      <c r="T60" s="342">
        <f ca="1">IF(VLOOKUP($A60,INDIRECT(T$1&amp;"!$B$14:$P$89"),15,0)&lt;&gt;"",VLOOKUP($A60,INDIRECT(T$1&amp;"!$B$14:$P$89"),15,0)+T59,"")</f>
        <v>240</v>
      </c>
      <c r="U60" s="342">
        <f ca="1">IF(VLOOKUP($A60,INDIRECT(U$1&amp;"!$B$14:$P$89"),15,0)&lt;&gt;"",VLOOKUP($A60,INDIRECT(U$1&amp;"!$B$14:$P$89"),15,0)+U59,"")</f>
        <v>235</v>
      </c>
      <c r="V60" s="342">
        <f ca="1">IF(VLOOKUP($A60,INDIRECT(V$1&amp;"!$B$14:$P$89"),15,0)&lt;&gt;"",VLOOKUP($A60,INDIRECT(V$1&amp;"!$B$14:$P$89"),15,0)+V59,"")</f>
        <v>240</v>
      </c>
      <c r="W60" s="342">
        <f ca="1">IF(VLOOKUP($A60,INDIRECT(W$1&amp;"!$B$14:$P$89"),15,0)&lt;&gt;"",VLOOKUP($A60,INDIRECT(W$1&amp;"!$B$14:$P$89"),15,0)+W59,"")</f>
        <v>240</v>
      </c>
      <c r="X60" s="342">
        <f ca="1">IF(VLOOKUP($A60,INDIRECT(X$1&amp;"!$B$14:$P$89"),15,0)&lt;&gt;"",VLOOKUP($A60,INDIRECT(X$1&amp;"!$B$14:$P$89"),15,0)+X59,"")</f>
        <v>180</v>
      </c>
      <c r="Y60" s="178">
        <f t="shared" ca="1" si="4"/>
        <v>239.31818181818181</v>
      </c>
      <c r="Z60" s="194">
        <f t="shared" ca="1" si="6"/>
        <v>4.0909090909090935</v>
      </c>
      <c r="AA60" s="195">
        <f ca="1">IF(C60&lt;&gt;"",C60-$Y60,"")</f>
        <v>10.681818181818187</v>
      </c>
      <c r="AB60" s="195">
        <f ca="1">IF(D60&lt;&gt;"",D60-$Y60,"")</f>
        <v>-14.318181818181813</v>
      </c>
      <c r="AC60" s="195">
        <f ca="1">IF(E60&lt;&gt;"",E60-$Y60,"")</f>
        <v>-14.318181818181813</v>
      </c>
      <c r="AD60" s="195">
        <f ca="1">IF(F60&lt;&gt;"",F60-$Y60,"")</f>
        <v>25.681818181818187</v>
      </c>
      <c r="AE60" s="195">
        <f ca="1">IF(G60&lt;&gt;"",G60-$Y60,"")</f>
        <v>0.68181818181818699</v>
      </c>
      <c r="AF60" s="195">
        <f ca="1">IF(H60&lt;&gt;"",H60-$Y60,"")</f>
        <v>-14.318181818181813</v>
      </c>
      <c r="AG60" s="195">
        <f ca="1">IF(I60&lt;&gt;"",I60-$Y60,"")</f>
        <v>5.681818181818187</v>
      </c>
      <c r="AH60" s="195">
        <f ca="1">IF(J60&lt;&gt;"",J60-$Y60,"")</f>
        <v>10.681818181818187</v>
      </c>
      <c r="AI60" s="195">
        <f ca="1">IF(K60&lt;&gt;"",K60-$Y60,"")</f>
        <v>20.681818181818187</v>
      </c>
      <c r="AJ60" s="195">
        <f ca="1">IF(L60&lt;&gt;"",L60-$Y60,"")</f>
        <v>40.681818181818187</v>
      </c>
      <c r="AK60" s="195">
        <f ca="1">IF(M60&lt;&gt;"",M60-$Y60,"")</f>
        <v>-9.318181818181813</v>
      </c>
      <c r="AL60" s="195">
        <f ca="1">IF(N60&lt;&gt;"",N60-$Y60,"")</f>
        <v>25.681818181818187</v>
      </c>
      <c r="AM60" s="195">
        <f ca="1">IF(O60&lt;&gt;"",O60-$Y60,"")</f>
        <v>-9.318181818181813</v>
      </c>
      <c r="AN60" s="195">
        <f ca="1">IF(P60&lt;&gt;"",P60-$Y60,"")</f>
        <v>30.681818181818187</v>
      </c>
      <c r="AO60" s="195">
        <f ca="1">IF(S60&lt;&gt;"",S60-$Y60,"")</f>
        <v>5.681818181818187</v>
      </c>
      <c r="AP60" s="195">
        <f ca="1">IF(T60&lt;&gt;"",T60-$Y60,"")</f>
        <v>0.68181818181818699</v>
      </c>
      <c r="AQ60" s="195">
        <f ca="1">IF(U60&lt;&gt;"",U60-$Y60,"")</f>
        <v>-4.318181818181813</v>
      </c>
      <c r="AR60" s="195">
        <f ca="1">IF(V60&lt;&gt;"",V60-$Y60,"")</f>
        <v>0.68181818181818699</v>
      </c>
      <c r="AS60" s="195">
        <f ca="1">IF(W60&lt;&gt;"",W60-$Y60,"")</f>
        <v>0.68181818181818699</v>
      </c>
      <c r="AT60" s="195">
        <f ca="1">IF(Q60&lt;&gt;"",Q60-$Y60,"")</f>
        <v>-19.318181818181813</v>
      </c>
      <c r="AU60" s="195">
        <f ca="1">IF(R60&lt;&gt;"",R60-$Y60,"")</f>
        <v>-34.318181818181813</v>
      </c>
      <c r="AV60" s="195">
        <f t="shared" ca="1" si="5"/>
        <v>-59.318181818181813</v>
      </c>
    </row>
    <row r="61" spans="1:48">
      <c r="A61" s="189">
        <v>52</v>
      </c>
      <c r="B61" s="201" t="str">
        <f>VLOOKUP($A61,Invulblad!A$76:J$103,6,0)&amp;"-"&amp;VLOOKUP($A61,Invulblad!A$76:J$103,10,0)</f>
        <v>Argentinië-Mexico</v>
      </c>
      <c r="C61" s="343">
        <f ca="1">IF(VLOOKUP($A61,INDIRECT(C$1&amp;"!$B$14:$P$89"),15,0)&lt;&gt;"",VLOOKUP($A61,INDIRECT(C$1&amp;"!$B$14:$P$89"),15,0)+C60,"")</f>
        <v>250</v>
      </c>
      <c r="D61" s="343">
        <f ca="1">IF(VLOOKUP($A61,INDIRECT(D$1&amp;"!$B$14:$P$89"),15,0)&lt;&gt;"",VLOOKUP($A61,INDIRECT(D$1&amp;"!$B$14:$P$89"),15,0)+D60,"")</f>
        <v>230</v>
      </c>
      <c r="E61" s="343">
        <f ca="1">IF(VLOOKUP($A61,INDIRECT(E$1&amp;"!$B$14:$P$89"),15,0)&lt;&gt;"",VLOOKUP($A61,INDIRECT(E$1&amp;"!$B$14:$P$89"),15,0)+E60,"")</f>
        <v>225</v>
      </c>
      <c r="F61" s="343">
        <f ca="1">IF(VLOOKUP($A61,INDIRECT(F$1&amp;"!$B$14:$P$89"),15,0)&lt;&gt;"",VLOOKUP($A61,INDIRECT(F$1&amp;"!$B$14:$P$89"),15,0)+F60,"")</f>
        <v>275</v>
      </c>
      <c r="G61" s="343">
        <f ca="1">IF(VLOOKUP($A61,INDIRECT(G$1&amp;"!$B$14:$P$89"),15,0)&lt;&gt;"",VLOOKUP($A61,INDIRECT(G$1&amp;"!$B$14:$P$89"),15,0)+G60,"")</f>
        <v>245</v>
      </c>
      <c r="H61" s="343">
        <f ca="1">IF(VLOOKUP($A61,INDIRECT(H$1&amp;"!$B$14:$P$89"),15,0)&lt;&gt;"",VLOOKUP($A61,INDIRECT(H$1&amp;"!$B$14:$P$89"),15,0)+H60,"")</f>
        <v>225</v>
      </c>
      <c r="I61" s="343">
        <f ca="1">IF(VLOOKUP($A61,INDIRECT(I$1&amp;"!$B$14:$P$89"),15,0)&lt;&gt;"",VLOOKUP($A61,INDIRECT(I$1&amp;"!$B$14:$P$89"),15,0)+I60,"")</f>
        <v>255</v>
      </c>
      <c r="J61" s="343">
        <f ca="1">IF(VLOOKUP($A61,INDIRECT(J$1&amp;"!$B$14:$P$89"),15,0)&lt;&gt;"",VLOOKUP($A61,INDIRECT(J$1&amp;"!$B$14:$P$89"),15,0)+J60,"")</f>
        <v>250</v>
      </c>
      <c r="K61" s="343">
        <f ca="1">IF(VLOOKUP($A61,INDIRECT(K$1&amp;"!$B$14:$P$89"),15,0)&lt;&gt;"",VLOOKUP($A61,INDIRECT(K$1&amp;"!$B$14:$P$89"),15,0)+K60,"")</f>
        <v>265</v>
      </c>
      <c r="L61" s="343">
        <f ca="1">IF(VLOOKUP($A61,INDIRECT(L$1&amp;"!$B$14:$P$89"),15,0)&lt;&gt;"",VLOOKUP($A61,INDIRECT(L$1&amp;"!$B$14:$P$89"),15,0)+L60,"")</f>
        <v>285</v>
      </c>
      <c r="M61" s="343">
        <f ca="1">IF(VLOOKUP($A61,INDIRECT(M$1&amp;"!$B$14:$P$89"),15,0)&lt;&gt;"",VLOOKUP($A61,INDIRECT(M$1&amp;"!$B$14:$P$89"),15,0)+M60,"")</f>
        <v>235</v>
      </c>
      <c r="N61" s="343">
        <f ca="1">IF(VLOOKUP($A61,INDIRECT(N$1&amp;"!$B$14:$P$89"),15,0)&lt;&gt;"",VLOOKUP($A61,INDIRECT(N$1&amp;"!$B$14:$P$89"),15,0)+N60,"")</f>
        <v>270</v>
      </c>
      <c r="O61" s="343">
        <f ca="1">IF(VLOOKUP($A61,INDIRECT(O$1&amp;"!$B$14:$P$89"),15,0)&lt;&gt;"",VLOOKUP($A61,INDIRECT(O$1&amp;"!$B$14:$P$89"),15,0)+O60,"")</f>
        <v>235</v>
      </c>
      <c r="P61" s="343">
        <f ca="1">IF(VLOOKUP($A61,INDIRECT(P$1&amp;"!$B$14:$P$89"),15,0)&lt;&gt;"",VLOOKUP($A61,INDIRECT(P$1&amp;"!$B$14:$P$89"),15,0)+P60,"")</f>
        <v>275</v>
      </c>
      <c r="Q61" s="343">
        <f ca="1">IF(VLOOKUP($A61,INDIRECT(Q$1&amp;"!$B$14:$P$89"),15,0)&lt;&gt;"",VLOOKUP($A61,INDIRECT(Q$1&amp;"!$B$14:$P$89"),15,0)+Q60,"")</f>
        <v>225</v>
      </c>
      <c r="R61" s="343">
        <f ca="1">IF(VLOOKUP($A61,INDIRECT(R$1&amp;"!$B$14:$P$89"),15,0)&lt;&gt;"",VLOOKUP($A61,INDIRECT(R$1&amp;"!$B$14:$P$89"),15,0)+R60,"")</f>
        <v>210</v>
      </c>
      <c r="S61" s="343">
        <f ca="1">IF(VLOOKUP($A61,INDIRECT(S$1&amp;"!$B$14:$P$89"),15,0)&lt;&gt;"",VLOOKUP($A61,INDIRECT(S$1&amp;"!$B$14:$P$89"),15,0)+S60,"")</f>
        <v>250</v>
      </c>
      <c r="T61" s="343">
        <f ca="1">IF(VLOOKUP($A61,INDIRECT(T$1&amp;"!$B$14:$P$89"),15,0)&lt;&gt;"",VLOOKUP($A61,INDIRECT(T$1&amp;"!$B$14:$P$89"),15,0)+T60,"")</f>
        <v>245</v>
      </c>
      <c r="U61" s="343">
        <f ca="1">IF(VLOOKUP($A61,INDIRECT(U$1&amp;"!$B$14:$P$89"),15,0)&lt;&gt;"",VLOOKUP($A61,INDIRECT(U$1&amp;"!$B$14:$P$89"),15,0)+U60,"")</f>
        <v>245</v>
      </c>
      <c r="V61" s="343">
        <f ca="1">IF(VLOOKUP($A61,INDIRECT(V$1&amp;"!$B$14:$P$89"),15,0)&lt;&gt;"",VLOOKUP($A61,INDIRECT(V$1&amp;"!$B$14:$P$89"),15,0)+V60,"")</f>
        <v>245</v>
      </c>
      <c r="W61" s="343">
        <f ca="1">IF(VLOOKUP($A61,INDIRECT(W$1&amp;"!$B$14:$P$89"),15,0)&lt;&gt;"",VLOOKUP($A61,INDIRECT(W$1&amp;"!$B$14:$P$89"),15,0)+W60,"")</f>
        <v>245</v>
      </c>
      <c r="X61" s="343">
        <f ca="1">IF(VLOOKUP($A61,INDIRECT(X$1&amp;"!$B$14:$P$89"),15,0)&lt;&gt;"",VLOOKUP($A61,INDIRECT(X$1&amp;"!$B$14:$P$89"),15,0)+X60,"")</f>
        <v>180</v>
      </c>
      <c r="Y61" s="178">
        <f t="shared" ca="1" si="4"/>
        <v>243.86363636363637</v>
      </c>
      <c r="Z61" s="194">
        <f t="shared" ca="1" si="6"/>
        <v>4.545454545454561</v>
      </c>
      <c r="AA61" s="195">
        <f ca="1">IF(C61&lt;&gt;"",C61-$Y61,"")</f>
        <v>6.136363636363626</v>
      </c>
      <c r="AB61" s="195">
        <f ca="1">IF(D61&lt;&gt;"",D61-$Y61,"")</f>
        <v>-13.863636363636374</v>
      </c>
      <c r="AC61" s="195">
        <f ca="1">IF(E61&lt;&gt;"",E61-$Y61,"")</f>
        <v>-18.863636363636374</v>
      </c>
      <c r="AD61" s="195">
        <f ca="1">IF(F61&lt;&gt;"",F61-$Y61,"")</f>
        <v>31.136363636363626</v>
      </c>
      <c r="AE61" s="195">
        <f ca="1">IF(G61&lt;&gt;"",G61-$Y61,"")</f>
        <v>1.136363636363626</v>
      </c>
      <c r="AF61" s="195">
        <f ca="1">IF(H61&lt;&gt;"",H61-$Y61,"")</f>
        <v>-18.863636363636374</v>
      </c>
      <c r="AG61" s="195">
        <f ca="1">IF(I61&lt;&gt;"",I61-$Y61,"")</f>
        <v>11.136363636363626</v>
      </c>
      <c r="AH61" s="195">
        <f ca="1">IF(J61&lt;&gt;"",J61-$Y61,"")</f>
        <v>6.136363636363626</v>
      </c>
      <c r="AI61" s="195">
        <f ca="1">IF(K61&lt;&gt;"",K61-$Y61,"")</f>
        <v>21.136363636363626</v>
      </c>
      <c r="AJ61" s="195">
        <f ca="1">IF(L61&lt;&gt;"",L61-$Y61,"")</f>
        <v>41.136363636363626</v>
      </c>
      <c r="AK61" s="195">
        <f ca="1">IF(M61&lt;&gt;"",M61-$Y61,"")</f>
        <v>-8.863636363636374</v>
      </c>
      <c r="AL61" s="195">
        <f ca="1">IF(N61&lt;&gt;"",N61-$Y61,"")</f>
        <v>26.136363636363626</v>
      </c>
      <c r="AM61" s="195">
        <f ca="1">IF(O61&lt;&gt;"",O61-$Y61,"")</f>
        <v>-8.863636363636374</v>
      </c>
      <c r="AN61" s="195">
        <f ca="1">IF(P61&lt;&gt;"",P61-$Y61,"")</f>
        <v>31.136363636363626</v>
      </c>
      <c r="AO61" s="195">
        <f ca="1">IF(S61&lt;&gt;"",S61-$Y61,"")</f>
        <v>6.136363636363626</v>
      </c>
      <c r="AP61" s="195">
        <f ca="1">IF(T61&lt;&gt;"",T61-$Y61,"")</f>
        <v>1.136363636363626</v>
      </c>
      <c r="AQ61" s="195">
        <f ca="1">IF(U61&lt;&gt;"",U61-$Y61,"")</f>
        <v>1.136363636363626</v>
      </c>
      <c r="AR61" s="195">
        <f ca="1">IF(V61&lt;&gt;"",V61-$Y61,"")</f>
        <v>1.136363636363626</v>
      </c>
      <c r="AS61" s="195">
        <f ca="1">IF(W61&lt;&gt;"",W61-$Y61,"")</f>
        <v>1.136363636363626</v>
      </c>
      <c r="AT61" s="195">
        <f ca="1">IF(Q61&lt;&gt;"",Q61-$Y61,"")</f>
        <v>-18.863636363636374</v>
      </c>
      <c r="AU61" s="195">
        <f ca="1">IF(R61&lt;&gt;"",R61-$Y61,"")</f>
        <v>-33.863636363636374</v>
      </c>
      <c r="AV61" s="195">
        <f t="shared" ca="1" si="5"/>
        <v>-63.863636363636374</v>
      </c>
    </row>
    <row r="62" spans="1:48">
      <c r="A62" s="189">
        <v>53</v>
      </c>
      <c r="B62" s="200" t="str">
        <f>VLOOKUP($A62,Invulblad!A$76:J$103,6,0)&amp;"-"&amp;VLOOKUP($A62,Invulblad!A$76:J$103,10,0)</f>
        <v>Nederland-Slowakije</v>
      </c>
      <c r="C62" s="342">
        <f ca="1">IF(VLOOKUP($A62,INDIRECT(C$1&amp;"!$B$14:$P$89"),15,0)&lt;&gt;"",VLOOKUP($A62,INDIRECT(C$1&amp;"!$B$14:$P$89"),15,0)+C61,"")</f>
        <v>255</v>
      </c>
      <c r="D62" s="342">
        <f ca="1">IF(VLOOKUP($A62,INDIRECT(D$1&amp;"!$B$14:$P$89"),15,0)&lt;&gt;"",VLOOKUP($A62,INDIRECT(D$1&amp;"!$B$14:$P$89"),15,0)+D61,"")</f>
        <v>235</v>
      </c>
      <c r="E62" s="342">
        <f ca="1">IF(VLOOKUP($A62,INDIRECT(E$1&amp;"!$B$14:$P$89"),15,0)&lt;&gt;"",VLOOKUP($A62,INDIRECT(E$1&amp;"!$B$14:$P$89"),15,0)+E61,"")</f>
        <v>230</v>
      </c>
      <c r="F62" s="342">
        <f ca="1">IF(VLOOKUP($A62,INDIRECT(F$1&amp;"!$B$14:$P$89"),15,0)&lt;&gt;"",VLOOKUP($A62,INDIRECT(F$1&amp;"!$B$14:$P$89"),15,0)+F61,"")</f>
        <v>280</v>
      </c>
      <c r="G62" s="342">
        <f ca="1">IF(VLOOKUP($A62,INDIRECT(G$1&amp;"!$B$14:$P$89"),15,0)&lt;&gt;"",VLOOKUP($A62,INDIRECT(G$1&amp;"!$B$14:$P$89"),15,0)+G61,"")</f>
        <v>250</v>
      </c>
      <c r="H62" s="342">
        <f ca="1">IF(VLOOKUP($A62,INDIRECT(H$1&amp;"!$B$14:$P$89"),15,0)&lt;&gt;"",VLOOKUP($A62,INDIRECT(H$1&amp;"!$B$14:$P$89"),15,0)+H61,"")</f>
        <v>235</v>
      </c>
      <c r="I62" s="342">
        <f ca="1">IF(VLOOKUP($A62,INDIRECT(I$1&amp;"!$B$14:$P$89"),15,0)&lt;&gt;"",VLOOKUP($A62,INDIRECT(I$1&amp;"!$B$14:$P$89"),15,0)+I61,"")</f>
        <v>260</v>
      </c>
      <c r="J62" s="342">
        <f ca="1">IF(VLOOKUP($A62,INDIRECT(J$1&amp;"!$B$14:$P$89"),15,0)&lt;&gt;"",VLOOKUP($A62,INDIRECT(J$1&amp;"!$B$14:$P$89"),15,0)+J61,"")</f>
        <v>255</v>
      </c>
      <c r="K62" s="342">
        <f ca="1">IF(VLOOKUP($A62,INDIRECT(K$1&amp;"!$B$14:$P$89"),15,0)&lt;&gt;"",VLOOKUP($A62,INDIRECT(K$1&amp;"!$B$14:$P$89"),15,0)+K61,"")</f>
        <v>275</v>
      </c>
      <c r="L62" s="342">
        <f ca="1">IF(VLOOKUP($A62,INDIRECT(L$1&amp;"!$B$14:$P$89"),15,0)&lt;&gt;"",VLOOKUP($A62,INDIRECT(L$1&amp;"!$B$14:$P$89"),15,0)+L61,"")</f>
        <v>290</v>
      </c>
      <c r="M62" s="342">
        <f ca="1">IF(VLOOKUP($A62,INDIRECT(M$1&amp;"!$B$14:$P$89"),15,0)&lt;&gt;"",VLOOKUP($A62,INDIRECT(M$1&amp;"!$B$14:$P$89"),15,0)+M61,"")</f>
        <v>245</v>
      </c>
      <c r="N62" s="342">
        <f ca="1">IF(VLOOKUP($A62,INDIRECT(N$1&amp;"!$B$14:$P$89"),15,0)&lt;&gt;"",VLOOKUP($A62,INDIRECT(N$1&amp;"!$B$14:$P$89"),15,0)+N61,"")</f>
        <v>280</v>
      </c>
      <c r="O62" s="342">
        <f ca="1">IF(VLOOKUP($A62,INDIRECT(O$1&amp;"!$B$14:$P$89"),15,0)&lt;&gt;"",VLOOKUP($A62,INDIRECT(O$1&amp;"!$B$14:$P$89"),15,0)+O61,"")</f>
        <v>235</v>
      </c>
      <c r="P62" s="342">
        <f ca="1">IF(VLOOKUP($A62,INDIRECT(P$1&amp;"!$B$14:$P$89"),15,0)&lt;&gt;"",VLOOKUP($A62,INDIRECT(P$1&amp;"!$B$14:$P$89"),15,0)+P61,"")</f>
        <v>280</v>
      </c>
      <c r="Q62" s="342">
        <f ca="1">IF(VLOOKUP($A62,INDIRECT(Q$1&amp;"!$B$14:$P$89"),15,0)&lt;&gt;"",VLOOKUP($A62,INDIRECT(Q$1&amp;"!$B$14:$P$89"),15,0)+Q61,"")</f>
        <v>230</v>
      </c>
      <c r="R62" s="342">
        <f ca="1">IF(VLOOKUP($A62,INDIRECT(R$1&amp;"!$B$14:$P$89"),15,0)&lt;&gt;"",VLOOKUP($A62,INDIRECT(R$1&amp;"!$B$14:$P$89"),15,0)+R61,"")</f>
        <v>210</v>
      </c>
      <c r="S62" s="342">
        <f ca="1">IF(VLOOKUP($A62,INDIRECT(S$1&amp;"!$B$14:$P$89"),15,0)&lt;&gt;"",VLOOKUP($A62,INDIRECT(S$1&amp;"!$B$14:$P$89"),15,0)+S61,"")</f>
        <v>255</v>
      </c>
      <c r="T62" s="342">
        <f ca="1">IF(VLOOKUP($A62,INDIRECT(T$1&amp;"!$B$14:$P$89"),15,0)&lt;&gt;"",VLOOKUP($A62,INDIRECT(T$1&amp;"!$B$14:$P$89"),15,0)+T61,"")</f>
        <v>255</v>
      </c>
      <c r="U62" s="342">
        <f ca="1">IF(VLOOKUP($A62,INDIRECT(U$1&amp;"!$B$14:$P$89"),15,0)&lt;&gt;"",VLOOKUP($A62,INDIRECT(U$1&amp;"!$B$14:$P$89"),15,0)+U61,"")</f>
        <v>250</v>
      </c>
      <c r="V62" s="342">
        <f ca="1">IF(VLOOKUP($A62,INDIRECT(V$1&amp;"!$B$14:$P$89"),15,0)&lt;&gt;"",VLOOKUP($A62,INDIRECT(V$1&amp;"!$B$14:$P$89"),15,0)+V61,"")</f>
        <v>245</v>
      </c>
      <c r="W62" s="342">
        <f ca="1">IF(VLOOKUP($A62,INDIRECT(W$1&amp;"!$B$14:$P$89"),15,0)&lt;&gt;"",VLOOKUP($A62,INDIRECT(W$1&amp;"!$B$14:$P$89"),15,0)+W61,"")</f>
        <v>255</v>
      </c>
      <c r="X62" s="342">
        <f ca="1">IF(VLOOKUP($A62,INDIRECT(X$1&amp;"!$B$14:$P$89"),15,0)&lt;&gt;"",VLOOKUP($A62,INDIRECT(X$1&amp;"!$B$14:$P$89"),15,0)+X61,"")</f>
        <v>190</v>
      </c>
      <c r="Y62" s="178">
        <f t="shared" ca="1" si="4"/>
        <v>249.77272727272728</v>
      </c>
      <c r="Z62" s="194">
        <f t="shared" ca="1" si="6"/>
        <v>5.9090909090909065</v>
      </c>
      <c r="AA62" s="195">
        <f ca="1">IF(C62&lt;&gt;"",C62-$Y62,"")</f>
        <v>5.2272727272727195</v>
      </c>
      <c r="AB62" s="195">
        <f ca="1">IF(D62&lt;&gt;"",D62-$Y62,"")</f>
        <v>-14.77272727272728</v>
      </c>
      <c r="AC62" s="195">
        <f ca="1">IF(E62&lt;&gt;"",E62-$Y62,"")</f>
        <v>-19.77272727272728</v>
      </c>
      <c r="AD62" s="195">
        <f ca="1">IF(F62&lt;&gt;"",F62-$Y62,"")</f>
        <v>30.22727272727272</v>
      </c>
      <c r="AE62" s="195">
        <f ca="1">IF(G62&lt;&gt;"",G62-$Y62,"")</f>
        <v>0.22727272727271952</v>
      </c>
      <c r="AF62" s="195">
        <f ca="1">IF(H62&lt;&gt;"",H62-$Y62,"")</f>
        <v>-14.77272727272728</v>
      </c>
      <c r="AG62" s="195">
        <f ca="1">IF(I62&lt;&gt;"",I62-$Y62,"")</f>
        <v>10.22727272727272</v>
      </c>
      <c r="AH62" s="195">
        <f ca="1">IF(J62&lt;&gt;"",J62-$Y62,"")</f>
        <v>5.2272727272727195</v>
      </c>
      <c r="AI62" s="195">
        <f ca="1">IF(K62&lt;&gt;"",K62-$Y62,"")</f>
        <v>25.22727272727272</v>
      </c>
      <c r="AJ62" s="195">
        <f ca="1">IF(L62&lt;&gt;"",L62-$Y62,"")</f>
        <v>40.22727272727272</v>
      </c>
      <c r="AK62" s="195">
        <f ca="1">IF(M62&lt;&gt;"",M62-$Y62,"")</f>
        <v>-4.7727272727272805</v>
      </c>
      <c r="AL62" s="195">
        <f ca="1">IF(N62&lt;&gt;"",N62-$Y62,"")</f>
        <v>30.22727272727272</v>
      </c>
      <c r="AM62" s="195">
        <f ca="1">IF(O62&lt;&gt;"",O62-$Y62,"")</f>
        <v>-14.77272727272728</v>
      </c>
      <c r="AN62" s="195">
        <f ca="1">IF(P62&lt;&gt;"",P62-$Y62,"")</f>
        <v>30.22727272727272</v>
      </c>
      <c r="AO62" s="195">
        <f ca="1">IF(S62&lt;&gt;"",S62-$Y62,"")</f>
        <v>5.2272727272727195</v>
      </c>
      <c r="AP62" s="195">
        <f ca="1">IF(T62&lt;&gt;"",T62-$Y62,"")</f>
        <v>5.2272727272727195</v>
      </c>
      <c r="AQ62" s="195">
        <f ca="1">IF(U62&lt;&gt;"",U62-$Y62,"")</f>
        <v>0.22727272727271952</v>
      </c>
      <c r="AR62" s="195">
        <f ca="1">IF(V62&lt;&gt;"",V62-$Y62,"")</f>
        <v>-4.7727272727272805</v>
      </c>
      <c r="AS62" s="195">
        <f ca="1">IF(W62&lt;&gt;"",W62-$Y62,"")</f>
        <v>5.2272727272727195</v>
      </c>
      <c r="AT62" s="195">
        <f ca="1">IF(Q62&lt;&gt;"",Q62-$Y62,"")</f>
        <v>-19.77272727272728</v>
      </c>
      <c r="AU62" s="195">
        <f ca="1">IF(R62&lt;&gt;"",R62-$Y62,"")</f>
        <v>-39.77272727272728</v>
      </c>
      <c r="AV62" s="195">
        <f t="shared" ca="1" si="5"/>
        <v>-59.77272727272728</v>
      </c>
    </row>
    <row r="63" spans="1:48">
      <c r="A63" s="189">
        <v>54</v>
      </c>
      <c r="B63" s="201" t="str">
        <f>VLOOKUP($A63,Invulblad!A$76:J$103,6,0)&amp;"-"&amp;VLOOKUP($A63,Invulblad!A$76:J$103,10,0)</f>
        <v>Brazilië-Chili</v>
      </c>
      <c r="C63" s="343">
        <f ca="1">IF(VLOOKUP($A63,INDIRECT(C$1&amp;"!$B$14:$P$89"),15,0)&lt;&gt;"",VLOOKUP($A63,INDIRECT(C$1&amp;"!$B$14:$P$89"),15,0)+C62,"")</f>
        <v>260</v>
      </c>
      <c r="D63" s="343">
        <f ca="1">IF(VLOOKUP($A63,INDIRECT(D$1&amp;"!$B$14:$P$89"),15,0)&lt;&gt;"",VLOOKUP($A63,INDIRECT(D$1&amp;"!$B$14:$P$89"),15,0)+D62,"")</f>
        <v>240</v>
      </c>
      <c r="E63" s="343">
        <f ca="1">IF(VLOOKUP($A63,INDIRECT(E$1&amp;"!$B$14:$P$89"),15,0)&lt;&gt;"",VLOOKUP($A63,INDIRECT(E$1&amp;"!$B$14:$P$89"),15,0)+E62,"")</f>
        <v>235</v>
      </c>
      <c r="F63" s="343">
        <f ca="1">IF(VLOOKUP($A63,INDIRECT(F$1&amp;"!$B$14:$P$89"),15,0)&lt;&gt;"",VLOOKUP($A63,INDIRECT(F$1&amp;"!$B$14:$P$89"),15,0)+F62,"")</f>
        <v>280</v>
      </c>
      <c r="G63" s="343">
        <f ca="1">IF(VLOOKUP($A63,INDIRECT(G$1&amp;"!$B$14:$P$89"),15,0)&lt;&gt;"",VLOOKUP($A63,INDIRECT(G$1&amp;"!$B$14:$P$89"),15,0)+G62,"")</f>
        <v>260</v>
      </c>
      <c r="H63" s="343">
        <f ca="1">IF(VLOOKUP($A63,INDIRECT(H$1&amp;"!$B$14:$P$89"),15,0)&lt;&gt;"",VLOOKUP($A63,INDIRECT(H$1&amp;"!$B$14:$P$89"),15,0)+H62,"")</f>
        <v>245</v>
      </c>
      <c r="I63" s="343">
        <f ca="1">IF(VLOOKUP($A63,INDIRECT(I$1&amp;"!$B$14:$P$89"),15,0)&lt;&gt;"",VLOOKUP($A63,INDIRECT(I$1&amp;"!$B$14:$P$89"),15,0)+I62,"")</f>
        <v>265</v>
      </c>
      <c r="J63" s="343">
        <f ca="1">IF(VLOOKUP($A63,INDIRECT(J$1&amp;"!$B$14:$P$89"),15,0)&lt;&gt;"",VLOOKUP($A63,INDIRECT(J$1&amp;"!$B$14:$P$89"),15,0)+J62,"")</f>
        <v>260</v>
      </c>
      <c r="K63" s="343">
        <f ca="1">IF(VLOOKUP($A63,INDIRECT(K$1&amp;"!$B$14:$P$89"),15,0)&lt;&gt;"",VLOOKUP($A63,INDIRECT(K$1&amp;"!$B$14:$P$89"),15,0)+K62,"")</f>
        <v>280</v>
      </c>
      <c r="L63" s="343">
        <f ca="1">IF(VLOOKUP($A63,INDIRECT(L$1&amp;"!$B$14:$P$89"),15,0)&lt;&gt;"",VLOOKUP($A63,INDIRECT(L$1&amp;"!$B$14:$P$89"),15,0)+L62,"")</f>
        <v>295</v>
      </c>
      <c r="M63" s="343">
        <f ca="1">IF(VLOOKUP($A63,INDIRECT(M$1&amp;"!$B$14:$P$89"),15,0)&lt;&gt;"",VLOOKUP($A63,INDIRECT(M$1&amp;"!$B$14:$P$89"),15,0)+M62,"")</f>
        <v>255</v>
      </c>
      <c r="N63" s="343">
        <f ca="1">IF(VLOOKUP($A63,INDIRECT(N$1&amp;"!$B$14:$P$89"),15,0)&lt;&gt;"",VLOOKUP($A63,INDIRECT(N$1&amp;"!$B$14:$P$89"),15,0)+N62,"")</f>
        <v>285</v>
      </c>
      <c r="O63" s="343">
        <f ca="1">IF(VLOOKUP($A63,INDIRECT(O$1&amp;"!$B$14:$P$89"),15,0)&lt;&gt;"",VLOOKUP($A63,INDIRECT(O$1&amp;"!$B$14:$P$89"),15,0)+O62,"")</f>
        <v>240</v>
      </c>
      <c r="P63" s="343">
        <f ca="1">IF(VLOOKUP($A63,INDIRECT(P$1&amp;"!$B$14:$P$89"),15,0)&lt;&gt;"",VLOOKUP($A63,INDIRECT(P$1&amp;"!$B$14:$P$89"),15,0)+P62,"")</f>
        <v>285</v>
      </c>
      <c r="Q63" s="343">
        <f ca="1">IF(VLOOKUP($A63,INDIRECT(Q$1&amp;"!$B$14:$P$89"),15,0)&lt;&gt;"",VLOOKUP($A63,INDIRECT(Q$1&amp;"!$B$14:$P$89"),15,0)+Q62,"")</f>
        <v>240</v>
      </c>
      <c r="R63" s="343">
        <f ca="1">IF(VLOOKUP($A63,INDIRECT(R$1&amp;"!$B$14:$P$89"),15,0)&lt;&gt;"",VLOOKUP($A63,INDIRECT(R$1&amp;"!$B$14:$P$89"),15,0)+R62,"")</f>
        <v>215</v>
      </c>
      <c r="S63" s="343">
        <f ca="1">IF(VLOOKUP($A63,INDIRECT(S$1&amp;"!$B$14:$P$89"),15,0)&lt;&gt;"",VLOOKUP($A63,INDIRECT(S$1&amp;"!$B$14:$P$89"),15,0)+S62,"")</f>
        <v>260</v>
      </c>
      <c r="T63" s="343">
        <f ca="1">IF(VLOOKUP($A63,INDIRECT(T$1&amp;"!$B$14:$P$89"),15,0)&lt;&gt;"",VLOOKUP($A63,INDIRECT(T$1&amp;"!$B$14:$P$89"),15,0)+T62,"")</f>
        <v>255</v>
      </c>
      <c r="U63" s="343">
        <f ca="1">IF(VLOOKUP($A63,INDIRECT(U$1&amp;"!$B$14:$P$89"),15,0)&lt;&gt;"",VLOOKUP($A63,INDIRECT(U$1&amp;"!$B$14:$P$89"),15,0)+U62,"")</f>
        <v>255</v>
      </c>
      <c r="V63" s="343">
        <f ca="1">IF(VLOOKUP($A63,INDIRECT(V$1&amp;"!$B$14:$P$89"),15,0)&lt;&gt;"",VLOOKUP($A63,INDIRECT(V$1&amp;"!$B$14:$P$89"),15,0)+V62,"")</f>
        <v>250</v>
      </c>
      <c r="W63" s="343">
        <f ca="1">IF(VLOOKUP($A63,INDIRECT(W$1&amp;"!$B$14:$P$89"),15,0)&lt;&gt;"",VLOOKUP($A63,INDIRECT(W$1&amp;"!$B$14:$P$89"),15,0)+W62,"")</f>
        <v>265</v>
      </c>
      <c r="X63" s="343">
        <f ca="1">IF(VLOOKUP($A63,INDIRECT(X$1&amp;"!$B$14:$P$89"),15,0)&lt;&gt;"",VLOOKUP($A63,INDIRECT(X$1&amp;"!$B$14:$P$89"),15,0)+X62,"")</f>
        <v>195</v>
      </c>
      <c r="Y63" s="178">
        <f t="shared" ca="1" si="4"/>
        <v>255.45454545454547</v>
      </c>
      <c r="Z63" s="194">
        <f t="shared" ca="1" si="6"/>
        <v>5.681818181818187</v>
      </c>
      <c r="AA63" s="195">
        <f ca="1">IF(C63&lt;&gt;"",C63-$Y63,"")</f>
        <v>4.5454545454545325</v>
      </c>
      <c r="AB63" s="195">
        <f ca="1">IF(D63&lt;&gt;"",D63-$Y63,"")</f>
        <v>-15.454545454545467</v>
      </c>
      <c r="AC63" s="195">
        <f ca="1">IF(E63&lt;&gt;"",E63-$Y63,"")</f>
        <v>-20.454545454545467</v>
      </c>
      <c r="AD63" s="195">
        <f ca="1">IF(F63&lt;&gt;"",F63-$Y63,"")</f>
        <v>24.545454545454533</v>
      </c>
      <c r="AE63" s="195">
        <f ca="1">IF(G63&lt;&gt;"",G63-$Y63,"")</f>
        <v>4.5454545454545325</v>
      </c>
      <c r="AF63" s="195">
        <f ca="1">IF(H63&lt;&gt;"",H63-$Y63,"")</f>
        <v>-10.454545454545467</v>
      </c>
      <c r="AG63" s="195">
        <f ca="1">IF(I63&lt;&gt;"",I63-$Y63,"")</f>
        <v>9.5454545454545325</v>
      </c>
      <c r="AH63" s="195">
        <f ca="1">IF(J63&lt;&gt;"",J63-$Y63,"")</f>
        <v>4.5454545454545325</v>
      </c>
      <c r="AI63" s="195">
        <f ca="1">IF(K63&lt;&gt;"",K63-$Y63,"")</f>
        <v>24.545454545454533</v>
      </c>
      <c r="AJ63" s="195">
        <f ca="1">IF(L63&lt;&gt;"",L63-$Y63,"")</f>
        <v>39.545454545454533</v>
      </c>
      <c r="AK63" s="195">
        <f ca="1">IF(M63&lt;&gt;"",M63-$Y63,"")</f>
        <v>-0.45454545454546746</v>
      </c>
      <c r="AL63" s="195">
        <f ca="1">IF(N63&lt;&gt;"",N63-$Y63,"")</f>
        <v>29.545454545454533</v>
      </c>
      <c r="AM63" s="195">
        <f ca="1">IF(O63&lt;&gt;"",O63-$Y63,"")</f>
        <v>-15.454545454545467</v>
      </c>
      <c r="AN63" s="195">
        <f ca="1">IF(P63&lt;&gt;"",P63-$Y63,"")</f>
        <v>29.545454545454533</v>
      </c>
      <c r="AO63" s="195">
        <f ca="1">IF(S63&lt;&gt;"",S63-$Y63,"")</f>
        <v>4.5454545454545325</v>
      </c>
      <c r="AP63" s="195">
        <f ca="1">IF(T63&lt;&gt;"",T63-$Y63,"")</f>
        <v>-0.45454545454546746</v>
      </c>
      <c r="AQ63" s="195">
        <f ca="1">IF(U63&lt;&gt;"",U63-$Y63,"")</f>
        <v>-0.45454545454546746</v>
      </c>
      <c r="AR63" s="195">
        <f ca="1">IF(V63&lt;&gt;"",V63-$Y63,"")</f>
        <v>-5.4545454545454675</v>
      </c>
      <c r="AS63" s="195">
        <f ca="1">IF(W63&lt;&gt;"",W63-$Y63,"")</f>
        <v>9.5454545454545325</v>
      </c>
      <c r="AT63" s="195">
        <f ca="1">IF(Q63&lt;&gt;"",Q63-$Y63,"")</f>
        <v>-15.454545454545467</v>
      </c>
      <c r="AU63" s="195">
        <f ca="1">IF(R63&lt;&gt;"",R63-$Y63,"")</f>
        <v>-40.454545454545467</v>
      </c>
      <c r="AV63" s="195">
        <f t="shared" ca="1" si="5"/>
        <v>-60.454545454545467</v>
      </c>
    </row>
    <row r="64" spans="1:48">
      <c r="A64" s="189">
        <v>55</v>
      </c>
      <c r="B64" s="200" t="str">
        <f>VLOOKUP($A64,Invulblad!A$76:J$103,6,0)&amp;"-"&amp;VLOOKUP($A64,Invulblad!A$76:J$103,10,0)</f>
        <v>Paraguay-Japan</v>
      </c>
      <c r="C64" s="342">
        <f ca="1">IF(VLOOKUP($A64,INDIRECT(C$1&amp;"!$B$14:$P$89"),15,0)&lt;&gt;"",VLOOKUP($A64,INDIRECT(C$1&amp;"!$B$14:$P$89"),15,0)+C63,"")</f>
        <v>260</v>
      </c>
      <c r="D64" s="342">
        <f ca="1">IF(VLOOKUP($A64,INDIRECT(D$1&amp;"!$B$14:$P$89"),15,0)&lt;&gt;"",VLOOKUP($A64,INDIRECT(D$1&amp;"!$B$14:$P$89"),15,0)+D63,"")</f>
        <v>245</v>
      </c>
      <c r="E64" s="342">
        <f ca="1">IF(VLOOKUP($A64,INDIRECT(E$1&amp;"!$B$14:$P$89"),15,0)&lt;&gt;"",VLOOKUP($A64,INDIRECT(E$1&amp;"!$B$14:$P$89"),15,0)+E63,"")</f>
        <v>235</v>
      </c>
      <c r="F64" s="342">
        <f ca="1">IF(VLOOKUP($A64,INDIRECT(F$1&amp;"!$B$14:$P$89"),15,0)&lt;&gt;"",VLOOKUP($A64,INDIRECT(F$1&amp;"!$B$14:$P$89"),15,0)+F63,"")</f>
        <v>280</v>
      </c>
      <c r="G64" s="342">
        <f ca="1">IF(VLOOKUP($A64,INDIRECT(G$1&amp;"!$B$14:$P$89"),15,0)&lt;&gt;"",VLOOKUP($A64,INDIRECT(G$1&amp;"!$B$14:$P$89"),15,0)+G63,"")</f>
        <v>260</v>
      </c>
      <c r="H64" s="342">
        <f ca="1">IF(VLOOKUP($A64,INDIRECT(H$1&amp;"!$B$14:$P$89"),15,0)&lt;&gt;"",VLOOKUP($A64,INDIRECT(H$1&amp;"!$B$14:$P$89"),15,0)+H63,"")</f>
        <v>255</v>
      </c>
      <c r="I64" s="342">
        <f ca="1">IF(VLOOKUP($A64,INDIRECT(I$1&amp;"!$B$14:$P$89"),15,0)&lt;&gt;"",VLOOKUP($A64,INDIRECT(I$1&amp;"!$B$14:$P$89"),15,0)+I63,"")</f>
        <v>265</v>
      </c>
      <c r="J64" s="342">
        <f ca="1">IF(VLOOKUP($A64,INDIRECT(J$1&amp;"!$B$14:$P$89"),15,0)&lt;&gt;"",VLOOKUP($A64,INDIRECT(J$1&amp;"!$B$14:$P$89"),15,0)+J63,"")</f>
        <v>260</v>
      </c>
      <c r="K64" s="342">
        <f ca="1">IF(VLOOKUP($A64,INDIRECT(K$1&amp;"!$B$14:$P$89"),15,0)&lt;&gt;"",VLOOKUP($A64,INDIRECT(K$1&amp;"!$B$14:$P$89"),15,0)+K63,"")</f>
        <v>290</v>
      </c>
      <c r="L64" s="342">
        <f ca="1">IF(VLOOKUP($A64,INDIRECT(L$1&amp;"!$B$14:$P$89"),15,0)&lt;&gt;"",VLOOKUP($A64,INDIRECT(L$1&amp;"!$B$14:$P$89"),15,0)+L63,"")</f>
        <v>295</v>
      </c>
      <c r="M64" s="342">
        <f ca="1">IF(VLOOKUP($A64,INDIRECT(M$1&amp;"!$B$14:$P$89"),15,0)&lt;&gt;"",VLOOKUP($A64,INDIRECT(M$1&amp;"!$B$14:$P$89"),15,0)+M63,"")</f>
        <v>255</v>
      </c>
      <c r="N64" s="342">
        <f ca="1">IF(VLOOKUP($A64,INDIRECT(N$1&amp;"!$B$14:$P$89"),15,0)&lt;&gt;"",VLOOKUP($A64,INDIRECT(N$1&amp;"!$B$14:$P$89"),15,0)+N63,"")</f>
        <v>285</v>
      </c>
      <c r="O64" s="342">
        <f ca="1">IF(VLOOKUP($A64,INDIRECT(O$1&amp;"!$B$14:$P$89"),15,0)&lt;&gt;"",VLOOKUP($A64,INDIRECT(O$1&amp;"!$B$14:$P$89"),15,0)+O63,"")</f>
        <v>240</v>
      </c>
      <c r="P64" s="342">
        <f ca="1">IF(VLOOKUP($A64,INDIRECT(P$1&amp;"!$B$14:$P$89"),15,0)&lt;&gt;"",VLOOKUP($A64,INDIRECT(P$1&amp;"!$B$14:$P$89"),15,0)+P63,"")</f>
        <v>285</v>
      </c>
      <c r="Q64" s="342">
        <f ca="1">IF(VLOOKUP($A64,INDIRECT(Q$1&amp;"!$B$14:$P$89"),15,0)&lt;&gt;"",VLOOKUP($A64,INDIRECT(Q$1&amp;"!$B$14:$P$89"),15,0)+Q63,"")</f>
        <v>245</v>
      </c>
      <c r="R64" s="342">
        <f ca="1">IF(VLOOKUP($A64,INDIRECT(R$1&amp;"!$B$14:$P$89"),15,0)&lt;&gt;"",VLOOKUP($A64,INDIRECT(R$1&amp;"!$B$14:$P$89"),15,0)+R63,"")</f>
        <v>215</v>
      </c>
      <c r="S64" s="342">
        <f ca="1">IF(VLOOKUP($A64,INDIRECT(S$1&amp;"!$B$14:$P$89"),15,0)&lt;&gt;"",VLOOKUP($A64,INDIRECT(S$1&amp;"!$B$14:$P$89"),15,0)+S63,"")</f>
        <v>260</v>
      </c>
      <c r="T64" s="342">
        <f ca="1">IF(VLOOKUP($A64,INDIRECT(T$1&amp;"!$B$14:$P$89"),15,0)&lt;&gt;"",VLOOKUP($A64,INDIRECT(T$1&amp;"!$B$14:$P$89"),15,0)+T63,"")</f>
        <v>255</v>
      </c>
      <c r="U64" s="342">
        <f ca="1">IF(VLOOKUP($A64,INDIRECT(U$1&amp;"!$B$14:$P$89"),15,0)&lt;&gt;"",VLOOKUP($A64,INDIRECT(U$1&amp;"!$B$14:$P$89"),15,0)+U63,"")</f>
        <v>260</v>
      </c>
      <c r="V64" s="342">
        <f ca="1">IF(VLOOKUP($A64,INDIRECT(V$1&amp;"!$B$14:$P$89"),15,0)&lt;&gt;"",VLOOKUP($A64,INDIRECT(V$1&amp;"!$B$14:$P$89"),15,0)+V63,"")</f>
        <v>250</v>
      </c>
      <c r="W64" s="342">
        <f ca="1">IF(VLOOKUP($A64,INDIRECT(W$1&amp;"!$B$14:$P$89"),15,0)&lt;&gt;"",VLOOKUP($A64,INDIRECT(W$1&amp;"!$B$14:$P$89"),15,0)+W63,"")</f>
        <v>265</v>
      </c>
      <c r="X64" s="342">
        <f ca="1">IF(VLOOKUP($A64,INDIRECT(X$1&amp;"!$B$14:$P$89"),15,0)&lt;&gt;"",VLOOKUP($A64,INDIRECT(X$1&amp;"!$B$14:$P$89"),15,0)+X63,"")</f>
        <v>200</v>
      </c>
      <c r="Y64" s="178">
        <f t="shared" ca="1" si="4"/>
        <v>257.27272727272725</v>
      </c>
      <c r="Z64" s="194">
        <f t="shared" ca="1" si="6"/>
        <v>1.8181818181817846</v>
      </c>
      <c r="AA64" s="195">
        <f ca="1">IF(C64&lt;&gt;"",C64-$Y64,"")</f>
        <v>2.7272727272727479</v>
      </c>
      <c r="AB64" s="195">
        <f ca="1">IF(D64&lt;&gt;"",D64-$Y64,"")</f>
        <v>-12.272727272727252</v>
      </c>
      <c r="AC64" s="195">
        <f ca="1">IF(E64&lt;&gt;"",E64-$Y64,"")</f>
        <v>-22.272727272727252</v>
      </c>
      <c r="AD64" s="195">
        <f ca="1">IF(F64&lt;&gt;"",F64-$Y64,"")</f>
        <v>22.727272727272748</v>
      </c>
      <c r="AE64" s="195">
        <f ca="1">IF(G64&lt;&gt;"",G64-$Y64,"")</f>
        <v>2.7272727272727479</v>
      </c>
      <c r="AF64" s="195">
        <f ca="1">IF(H64&lt;&gt;"",H64-$Y64,"")</f>
        <v>-2.2727272727272521</v>
      </c>
      <c r="AG64" s="195">
        <f ca="1">IF(I64&lt;&gt;"",I64-$Y64,"")</f>
        <v>7.7272727272727479</v>
      </c>
      <c r="AH64" s="195">
        <f ca="1">IF(J64&lt;&gt;"",J64-$Y64,"")</f>
        <v>2.7272727272727479</v>
      </c>
      <c r="AI64" s="195">
        <f ca="1">IF(K64&lt;&gt;"",K64-$Y64,"")</f>
        <v>32.727272727272748</v>
      </c>
      <c r="AJ64" s="195">
        <f ca="1">IF(L64&lt;&gt;"",L64-$Y64,"")</f>
        <v>37.727272727272748</v>
      </c>
      <c r="AK64" s="195">
        <f ca="1">IF(M64&lt;&gt;"",M64-$Y64,"")</f>
        <v>-2.2727272727272521</v>
      </c>
      <c r="AL64" s="195">
        <f ca="1">IF(N64&lt;&gt;"",N64-$Y64,"")</f>
        <v>27.727272727272748</v>
      </c>
      <c r="AM64" s="195">
        <f ca="1">IF(O64&lt;&gt;"",O64-$Y64,"")</f>
        <v>-17.272727272727252</v>
      </c>
      <c r="AN64" s="195">
        <f ca="1">IF(P64&lt;&gt;"",P64-$Y64,"")</f>
        <v>27.727272727272748</v>
      </c>
      <c r="AO64" s="195">
        <f ca="1">IF(S64&lt;&gt;"",S64-$Y64,"")</f>
        <v>2.7272727272727479</v>
      </c>
      <c r="AP64" s="195">
        <f ca="1">IF(T64&lt;&gt;"",T64-$Y64,"")</f>
        <v>-2.2727272727272521</v>
      </c>
      <c r="AQ64" s="195">
        <f ca="1">IF(U64&lt;&gt;"",U64-$Y64,"")</f>
        <v>2.7272727272727479</v>
      </c>
      <c r="AR64" s="195">
        <f ca="1">IF(V64&lt;&gt;"",V64-$Y64,"")</f>
        <v>-7.2727272727272521</v>
      </c>
      <c r="AS64" s="195">
        <f ca="1">IF(W64&lt;&gt;"",W64-$Y64,"")</f>
        <v>7.7272727272727479</v>
      </c>
      <c r="AT64" s="195">
        <f ca="1">IF(Q64&lt;&gt;"",Q64-$Y64,"")</f>
        <v>-12.272727272727252</v>
      </c>
      <c r="AU64" s="195">
        <f ca="1">IF(R64&lt;&gt;"",R64-$Y64,"")</f>
        <v>-42.272727272727252</v>
      </c>
      <c r="AV64" s="195">
        <f t="shared" ca="1" si="5"/>
        <v>-57.272727272727252</v>
      </c>
    </row>
    <row r="65" spans="1:48">
      <c r="A65" s="189">
        <v>56</v>
      </c>
      <c r="B65" s="201" t="str">
        <f>VLOOKUP($A65,Invulblad!A$76:J$103,6,0)&amp;"-"&amp;VLOOKUP($A65,Invulblad!A$76:J$103,10,0)</f>
        <v>Spanje-Portugal</v>
      </c>
      <c r="C65" s="343">
        <f ca="1">IF(VLOOKUP($A65,INDIRECT(C$1&amp;"!$B$14:$P$89"),15,0)&lt;&gt;"",VLOOKUP($A65,INDIRECT(C$1&amp;"!$B$14:$P$89"),15,0)+C64,"")</f>
        <v>265</v>
      </c>
      <c r="D65" s="343">
        <f ca="1">IF(VLOOKUP($A65,INDIRECT(D$1&amp;"!$B$14:$P$89"),15,0)&lt;&gt;"",VLOOKUP($A65,INDIRECT(D$1&amp;"!$B$14:$P$89"),15,0)+D64,"")</f>
        <v>250</v>
      </c>
      <c r="E65" s="343">
        <f ca="1">IF(VLOOKUP($A65,INDIRECT(E$1&amp;"!$B$14:$P$89"),15,0)&lt;&gt;"",VLOOKUP($A65,INDIRECT(E$1&amp;"!$B$14:$P$89"),15,0)+E64,"")</f>
        <v>235</v>
      </c>
      <c r="F65" s="343">
        <f ca="1">IF(VLOOKUP($A65,INDIRECT(F$1&amp;"!$B$14:$P$89"),15,0)&lt;&gt;"",VLOOKUP($A65,INDIRECT(F$1&amp;"!$B$14:$P$89"),15,0)+F64,"")</f>
        <v>285</v>
      </c>
      <c r="G65" s="343">
        <f ca="1">IF(VLOOKUP($A65,INDIRECT(G$1&amp;"!$B$14:$P$89"),15,0)&lt;&gt;"",VLOOKUP($A65,INDIRECT(G$1&amp;"!$B$14:$P$89"),15,0)+G64,"")</f>
        <v>265</v>
      </c>
      <c r="H65" s="343">
        <f ca="1">IF(VLOOKUP($A65,INDIRECT(H$1&amp;"!$B$14:$P$89"),15,0)&lt;&gt;"",VLOOKUP($A65,INDIRECT(H$1&amp;"!$B$14:$P$89"),15,0)+H64,"")</f>
        <v>260</v>
      </c>
      <c r="I65" s="343">
        <f ca="1">IF(VLOOKUP($A65,INDIRECT(I$1&amp;"!$B$14:$P$89"),15,0)&lt;&gt;"",VLOOKUP($A65,INDIRECT(I$1&amp;"!$B$14:$P$89"),15,0)+I64,"")</f>
        <v>270</v>
      </c>
      <c r="J65" s="343">
        <f ca="1">IF(VLOOKUP($A65,INDIRECT(J$1&amp;"!$B$14:$P$89"),15,0)&lt;&gt;"",VLOOKUP($A65,INDIRECT(J$1&amp;"!$B$14:$P$89"),15,0)+J64,"")</f>
        <v>260</v>
      </c>
      <c r="K65" s="343">
        <f ca="1">IF(VLOOKUP($A65,INDIRECT(K$1&amp;"!$B$14:$P$89"),15,0)&lt;&gt;"",VLOOKUP($A65,INDIRECT(K$1&amp;"!$B$14:$P$89"),15,0)+K64,"")</f>
        <v>295</v>
      </c>
      <c r="L65" s="343">
        <f ca="1">IF(VLOOKUP($A65,INDIRECT(L$1&amp;"!$B$14:$P$89"),15,0)&lt;&gt;"",VLOOKUP($A65,INDIRECT(L$1&amp;"!$B$14:$P$89"),15,0)+L64,"")</f>
        <v>300</v>
      </c>
      <c r="M65" s="343">
        <f ca="1">IF(VLOOKUP($A65,INDIRECT(M$1&amp;"!$B$14:$P$89"),15,0)&lt;&gt;"",VLOOKUP($A65,INDIRECT(M$1&amp;"!$B$14:$P$89"),15,0)+M64,"")</f>
        <v>260</v>
      </c>
      <c r="N65" s="343">
        <f ca="1">IF(VLOOKUP($A65,INDIRECT(N$1&amp;"!$B$14:$P$89"),15,0)&lt;&gt;"",VLOOKUP($A65,INDIRECT(N$1&amp;"!$B$14:$P$89"),15,0)+N64,"")</f>
        <v>295</v>
      </c>
      <c r="O65" s="343">
        <f ca="1">IF(VLOOKUP($A65,INDIRECT(O$1&amp;"!$B$14:$P$89"),15,0)&lt;&gt;"",VLOOKUP($A65,INDIRECT(O$1&amp;"!$B$14:$P$89"),15,0)+O64,"")</f>
        <v>250</v>
      </c>
      <c r="P65" s="343">
        <f ca="1">IF(VLOOKUP($A65,INDIRECT(P$1&amp;"!$B$14:$P$89"),15,0)&lt;&gt;"",VLOOKUP($A65,INDIRECT(P$1&amp;"!$B$14:$P$89"),15,0)+P64,"")</f>
        <v>285</v>
      </c>
      <c r="Q65" s="343">
        <f ca="1">IF(VLOOKUP($A65,INDIRECT(Q$1&amp;"!$B$14:$P$89"),15,0)&lt;&gt;"",VLOOKUP($A65,INDIRECT(Q$1&amp;"!$B$14:$P$89"),15,0)+Q64,"")</f>
        <v>250</v>
      </c>
      <c r="R65" s="343">
        <f ca="1">IF(VLOOKUP($A65,INDIRECT(R$1&amp;"!$B$14:$P$89"),15,0)&lt;&gt;"",VLOOKUP($A65,INDIRECT(R$1&amp;"!$B$14:$P$89"),15,0)+R64,"")</f>
        <v>220</v>
      </c>
      <c r="S65" s="343">
        <f ca="1">IF(VLOOKUP($A65,INDIRECT(S$1&amp;"!$B$14:$P$89"),15,0)&lt;&gt;"",VLOOKUP($A65,INDIRECT(S$1&amp;"!$B$14:$P$89"),15,0)+S64,"")</f>
        <v>260</v>
      </c>
      <c r="T65" s="343">
        <f ca="1">IF(VLOOKUP($A65,INDIRECT(T$1&amp;"!$B$14:$P$89"),15,0)&lt;&gt;"",VLOOKUP($A65,INDIRECT(T$1&amp;"!$B$14:$P$89"),15,0)+T64,"")</f>
        <v>255</v>
      </c>
      <c r="U65" s="343">
        <f ca="1">IF(VLOOKUP($A65,INDIRECT(U$1&amp;"!$B$14:$P$89"),15,0)&lt;&gt;"",VLOOKUP($A65,INDIRECT(U$1&amp;"!$B$14:$P$89"),15,0)+U64,"")</f>
        <v>265</v>
      </c>
      <c r="V65" s="343">
        <f ca="1">IF(VLOOKUP($A65,INDIRECT(V$1&amp;"!$B$14:$P$89"),15,0)&lt;&gt;"",VLOOKUP($A65,INDIRECT(V$1&amp;"!$B$14:$P$89"),15,0)+V64,"")</f>
        <v>250</v>
      </c>
      <c r="W65" s="343">
        <f ca="1">IF(VLOOKUP($A65,INDIRECT(W$1&amp;"!$B$14:$P$89"),15,0)&lt;&gt;"",VLOOKUP($A65,INDIRECT(W$1&amp;"!$B$14:$P$89"),15,0)+W64,"")</f>
        <v>265</v>
      </c>
      <c r="X65" s="343">
        <f ca="1">IF(VLOOKUP($A65,INDIRECT(X$1&amp;"!$B$14:$P$89"),15,0)&lt;&gt;"",VLOOKUP($A65,INDIRECT(X$1&amp;"!$B$14:$P$89"),15,0)+X64,"")</f>
        <v>205</v>
      </c>
      <c r="Y65" s="178">
        <f t="shared" ca="1" si="4"/>
        <v>261.13636363636363</v>
      </c>
      <c r="Z65" s="194">
        <f t="shared" ca="1" si="6"/>
        <v>3.863636363636374</v>
      </c>
      <c r="AA65" s="195">
        <f ca="1">IF(C65&lt;&gt;"",C65-$Y65,"")</f>
        <v>3.863636363636374</v>
      </c>
      <c r="AB65" s="195">
        <f ca="1">IF(D65&lt;&gt;"",D65-$Y65,"")</f>
        <v>-11.136363636363626</v>
      </c>
      <c r="AC65" s="195">
        <f ca="1">IF(E65&lt;&gt;"",E65-$Y65,"")</f>
        <v>-26.136363636363626</v>
      </c>
      <c r="AD65" s="195">
        <f ca="1">IF(F65&lt;&gt;"",F65-$Y65,"")</f>
        <v>23.863636363636374</v>
      </c>
      <c r="AE65" s="195">
        <f ca="1">IF(G65&lt;&gt;"",G65-$Y65,"")</f>
        <v>3.863636363636374</v>
      </c>
      <c r="AF65" s="195">
        <f ca="1">IF(H65&lt;&gt;"",H65-$Y65,"")</f>
        <v>-1.136363636363626</v>
      </c>
      <c r="AG65" s="195">
        <f ca="1">IF(I65&lt;&gt;"",I65-$Y65,"")</f>
        <v>8.863636363636374</v>
      </c>
      <c r="AH65" s="195">
        <f ca="1">IF(J65&lt;&gt;"",J65-$Y65,"")</f>
        <v>-1.136363636363626</v>
      </c>
      <c r="AI65" s="195">
        <f ca="1">IF(K65&lt;&gt;"",K65-$Y65,"")</f>
        <v>33.863636363636374</v>
      </c>
      <c r="AJ65" s="195">
        <f ca="1">IF(L65&lt;&gt;"",L65-$Y65,"")</f>
        <v>38.863636363636374</v>
      </c>
      <c r="AK65" s="195">
        <f ca="1">IF(M65&lt;&gt;"",M65-$Y65,"")</f>
        <v>-1.136363636363626</v>
      </c>
      <c r="AL65" s="195">
        <f ca="1">IF(N65&lt;&gt;"",N65-$Y65,"")</f>
        <v>33.863636363636374</v>
      </c>
      <c r="AM65" s="195">
        <f ca="1">IF(O65&lt;&gt;"",O65-$Y65,"")</f>
        <v>-11.136363636363626</v>
      </c>
      <c r="AN65" s="195">
        <f ca="1">IF(P65&lt;&gt;"",P65-$Y65,"")</f>
        <v>23.863636363636374</v>
      </c>
      <c r="AO65" s="195">
        <f ca="1">IF(S65&lt;&gt;"",S65-$Y65,"")</f>
        <v>-1.136363636363626</v>
      </c>
      <c r="AP65" s="195">
        <f ca="1">IF(T65&lt;&gt;"",T65-$Y65,"")</f>
        <v>-6.136363636363626</v>
      </c>
      <c r="AQ65" s="195">
        <f ca="1">IF(U65&lt;&gt;"",U65-$Y65,"")</f>
        <v>3.863636363636374</v>
      </c>
      <c r="AR65" s="195">
        <f ca="1">IF(V65&lt;&gt;"",V65-$Y65,"")</f>
        <v>-11.136363636363626</v>
      </c>
      <c r="AS65" s="195">
        <f ca="1">IF(W65&lt;&gt;"",W65-$Y65,"")</f>
        <v>3.863636363636374</v>
      </c>
      <c r="AT65" s="195">
        <f ca="1">IF(Q65&lt;&gt;"",Q65-$Y65,"")</f>
        <v>-11.136363636363626</v>
      </c>
      <c r="AU65" s="195">
        <f ca="1">IF(R65&lt;&gt;"",R65-$Y65,"")</f>
        <v>-41.136363636363626</v>
      </c>
      <c r="AV65" s="195">
        <f t="shared" ca="1" si="5"/>
        <v>-56.136363636363626</v>
      </c>
    </row>
    <row r="66" spans="1:48" s="175" customFormat="1">
      <c r="A66" s="196" t="str">
        <f>B66</f>
        <v>Boni 1/4</v>
      </c>
      <c r="B66" s="197" t="s">
        <v>92</v>
      </c>
      <c r="C66" s="197">
        <f ca="1">INDIRECT(C$1&amp;"!$h$11")+MAX(C58:C65)</f>
        <v>340</v>
      </c>
      <c r="D66" s="197">
        <f ca="1">INDIRECT(D$1&amp;"!$h$11")+MAX(D58:D65)</f>
        <v>325</v>
      </c>
      <c r="E66" s="197">
        <f ca="1">INDIRECT(E$1&amp;"!$h$11")+MAX(E58:E65)</f>
        <v>310</v>
      </c>
      <c r="F66" s="197">
        <f ca="1">INDIRECT(F$1&amp;"!$h$11")+MAX(F58:F65)</f>
        <v>360</v>
      </c>
      <c r="G66" s="197">
        <f ca="1">INDIRECT(G$1&amp;"!$h$11")+MAX(G58:G65)</f>
        <v>340</v>
      </c>
      <c r="H66" s="197">
        <f ca="1">INDIRECT(H$1&amp;"!$h$11")+MAX(H58:H65)</f>
        <v>335</v>
      </c>
      <c r="I66" s="197">
        <f ca="1">INDIRECT(I$1&amp;"!$h$11")+MAX(I58:I65)</f>
        <v>345</v>
      </c>
      <c r="J66" s="197">
        <f ca="1">INDIRECT(J$1&amp;"!$h$11")+MAX(J58:J65)</f>
        <v>335</v>
      </c>
      <c r="K66" s="197">
        <f ca="1">INDIRECT(K$1&amp;"!$h$11")+MAX(K58:K65)</f>
        <v>385</v>
      </c>
      <c r="L66" s="197">
        <f ca="1">INDIRECT(L$1&amp;"!$h$11")+MAX(L58:L65)</f>
        <v>375</v>
      </c>
      <c r="M66" s="197">
        <f ca="1">INDIRECT(M$1&amp;"!$h$11")+MAX(M58:M65)</f>
        <v>320</v>
      </c>
      <c r="N66" s="197">
        <f ca="1">INDIRECT(N$1&amp;"!$h$11")+MAX(N58:N65)</f>
        <v>370</v>
      </c>
      <c r="O66" s="197">
        <f ca="1">INDIRECT(O$1&amp;"!$h$11")+MAX(O58:O65)</f>
        <v>310</v>
      </c>
      <c r="P66" s="197">
        <f ca="1">INDIRECT(P$1&amp;"!$h$11")+MAX(P58:P65)</f>
        <v>360</v>
      </c>
      <c r="Q66" s="197">
        <f ca="1">INDIRECT(Q$1&amp;"!$h$11")+MAX(Q58:Q65)</f>
        <v>310</v>
      </c>
      <c r="R66" s="197">
        <f ca="1">INDIRECT(R$1&amp;"!$h$11")+MAX(R58:R65)</f>
        <v>310</v>
      </c>
      <c r="S66" s="197">
        <f ca="1">INDIRECT(S$1&amp;"!$h$11")+MAX(S58:S65)</f>
        <v>320</v>
      </c>
      <c r="T66" s="197">
        <f ca="1">INDIRECT(T$1&amp;"!$h$11")+MAX(T58:T65)</f>
        <v>345</v>
      </c>
      <c r="U66" s="197">
        <f ca="1">INDIRECT(U$1&amp;"!$h$11")+MAX(U58:U65)</f>
        <v>340</v>
      </c>
      <c r="V66" s="197">
        <f ca="1">INDIRECT(V$1&amp;"!$h$11")+MAX(V58:V65)</f>
        <v>310</v>
      </c>
      <c r="W66" s="197">
        <f ca="1">INDIRECT(W$1&amp;"!$h$11")+MAX(W58:W65)</f>
        <v>340</v>
      </c>
      <c r="X66" s="197">
        <f ca="1">INDIRECT(X$1&amp;"!$h$11")+MAX(X58:X65)</f>
        <v>265</v>
      </c>
      <c r="Y66" s="197">
        <f t="shared" ref="Y66:Y77" ca="1" si="7">AVERAGE(C66:X66)</f>
        <v>334.09090909090907</v>
      </c>
      <c r="Z66" s="194"/>
      <c r="AA66" s="199">
        <f ca="1">IF(C66&lt;&gt;"",C66-$Y66,"")</f>
        <v>5.9090909090909349</v>
      </c>
      <c r="AB66" s="199">
        <f ca="1">IF(D66&lt;&gt;"",D66-$Y66,"")</f>
        <v>-9.0909090909090651</v>
      </c>
      <c r="AC66" s="199">
        <f ca="1">IF(E66&lt;&gt;"",E66-$Y66,"")</f>
        <v>-24.090909090909065</v>
      </c>
      <c r="AD66" s="199">
        <f ca="1">IF(F66&lt;&gt;"",F66-$Y66,"")</f>
        <v>25.909090909090935</v>
      </c>
      <c r="AE66" s="199">
        <f ca="1">IF(G66&lt;&gt;"",G66-$Y66,"")</f>
        <v>5.9090909090909349</v>
      </c>
      <c r="AF66" s="199">
        <f ca="1">IF(H66&lt;&gt;"",H66-$Y66,"")</f>
        <v>0.90909090909093493</v>
      </c>
      <c r="AG66" s="199">
        <f ca="1">IF(I66&lt;&gt;"",I66-$Y66,"")</f>
        <v>10.909090909090935</v>
      </c>
      <c r="AH66" s="199">
        <f ca="1">IF(J66&lt;&gt;"",J66-$Y66,"")</f>
        <v>0.90909090909093493</v>
      </c>
      <c r="AI66" s="199">
        <f ca="1">IF(K66&lt;&gt;"",K66-$Y66,"")</f>
        <v>50.909090909090935</v>
      </c>
      <c r="AJ66" s="199">
        <f ca="1">IF(L66&lt;&gt;"",L66-$Y66,"")</f>
        <v>40.909090909090935</v>
      </c>
      <c r="AK66" s="199">
        <f ca="1">IF(M66&lt;&gt;"",M66-$Y66,"")</f>
        <v>-14.090909090909065</v>
      </c>
      <c r="AL66" s="199">
        <f ca="1">IF(N66&lt;&gt;"",N66-$Y66,"")</f>
        <v>35.909090909090935</v>
      </c>
      <c r="AM66" s="199">
        <f ca="1">IF(O66&lt;&gt;"",O66-$Y66,"")</f>
        <v>-24.090909090909065</v>
      </c>
      <c r="AN66" s="199">
        <f ca="1">IF(P66&lt;&gt;"",P66-$Y66,"")</f>
        <v>25.909090909090935</v>
      </c>
      <c r="AO66" s="199">
        <f ca="1">IF(S66&lt;&gt;"",S66-$Y66,"")</f>
        <v>-14.090909090909065</v>
      </c>
      <c r="AP66" s="199">
        <f ca="1">IF(T66&lt;&gt;"",T66-$Y66,"")</f>
        <v>10.909090909090935</v>
      </c>
      <c r="AQ66" s="199">
        <f ca="1">IF(U66&lt;&gt;"",U66-$Y66,"")</f>
        <v>5.9090909090909349</v>
      </c>
      <c r="AR66" s="199">
        <f ca="1">IF(V66&lt;&gt;"",V66-$Y66,"")</f>
        <v>-24.090909090909065</v>
      </c>
      <c r="AS66" s="199">
        <f ca="1">IF(W66&lt;&gt;"",W66-$Y66,"")</f>
        <v>5.9090909090909349</v>
      </c>
      <c r="AT66" s="199">
        <f ca="1">IF(Q66&lt;&gt;"",Q66-$Y66,"")</f>
        <v>-24.090909090909065</v>
      </c>
      <c r="AU66" s="199">
        <f ca="1">IF(R66&lt;&gt;"",R66-$Y66,"")</f>
        <v>-24.090909090909065</v>
      </c>
      <c r="AV66" s="199">
        <f t="shared" ref="AV66:AV77" ca="1" si="8">IF(X66&lt;&gt;"",X66-$Y66,"")</f>
        <v>-69.090909090909065</v>
      </c>
    </row>
    <row r="67" spans="1:48">
      <c r="A67" s="189">
        <v>57</v>
      </c>
      <c r="B67" s="202" t="str">
        <f>VLOOKUP($A67,Invulblad!A$76:J$103,6,0)&amp;"-"&amp;VLOOKUP($A67,Invulblad!A$76:J$103,10,0)</f>
        <v>Nederland-Brazilië</v>
      </c>
      <c r="C67" s="344">
        <f ca="1">IF(VLOOKUP($A67,INDIRECT(C$1&amp;"!$B$14:$P$89"),15,0)&lt;&gt;"",VLOOKUP($A67,INDIRECT(C$1&amp;"!$B$14:$P$89"),15,0)+C66,"")</f>
        <v>345</v>
      </c>
      <c r="D67" s="344">
        <f ca="1">IF(VLOOKUP($A67,INDIRECT(D$1&amp;"!$B$14:$P$89"),15,0)&lt;&gt;"",VLOOKUP($A67,INDIRECT(D$1&amp;"!$B$14:$P$89"),15,0)+D66,"")</f>
        <v>335</v>
      </c>
      <c r="E67" s="344">
        <f ca="1">IF(VLOOKUP($A67,INDIRECT(E$1&amp;"!$B$14:$P$89"),15,0)&lt;&gt;"",VLOOKUP($A67,INDIRECT(E$1&amp;"!$B$14:$P$89"),15,0)+E66,"")</f>
        <v>310</v>
      </c>
      <c r="F67" s="344">
        <f ca="1">IF(VLOOKUP($A67,INDIRECT(F$1&amp;"!$B$14:$P$89"),15,0)&lt;&gt;"",VLOOKUP($A67,INDIRECT(F$1&amp;"!$B$14:$P$89"),15,0)+F66,"")</f>
        <v>360</v>
      </c>
      <c r="G67" s="344">
        <f ca="1">IF(VLOOKUP($A67,INDIRECT(G$1&amp;"!$B$14:$P$89"),15,0)&lt;&gt;"",VLOOKUP($A67,INDIRECT(G$1&amp;"!$B$14:$P$89"),15,0)+G66,"")</f>
        <v>340</v>
      </c>
      <c r="H67" s="344">
        <f ca="1">IF(VLOOKUP($A67,INDIRECT(H$1&amp;"!$B$14:$P$89"),15,0)&lt;&gt;"",VLOOKUP($A67,INDIRECT(H$1&amp;"!$B$14:$P$89"),15,0)+H66,"")</f>
        <v>335</v>
      </c>
      <c r="I67" s="344">
        <f ca="1">IF(VLOOKUP($A67,INDIRECT(I$1&amp;"!$B$14:$P$89"),15,0)&lt;&gt;"",VLOOKUP($A67,INDIRECT(I$1&amp;"!$B$14:$P$89"),15,0)+I66,"")</f>
        <v>345</v>
      </c>
      <c r="J67" s="344">
        <f ca="1">IF(VLOOKUP($A67,INDIRECT(J$1&amp;"!$B$14:$P$89"),15,0)&lt;&gt;"",VLOOKUP($A67,INDIRECT(J$1&amp;"!$B$14:$P$89"),15,0)+J66,"")</f>
        <v>335</v>
      </c>
      <c r="K67" s="344">
        <f ca="1">IF(VLOOKUP($A67,INDIRECT(K$1&amp;"!$B$14:$P$89"),15,0)&lt;&gt;"",VLOOKUP($A67,INDIRECT(K$1&amp;"!$B$14:$P$89"),15,0)+K66,"")</f>
        <v>385</v>
      </c>
      <c r="L67" s="344">
        <f ca="1">IF(VLOOKUP($A67,INDIRECT(L$1&amp;"!$B$14:$P$89"),15,0)&lt;&gt;"",VLOOKUP($A67,INDIRECT(L$1&amp;"!$B$14:$P$89"),15,0)+L66,"")</f>
        <v>375</v>
      </c>
      <c r="M67" s="344">
        <f ca="1">IF(VLOOKUP($A67,INDIRECT(M$1&amp;"!$B$14:$P$89"),15,0)&lt;&gt;"",VLOOKUP($A67,INDIRECT(M$1&amp;"!$B$14:$P$89"),15,0)+M66,"")</f>
        <v>320</v>
      </c>
      <c r="N67" s="344">
        <f ca="1">IF(VLOOKUP($A67,INDIRECT(N$1&amp;"!$B$14:$P$89"),15,0)&lt;&gt;"",VLOOKUP($A67,INDIRECT(N$1&amp;"!$B$14:$P$89"),15,0)+N66,"")</f>
        <v>370</v>
      </c>
      <c r="O67" s="344">
        <f ca="1">IF(VLOOKUP($A67,INDIRECT(O$1&amp;"!$B$14:$P$89"),15,0)&lt;&gt;"",VLOOKUP($A67,INDIRECT(O$1&amp;"!$B$14:$P$89"),15,0)+O66,"")</f>
        <v>310</v>
      </c>
      <c r="P67" s="344">
        <f ca="1">IF(VLOOKUP($A67,INDIRECT(P$1&amp;"!$B$14:$P$89"),15,0)&lt;&gt;"",VLOOKUP($A67,INDIRECT(P$1&amp;"!$B$14:$P$89"),15,0)+P66,"")</f>
        <v>360</v>
      </c>
      <c r="Q67" s="344">
        <f ca="1">IF(VLOOKUP($A67,INDIRECT(Q$1&amp;"!$B$14:$P$89"),15,0)&lt;&gt;"",VLOOKUP($A67,INDIRECT(Q$1&amp;"!$B$14:$P$89"),15,0)+Q65,"")</f>
        <v>250</v>
      </c>
      <c r="R67" s="344">
        <f ca="1">IF(VLOOKUP($A67,INDIRECT(R$1&amp;"!$B$14:$P$89"),15,0)&lt;&gt;"",VLOOKUP($A67,INDIRECT(R$1&amp;"!$B$14:$P$89"),15,0)+R65,"")</f>
        <v>220</v>
      </c>
      <c r="S67" s="344">
        <f ca="1">IF(VLOOKUP($A67,INDIRECT(S$1&amp;"!$B$14:$P$89"),15,0)&lt;&gt;"",VLOOKUP($A67,INDIRECT(S$1&amp;"!$B$14:$P$89"),15,0)+S66,"")</f>
        <v>330</v>
      </c>
      <c r="T67" s="344">
        <f ca="1">IF(VLOOKUP($A67,INDIRECT(T$1&amp;"!$B$14:$P$89"),15,0)&lt;&gt;"",VLOOKUP($A67,INDIRECT(T$1&amp;"!$B$14:$P$89"),15,0)+T66,"")</f>
        <v>345</v>
      </c>
      <c r="U67" s="344">
        <f ca="1">IF(VLOOKUP($A67,INDIRECT(U$1&amp;"!$B$14:$P$89"),15,0)&lt;&gt;"",VLOOKUP($A67,INDIRECT(U$1&amp;"!$B$14:$P$89"),15,0)+U66,"")</f>
        <v>340</v>
      </c>
      <c r="V67" s="344">
        <f ca="1">IF(VLOOKUP($A67,INDIRECT(V$1&amp;"!$B$14:$P$89"),15,0)&lt;&gt;"",VLOOKUP($A67,INDIRECT(V$1&amp;"!$B$14:$P$89"),15,0)+V66,"")</f>
        <v>310</v>
      </c>
      <c r="W67" s="344">
        <f ca="1">IF(VLOOKUP($A67,INDIRECT(W$1&amp;"!$B$14:$P$89"),15,0)&lt;&gt;"",VLOOKUP($A67,INDIRECT(W$1&amp;"!$B$14:$P$89"),15,0)+W66,"")</f>
        <v>340</v>
      </c>
      <c r="X67" s="344">
        <f ca="1">IF(VLOOKUP($A67,INDIRECT(X$1&amp;"!$B$14:$P$89"),15,0)&lt;&gt;"",VLOOKUP($A67,INDIRECT(X$1&amp;"!$B$14:$P$89"),15,0)+X65,"")</f>
        <v>205</v>
      </c>
      <c r="Y67" s="178">
        <f t="shared" ca="1" si="7"/>
        <v>325.68181818181819</v>
      </c>
      <c r="Z67" s="194">
        <f ca="1">Y67-Y65</f>
        <v>64.545454545454561</v>
      </c>
      <c r="AA67" s="195">
        <f ca="1">IF(C67&lt;&gt;"",C67-$Y67,"")</f>
        <v>19.318181818181813</v>
      </c>
      <c r="AB67" s="195">
        <f ca="1">IF(D67&lt;&gt;"",D67-$Y67,"")</f>
        <v>9.318181818181813</v>
      </c>
      <c r="AC67" s="195">
        <f ca="1">IF(E67&lt;&gt;"",E67-$Y67,"")</f>
        <v>-15.681818181818187</v>
      </c>
      <c r="AD67" s="195">
        <f ca="1">IF(F67&lt;&gt;"",F67-$Y67,"")</f>
        <v>34.318181818181813</v>
      </c>
      <c r="AE67" s="195">
        <f ca="1">IF(G67&lt;&gt;"",G67-$Y67,"")</f>
        <v>14.318181818181813</v>
      </c>
      <c r="AF67" s="195">
        <f ca="1">IF(H67&lt;&gt;"",H67-$Y67,"")</f>
        <v>9.318181818181813</v>
      </c>
      <c r="AG67" s="195">
        <f ca="1">IF(I67&lt;&gt;"",I67-$Y67,"")</f>
        <v>19.318181818181813</v>
      </c>
      <c r="AH67" s="195">
        <f ca="1">IF(J67&lt;&gt;"",J67-$Y67,"")</f>
        <v>9.318181818181813</v>
      </c>
      <c r="AI67" s="195">
        <f ca="1">IF(K67&lt;&gt;"",K67-$Y67,"")</f>
        <v>59.318181818181813</v>
      </c>
      <c r="AJ67" s="195">
        <f ca="1">IF(L67&lt;&gt;"",L67-$Y67,"")</f>
        <v>49.318181818181813</v>
      </c>
      <c r="AK67" s="195">
        <f ca="1">IF(M67&lt;&gt;"",M67-$Y67,"")</f>
        <v>-5.681818181818187</v>
      </c>
      <c r="AL67" s="195">
        <f ca="1">IF(N67&lt;&gt;"",N67-$Y67,"")</f>
        <v>44.318181818181813</v>
      </c>
      <c r="AM67" s="195">
        <f ca="1">IF(O67&lt;&gt;"",O67-$Y67,"")</f>
        <v>-15.681818181818187</v>
      </c>
      <c r="AN67" s="195">
        <f ca="1">IF(P67&lt;&gt;"",P67-$Y67,"")</f>
        <v>34.318181818181813</v>
      </c>
      <c r="AO67" s="195">
        <f ca="1">IF(S67&lt;&gt;"",S67-$Y67,"")</f>
        <v>4.318181818181813</v>
      </c>
      <c r="AP67" s="195">
        <f ca="1">IF(T67&lt;&gt;"",T67-$Y67,"")</f>
        <v>19.318181818181813</v>
      </c>
      <c r="AQ67" s="195">
        <f ca="1">IF(U67&lt;&gt;"",U67-$Y67,"")</f>
        <v>14.318181818181813</v>
      </c>
      <c r="AR67" s="195">
        <f ca="1">IF(V67&lt;&gt;"",V67-$Y67,"")</f>
        <v>-15.681818181818187</v>
      </c>
      <c r="AS67" s="195">
        <f ca="1">IF(W67&lt;&gt;"",W67-$Y67,"")</f>
        <v>14.318181818181813</v>
      </c>
      <c r="AT67" s="195">
        <f ca="1">IF(Q67&lt;&gt;"",Q67-$Y67,"")</f>
        <v>-75.681818181818187</v>
      </c>
      <c r="AU67" s="195">
        <f ca="1">IF(R67&lt;&gt;"",R67-$Y67,"")</f>
        <v>-105.68181818181819</v>
      </c>
      <c r="AV67" s="195">
        <f t="shared" ca="1" si="8"/>
        <v>-120.68181818181819</v>
      </c>
    </row>
    <row r="68" spans="1:48">
      <c r="A68" s="189">
        <v>58</v>
      </c>
      <c r="B68" s="203" t="str">
        <f>VLOOKUP($A68,Invulblad!A$76:J$103,6,0)&amp;"-"&amp;VLOOKUP($A68,Invulblad!A$76:J$103,10,0)</f>
        <v>Uruguay-Ghana</v>
      </c>
      <c r="C68" s="345">
        <f ca="1">IF(VLOOKUP($A68,INDIRECT(C$1&amp;"!$B$14:$P$89"),15,0)&lt;&gt;"",VLOOKUP($A68,INDIRECT(C$1&amp;"!$B$14:$P$89"),15,0)+C67,"")</f>
        <v>345</v>
      </c>
      <c r="D68" s="345">
        <f ca="1">IF(VLOOKUP($A68,INDIRECT(D$1&amp;"!$B$14:$P$89"),15,0)&lt;&gt;"",VLOOKUP($A68,INDIRECT(D$1&amp;"!$B$14:$P$89"),15,0)+D67,"")</f>
        <v>335</v>
      </c>
      <c r="E68" s="345">
        <f ca="1">IF(VLOOKUP($A68,INDIRECT(E$1&amp;"!$B$14:$P$89"),15,0)&lt;&gt;"",VLOOKUP($A68,INDIRECT(E$1&amp;"!$B$14:$P$89"),15,0)+E67,"")</f>
        <v>310</v>
      </c>
      <c r="F68" s="345">
        <f ca="1">IF(VLOOKUP($A68,INDIRECT(F$1&amp;"!$B$14:$P$89"),15,0)&lt;&gt;"",VLOOKUP($A68,INDIRECT(F$1&amp;"!$B$14:$P$89"),15,0)+F67,"")</f>
        <v>360</v>
      </c>
      <c r="G68" s="345">
        <f ca="1">IF(VLOOKUP($A68,INDIRECT(G$1&amp;"!$B$14:$P$89"),15,0)&lt;&gt;"",VLOOKUP($A68,INDIRECT(G$1&amp;"!$B$14:$P$89"),15,0)+G67,"")</f>
        <v>340</v>
      </c>
      <c r="H68" s="345">
        <f ca="1">IF(VLOOKUP($A68,INDIRECT(H$1&amp;"!$B$14:$P$89"),15,0)&lt;&gt;"",VLOOKUP($A68,INDIRECT(H$1&amp;"!$B$14:$P$89"),15,0)+H67,"")</f>
        <v>345</v>
      </c>
      <c r="I68" s="345">
        <f ca="1">IF(VLOOKUP($A68,INDIRECT(I$1&amp;"!$B$14:$P$89"),15,0)&lt;&gt;"",VLOOKUP($A68,INDIRECT(I$1&amp;"!$B$14:$P$89"),15,0)+I67,"")</f>
        <v>345</v>
      </c>
      <c r="J68" s="345">
        <f ca="1">IF(VLOOKUP($A68,INDIRECT(J$1&amp;"!$B$14:$P$89"),15,0)&lt;&gt;"",VLOOKUP($A68,INDIRECT(J$1&amp;"!$B$14:$P$89"),15,0)+J67,"")</f>
        <v>335</v>
      </c>
      <c r="K68" s="345">
        <f ca="1">IF(VLOOKUP($A68,INDIRECT(K$1&amp;"!$B$14:$P$89"),15,0)&lt;&gt;"",VLOOKUP($A68,INDIRECT(K$1&amp;"!$B$14:$P$89"),15,0)+K67,"")</f>
        <v>385</v>
      </c>
      <c r="L68" s="345">
        <f ca="1">IF(VLOOKUP($A68,INDIRECT(L$1&amp;"!$B$14:$P$89"),15,0)&lt;&gt;"",VLOOKUP($A68,INDIRECT(L$1&amp;"!$B$14:$P$89"),15,0)+L67,"")</f>
        <v>375</v>
      </c>
      <c r="M68" s="345">
        <f ca="1">IF(VLOOKUP($A68,INDIRECT(M$1&amp;"!$B$14:$P$89"),15,0)&lt;&gt;"",VLOOKUP($A68,INDIRECT(M$1&amp;"!$B$14:$P$89"),15,0)+M67,"")</f>
        <v>320</v>
      </c>
      <c r="N68" s="345">
        <f ca="1">IF(VLOOKUP($A68,INDIRECT(N$1&amp;"!$B$14:$P$89"),15,0)&lt;&gt;"",VLOOKUP($A68,INDIRECT(N$1&amp;"!$B$14:$P$89"),15,0)+N67,"")</f>
        <v>370</v>
      </c>
      <c r="O68" s="345">
        <f ca="1">IF(VLOOKUP($A68,INDIRECT(O$1&amp;"!$B$14:$P$89"),15,0)&lt;&gt;"",VLOOKUP($A68,INDIRECT(O$1&amp;"!$B$14:$P$89"),15,0)+O67,"")</f>
        <v>310</v>
      </c>
      <c r="P68" s="345">
        <f ca="1">IF(VLOOKUP($A68,INDIRECT(P$1&amp;"!$B$14:$P$89"),15,0)&lt;&gt;"",VLOOKUP($A68,INDIRECT(P$1&amp;"!$B$14:$P$89"),15,0)+P67,"")</f>
        <v>360</v>
      </c>
      <c r="Q68" s="345">
        <f ca="1">IF(VLOOKUP($A68,INDIRECT(Q$1&amp;"!$B$14:$P$89"),15,0)&lt;&gt;"",VLOOKUP($A68,INDIRECT(Q$1&amp;"!$B$14:$P$89"),15,0)+Q66,"")</f>
        <v>310</v>
      </c>
      <c r="R68" s="345">
        <f ca="1">IF(VLOOKUP($A68,INDIRECT(R$1&amp;"!$B$14:$P$89"),15,0)&lt;&gt;"",VLOOKUP($A68,INDIRECT(R$1&amp;"!$B$14:$P$89"),15,0)+R66,"")</f>
        <v>310</v>
      </c>
      <c r="S68" s="345">
        <f ca="1">IF(VLOOKUP($A68,INDIRECT(S$1&amp;"!$B$14:$P$89"),15,0)&lt;&gt;"",VLOOKUP($A68,INDIRECT(S$1&amp;"!$B$14:$P$89"),15,0)+S67,"")</f>
        <v>340</v>
      </c>
      <c r="T68" s="345">
        <f ca="1">IF(VLOOKUP($A68,INDIRECT(T$1&amp;"!$B$14:$P$89"),15,0)&lt;&gt;"",VLOOKUP($A68,INDIRECT(T$1&amp;"!$B$14:$P$89"),15,0)+T67,"")</f>
        <v>345</v>
      </c>
      <c r="U68" s="345">
        <f ca="1">IF(VLOOKUP($A68,INDIRECT(U$1&amp;"!$B$14:$P$89"),15,0)&lt;&gt;"",VLOOKUP($A68,INDIRECT(U$1&amp;"!$B$14:$P$89"),15,0)+U67,"")</f>
        <v>340</v>
      </c>
      <c r="V68" s="345">
        <f ca="1">IF(VLOOKUP($A68,INDIRECT(V$1&amp;"!$B$14:$P$89"),15,0)&lt;&gt;"",VLOOKUP($A68,INDIRECT(V$1&amp;"!$B$14:$P$89"),15,0)+V67,"")</f>
        <v>310</v>
      </c>
      <c r="W68" s="345">
        <f ca="1">IF(VLOOKUP($A68,INDIRECT(W$1&amp;"!$B$14:$P$89"),15,0)&lt;&gt;"",VLOOKUP($A68,INDIRECT(W$1&amp;"!$B$14:$P$89"),15,0)+W67,"")</f>
        <v>340</v>
      </c>
      <c r="X68" s="345">
        <f ca="1">IF(VLOOKUP($A68,INDIRECT(X$1&amp;"!$B$14:$P$89"),15,0)&lt;&gt;"",VLOOKUP($A68,INDIRECT(X$1&amp;"!$B$14:$P$89"),15,0)+X66,"")</f>
        <v>265</v>
      </c>
      <c r="Y68" s="178">
        <f t="shared" ca="1" si="7"/>
        <v>336.13636363636363</v>
      </c>
      <c r="Z68" s="194">
        <f ca="1">Y68-Y67</f>
        <v>10.454545454545439</v>
      </c>
      <c r="AA68" s="195">
        <f ca="1">IF(C68&lt;&gt;"",C68-$Y68,"")</f>
        <v>8.863636363636374</v>
      </c>
      <c r="AB68" s="195">
        <f ca="1">IF(D68&lt;&gt;"",D68-$Y68,"")</f>
        <v>-1.136363636363626</v>
      </c>
      <c r="AC68" s="195">
        <f ca="1">IF(E68&lt;&gt;"",E68-$Y68,"")</f>
        <v>-26.136363636363626</v>
      </c>
      <c r="AD68" s="195">
        <f ca="1">IF(F68&lt;&gt;"",F68-$Y68,"")</f>
        <v>23.863636363636374</v>
      </c>
      <c r="AE68" s="195">
        <f ca="1">IF(G68&lt;&gt;"",G68-$Y68,"")</f>
        <v>3.863636363636374</v>
      </c>
      <c r="AF68" s="195">
        <f ca="1">IF(H68&lt;&gt;"",H68-$Y68,"")</f>
        <v>8.863636363636374</v>
      </c>
      <c r="AG68" s="195">
        <f ca="1">IF(I68&lt;&gt;"",I68-$Y68,"")</f>
        <v>8.863636363636374</v>
      </c>
      <c r="AH68" s="195">
        <f ca="1">IF(J68&lt;&gt;"",J68-$Y68,"")</f>
        <v>-1.136363636363626</v>
      </c>
      <c r="AI68" s="195">
        <f ca="1">IF(K68&lt;&gt;"",K68-$Y68,"")</f>
        <v>48.863636363636374</v>
      </c>
      <c r="AJ68" s="195">
        <f ca="1">IF(L68&lt;&gt;"",L68-$Y68,"")</f>
        <v>38.863636363636374</v>
      </c>
      <c r="AK68" s="195">
        <f ca="1">IF(M68&lt;&gt;"",M68-$Y68,"")</f>
        <v>-16.136363636363626</v>
      </c>
      <c r="AL68" s="195">
        <f ca="1">IF(N68&lt;&gt;"",N68-$Y68,"")</f>
        <v>33.863636363636374</v>
      </c>
      <c r="AM68" s="195">
        <f ca="1">IF(O68&lt;&gt;"",O68-$Y68,"")</f>
        <v>-26.136363636363626</v>
      </c>
      <c r="AN68" s="195">
        <f ca="1">IF(P68&lt;&gt;"",P68-$Y68,"")</f>
        <v>23.863636363636374</v>
      </c>
      <c r="AO68" s="195">
        <f ca="1">IF(S68&lt;&gt;"",S68-$Y68,"")</f>
        <v>3.863636363636374</v>
      </c>
      <c r="AP68" s="195">
        <f ca="1">IF(T68&lt;&gt;"",T68-$Y68,"")</f>
        <v>8.863636363636374</v>
      </c>
      <c r="AQ68" s="195">
        <f ca="1">IF(U68&lt;&gt;"",U68-$Y68,"")</f>
        <v>3.863636363636374</v>
      </c>
      <c r="AR68" s="195">
        <f ca="1">IF(V68&lt;&gt;"",V68-$Y68,"")</f>
        <v>-26.136363636363626</v>
      </c>
      <c r="AS68" s="195">
        <f ca="1">IF(W68&lt;&gt;"",W68-$Y68,"")</f>
        <v>3.863636363636374</v>
      </c>
      <c r="AT68" s="195">
        <f ca="1">IF(Q68&lt;&gt;"",Q68-$Y68,"")</f>
        <v>-26.136363636363626</v>
      </c>
      <c r="AU68" s="195">
        <f ca="1">IF(R68&lt;&gt;"",R68-$Y68,"")</f>
        <v>-26.136363636363626</v>
      </c>
      <c r="AV68" s="195">
        <f t="shared" ca="1" si="8"/>
        <v>-71.136363636363626</v>
      </c>
    </row>
    <row r="69" spans="1:48">
      <c r="A69" s="189">
        <v>59</v>
      </c>
      <c r="B69" s="202" t="str">
        <f>VLOOKUP($A69,Invulblad!A$76:J$103,6,0)&amp;"-"&amp;VLOOKUP($A69,Invulblad!A$76:J$103,10,0)</f>
        <v>Argentinië-Duitsland</v>
      </c>
      <c r="C69" s="344">
        <f ca="1">IF(VLOOKUP($A69,INDIRECT(C$1&amp;"!$B$14:$P$89"),15,0)&lt;&gt;"",VLOOKUP($A69,INDIRECT(C$1&amp;"!$B$14:$P$89"),15,0)+C68,"")</f>
        <v>350</v>
      </c>
      <c r="D69" s="344">
        <f ca="1">IF(VLOOKUP($A69,INDIRECT(D$1&amp;"!$B$14:$P$89"),15,0)&lt;&gt;"",VLOOKUP($A69,INDIRECT(D$1&amp;"!$B$14:$P$89"),15,0)+D68,"")</f>
        <v>340</v>
      </c>
      <c r="E69" s="344">
        <f ca="1">IF(VLOOKUP($A69,INDIRECT(E$1&amp;"!$B$14:$P$89"),15,0)&lt;&gt;"",VLOOKUP($A69,INDIRECT(E$1&amp;"!$B$14:$P$89"),15,0)+E68,"")</f>
        <v>315</v>
      </c>
      <c r="F69" s="344">
        <f ca="1">IF(VLOOKUP($A69,INDIRECT(F$1&amp;"!$B$14:$P$89"),15,0)&lt;&gt;"",VLOOKUP($A69,INDIRECT(F$1&amp;"!$B$14:$P$89"),15,0)+F68,"")</f>
        <v>360</v>
      </c>
      <c r="G69" s="344">
        <f ca="1">IF(VLOOKUP($A69,INDIRECT(G$1&amp;"!$B$14:$P$89"),15,0)&lt;&gt;"",VLOOKUP($A69,INDIRECT(G$1&amp;"!$B$14:$P$89"),15,0)+G68,"")</f>
        <v>340</v>
      </c>
      <c r="H69" s="344">
        <f ca="1">IF(VLOOKUP($A69,INDIRECT(H$1&amp;"!$B$14:$P$89"),15,0)&lt;&gt;"",VLOOKUP($A69,INDIRECT(H$1&amp;"!$B$14:$P$89"),15,0)+H68,"")</f>
        <v>350</v>
      </c>
      <c r="I69" s="344">
        <f ca="1">IF(VLOOKUP($A69,INDIRECT(I$1&amp;"!$B$14:$P$89"),15,0)&lt;&gt;"",VLOOKUP($A69,INDIRECT(I$1&amp;"!$B$14:$P$89"),15,0)+I68,"")</f>
        <v>345</v>
      </c>
      <c r="J69" s="344">
        <f ca="1">IF(VLOOKUP($A69,INDIRECT(J$1&amp;"!$B$14:$P$89"),15,0)&lt;&gt;"",VLOOKUP($A69,INDIRECT(J$1&amp;"!$B$14:$P$89"),15,0)+J68,"")</f>
        <v>340</v>
      </c>
      <c r="K69" s="344">
        <f ca="1">IF(VLOOKUP($A69,INDIRECT(K$1&amp;"!$B$14:$P$89"),15,0)&lt;&gt;"",VLOOKUP($A69,INDIRECT(K$1&amp;"!$B$14:$P$89"),15,0)+K68,"")</f>
        <v>385</v>
      </c>
      <c r="L69" s="344">
        <f ca="1">IF(VLOOKUP($A69,INDIRECT(L$1&amp;"!$B$14:$P$89"),15,0)&lt;&gt;"",VLOOKUP($A69,INDIRECT(L$1&amp;"!$B$14:$P$89"),15,0)+L68,"")</f>
        <v>375</v>
      </c>
      <c r="M69" s="344">
        <f ca="1">IF(VLOOKUP($A69,INDIRECT(M$1&amp;"!$B$14:$P$89"),15,0)&lt;&gt;"",VLOOKUP($A69,INDIRECT(M$1&amp;"!$B$14:$P$89"),15,0)+M68,"")</f>
        <v>325</v>
      </c>
      <c r="N69" s="344">
        <f ca="1">IF(VLOOKUP($A69,INDIRECT(N$1&amp;"!$B$14:$P$89"),15,0)&lt;&gt;"",VLOOKUP($A69,INDIRECT(N$1&amp;"!$B$14:$P$89"),15,0)+N68,"")</f>
        <v>370</v>
      </c>
      <c r="O69" s="344">
        <f ca="1">IF(VLOOKUP($A69,INDIRECT(O$1&amp;"!$B$14:$P$89"),15,0)&lt;&gt;"",VLOOKUP($A69,INDIRECT(O$1&amp;"!$B$14:$P$89"),15,0)+O68,"")</f>
        <v>315</v>
      </c>
      <c r="P69" s="344">
        <f ca="1">IF(VLOOKUP($A69,INDIRECT(P$1&amp;"!$B$14:$P$89"),15,0)&lt;&gt;"",VLOOKUP($A69,INDIRECT(P$1&amp;"!$B$14:$P$89"),15,0)+P68,"")</f>
        <v>360</v>
      </c>
      <c r="Q69" s="344">
        <f ca="1">IF(VLOOKUP($A69,INDIRECT(Q$1&amp;"!$B$14:$P$89"),15,0)&lt;&gt;"",VLOOKUP($A69,INDIRECT(Q$1&amp;"!$B$14:$P$89"),15,0)+Q68,"")</f>
        <v>315</v>
      </c>
      <c r="R69" s="344">
        <f ca="1">IF(VLOOKUP($A69,INDIRECT(R$1&amp;"!$B$14:$P$89"),15,0)&lt;&gt;"",VLOOKUP($A69,INDIRECT(R$1&amp;"!$B$14:$P$89"),15,0)+R68,"")</f>
        <v>310</v>
      </c>
      <c r="S69" s="344">
        <f ca="1">IF(VLOOKUP($A69,INDIRECT(S$1&amp;"!$B$14:$P$89"),15,0)&lt;&gt;"",VLOOKUP($A69,INDIRECT(S$1&amp;"!$B$14:$P$89"),15,0)+S68,"")</f>
        <v>340</v>
      </c>
      <c r="T69" s="344">
        <f ca="1">IF(VLOOKUP($A69,INDIRECT(T$1&amp;"!$B$14:$P$89"),15,0)&lt;&gt;"",VLOOKUP($A69,INDIRECT(T$1&amp;"!$B$14:$P$89"),15,0)+T68,"")</f>
        <v>345</v>
      </c>
      <c r="U69" s="344">
        <f ca="1">IF(VLOOKUP($A69,INDIRECT(U$1&amp;"!$B$14:$P$89"),15,0)&lt;&gt;"",VLOOKUP($A69,INDIRECT(U$1&amp;"!$B$14:$P$89"),15,0)+U68,"")</f>
        <v>340</v>
      </c>
      <c r="V69" s="344">
        <f ca="1">IF(VLOOKUP($A69,INDIRECT(V$1&amp;"!$B$14:$P$89"),15,0)&lt;&gt;"",VLOOKUP($A69,INDIRECT(V$1&amp;"!$B$14:$P$89"),15,0)+V68,"")</f>
        <v>315</v>
      </c>
      <c r="W69" s="344">
        <f ca="1">IF(VLOOKUP($A69,INDIRECT(W$1&amp;"!$B$14:$P$89"),15,0)&lt;&gt;"",VLOOKUP($A69,INDIRECT(W$1&amp;"!$B$14:$P$89"),15,0)+W68,"")</f>
        <v>340</v>
      </c>
      <c r="X69" s="344">
        <f ca="1">IF(VLOOKUP($A69,INDIRECT(X$1&amp;"!$B$14:$P$89"),15,0)&lt;&gt;"",VLOOKUP($A69,INDIRECT(X$1&amp;"!$B$14:$P$89"),15,0)+X68,"")</f>
        <v>270</v>
      </c>
      <c r="Y69" s="178">
        <f t="shared" ca="1" si="7"/>
        <v>338.40909090909093</v>
      </c>
      <c r="Z69" s="194">
        <f ca="1">Y69-Y68</f>
        <v>2.2727272727273089</v>
      </c>
      <c r="AA69" s="195">
        <f ca="1">IF(C69&lt;&gt;"",C69-$Y69,"")</f>
        <v>11.590909090909065</v>
      </c>
      <c r="AB69" s="195">
        <f ca="1">IF(D69&lt;&gt;"",D69-$Y69,"")</f>
        <v>1.5909090909090651</v>
      </c>
      <c r="AC69" s="195">
        <f ca="1">IF(E69&lt;&gt;"",E69-$Y69,"")</f>
        <v>-23.409090909090935</v>
      </c>
      <c r="AD69" s="195">
        <f ca="1">IF(F69&lt;&gt;"",F69-$Y69,"")</f>
        <v>21.590909090909065</v>
      </c>
      <c r="AE69" s="195">
        <f ca="1">IF(G69&lt;&gt;"",G69-$Y69,"")</f>
        <v>1.5909090909090651</v>
      </c>
      <c r="AF69" s="195">
        <f ca="1">IF(H69&lt;&gt;"",H69-$Y69,"")</f>
        <v>11.590909090909065</v>
      </c>
      <c r="AG69" s="195">
        <f ca="1">IF(I69&lt;&gt;"",I69-$Y69,"")</f>
        <v>6.5909090909090651</v>
      </c>
      <c r="AH69" s="195">
        <f ca="1">IF(J69&lt;&gt;"",J69-$Y69,"")</f>
        <v>1.5909090909090651</v>
      </c>
      <c r="AI69" s="195">
        <f ca="1">IF(K69&lt;&gt;"",K69-$Y69,"")</f>
        <v>46.590909090909065</v>
      </c>
      <c r="AJ69" s="195">
        <f ca="1">IF(L69&lt;&gt;"",L69-$Y69,"")</f>
        <v>36.590909090909065</v>
      </c>
      <c r="AK69" s="195">
        <f ca="1">IF(M69&lt;&gt;"",M69-$Y69,"")</f>
        <v>-13.409090909090935</v>
      </c>
      <c r="AL69" s="195">
        <f ca="1">IF(N69&lt;&gt;"",N69-$Y69,"")</f>
        <v>31.590909090909065</v>
      </c>
      <c r="AM69" s="195">
        <f ca="1">IF(O69&lt;&gt;"",O69-$Y69,"")</f>
        <v>-23.409090909090935</v>
      </c>
      <c r="AN69" s="195">
        <f ca="1">IF(P69&lt;&gt;"",P69-$Y69,"")</f>
        <v>21.590909090909065</v>
      </c>
      <c r="AO69" s="195">
        <f ca="1">IF(S69&lt;&gt;"",S69-$Y69,"")</f>
        <v>1.5909090909090651</v>
      </c>
      <c r="AP69" s="195">
        <f ca="1">IF(T69&lt;&gt;"",T69-$Y69,"")</f>
        <v>6.5909090909090651</v>
      </c>
      <c r="AQ69" s="195">
        <f ca="1">IF(U69&lt;&gt;"",U69-$Y69,"")</f>
        <v>1.5909090909090651</v>
      </c>
      <c r="AR69" s="195">
        <f ca="1">IF(V69&lt;&gt;"",V69-$Y69,"")</f>
        <v>-23.409090909090935</v>
      </c>
      <c r="AS69" s="195">
        <f ca="1">IF(W69&lt;&gt;"",W69-$Y69,"")</f>
        <v>1.5909090909090651</v>
      </c>
      <c r="AT69" s="195">
        <f ca="1">IF(Q69&lt;&gt;"",Q69-$Y69,"")</f>
        <v>-23.409090909090935</v>
      </c>
      <c r="AU69" s="195">
        <f ca="1">IF(R69&lt;&gt;"",R69-$Y69,"")</f>
        <v>-28.409090909090935</v>
      </c>
      <c r="AV69" s="195">
        <f t="shared" ca="1" si="8"/>
        <v>-68.409090909090935</v>
      </c>
    </row>
    <row r="70" spans="1:48">
      <c r="A70" s="189">
        <v>60</v>
      </c>
      <c r="B70" s="203" t="str">
        <f>VLOOKUP($A70,Invulblad!A$76:J$103,6,0)&amp;"-"&amp;VLOOKUP($A70,Invulblad!A$76:J$103,10,0)</f>
        <v>Paraguay-Spanje</v>
      </c>
      <c r="C70" s="345">
        <f ca="1">IF(VLOOKUP($A70,INDIRECT(C$1&amp;"!$B$14:$P$89"),15,0)&lt;&gt;"",VLOOKUP($A70,INDIRECT(C$1&amp;"!$B$14:$P$89"),15,0)+C69,"")</f>
        <v>355</v>
      </c>
      <c r="D70" s="345">
        <f ca="1">IF(VLOOKUP($A70,INDIRECT(D$1&amp;"!$B$14:$P$89"),15,0)&lt;&gt;"",VLOOKUP($A70,INDIRECT(D$1&amp;"!$B$14:$P$89"),15,0)+D69,"")</f>
        <v>345</v>
      </c>
      <c r="E70" s="345">
        <f ca="1">IF(VLOOKUP($A70,INDIRECT(E$1&amp;"!$B$14:$P$89"),15,0)&lt;&gt;"",VLOOKUP($A70,INDIRECT(E$1&amp;"!$B$14:$P$89"),15,0)+E69,"")</f>
        <v>325</v>
      </c>
      <c r="F70" s="345">
        <f ca="1">IF(VLOOKUP($A70,INDIRECT(F$1&amp;"!$B$14:$P$89"),15,0)&lt;&gt;"",VLOOKUP($A70,INDIRECT(F$1&amp;"!$B$14:$P$89"),15,0)+F69,"")</f>
        <v>365</v>
      </c>
      <c r="G70" s="345">
        <f ca="1">IF(VLOOKUP($A70,INDIRECT(G$1&amp;"!$B$14:$P$89"),15,0)&lt;&gt;"",VLOOKUP($A70,INDIRECT(G$1&amp;"!$B$14:$P$89"),15,0)+G69,"")</f>
        <v>350</v>
      </c>
      <c r="H70" s="345">
        <f ca="1">IF(VLOOKUP($A70,INDIRECT(H$1&amp;"!$B$14:$P$89"),15,0)&lt;&gt;"",VLOOKUP($A70,INDIRECT(H$1&amp;"!$B$14:$P$89"),15,0)+H69,"")</f>
        <v>355</v>
      </c>
      <c r="I70" s="345">
        <f ca="1">IF(VLOOKUP($A70,INDIRECT(I$1&amp;"!$B$14:$P$89"),15,0)&lt;&gt;"",VLOOKUP($A70,INDIRECT(I$1&amp;"!$B$14:$P$89"),15,0)+I69,"")</f>
        <v>350</v>
      </c>
      <c r="J70" s="345">
        <f ca="1">IF(VLOOKUP($A70,INDIRECT(J$1&amp;"!$B$14:$P$89"),15,0)&lt;&gt;"",VLOOKUP($A70,INDIRECT(J$1&amp;"!$B$14:$P$89"),15,0)+J69,"")</f>
        <v>350</v>
      </c>
      <c r="K70" s="345">
        <f ca="1">IF(VLOOKUP($A70,INDIRECT(K$1&amp;"!$B$14:$P$89"),15,0)&lt;&gt;"",VLOOKUP($A70,INDIRECT(K$1&amp;"!$B$14:$P$89"),15,0)+K69,"")</f>
        <v>390</v>
      </c>
      <c r="L70" s="345">
        <f ca="1">IF(VLOOKUP($A70,INDIRECT(L$1&amp;"!$B$14:$P$89"),15,0)&lt;&gt;"",VLOOKUP($A70,INDIRECT(L$1&amp;"!$B$14:$P$89"),15,0)+L69,"")</f>
        <v>380</v>
      </c>
      <c r="M70" s="345">
        <f ca="1">IF(VLOOKUP($A70,INDIRECT(M$1&amp;"!$B$14:$P$89"),15,0)&lt;&gt;"",VLOOKUP($A70,INDIRECT(M$1&amp;"!$B$14:$P$89"),15,0)+M69,"")</f>
        <v>330</v>
      </c>
      <c r="N70" s="345">
        <f ca="1">IF(VLOOKUP($A70,INDIRECT(N$1&amp;"!$B$14:$P$89"),15,0)&lt;&gt;"",VLOOKUP($A70,INDIRECT(N$1&amp;"!$B$14:$P$89"),15,0)+N69,"")</f>
        <v>370</v>
      </c>
      <c r="O70" s="345">
        <f ca="1">IF(VLOOKUP($A70,INDIRECT(O$1&amp;"!$B$14:$P$89"),15,0)&lt;&gt;"",VLOOKUP($A70,INDIRECT(O$1&amp;"!$B$14:$P$89"),15,0)+O69,"")</f>
        <v>325</v>
      </c>
      <c r="P70" s="345">
        <f ca="1">IF(VLOOKUP($A70,INDIRECT(P$1&amp;"!$B$14:$P$89"),15,0)&lt;&gt;"",VLOOKUP($A70,INDIRECT(P$1&amp;"!$B$14:$P$89"),15,0)+P69,"")</f>
        <v>360</v>
      </c>
      <c r="Q70" s="345">
        <f ca="1">IF(VLOOKUP($A70,INDIRECT(Q$1&amp;"!$B$14:$P$89"),15,0)&lt;&gt;"",VLOOKUP($A70,INDIRECT(Q$1&amp;"!$B$14:$P$89"),15,0)+Q69,"")</f>
        <v>315</v>
      </c>
      <c r="R70" s="345">
        <f ca="1">IF(VLOOKUP($A70,INDIRECT(R$1&amp;"!$B$14:$P$89"),15,0)&lt;&gt;"",VLOOKUP($A70,INDIRECT(R$1&amp;"!$B$14:$P$89"),15,0)+R69,"")</f>
        <v>315</v>
      </c>
      <c r="S70" s="345">
        <f ca="1">IF(VLOOKUP($A70,INDIRECT(S$1&amp;"!$B$14:$P$89"),15,0)&lt;&gt;"",VLOOKUP($A70,INDIRECT(S$1&amp;"!$B$14:$P$89"),15,0)+S69,"")</f>
        <v>345</v>
      </c>
      <c r="T70" s="345">
        <f ca="1">IF(VLOOKUP($A70,INDIRECT(T$1&amp;"!$B$14:$P$89"),15,0)&lt;&gt;"",VLOOKUP($A70,INDIRECT(T$1&amp;"!$B$14:$P$89"),15,0)+T69,"")</f>
        <v>350</v>
      </c>
      <c r="U70" s="345">
        <f ca="1">IF(VLOOKUP($A70,INDIRECT(U$1&amp;"!$B$14:$P$89"),15,0)&lt;&gt;"",VLOOKUP($A70,INDIRECT(U$1&amp;"!$B$14:$P$89"),15,0)+U69,"")</f>
        <v>340</v>
      </c>
      <c r="V70" s="345">
        <f ca="1">IF(VLOOKUP($A70,INDIRECT(V$1&amp;"!$B$14:$P$89"),15,0)&lt;&gt;"",VLOOKUP($A70,INDIRECT(V$1&amp;"!$B$14:$P$89"),15,0)+V69,"")</f>
        <v>315</v>
      </c>
      <c r="W70" s="345">
        <f ca="1">IF(VLOOKUP($A70,INDIRECT(W$1&amp;"!$B$14:$P$89"),15,0)&lt;&gt;"",VLOOKUP($A70,INDIRECT(W$1&amp;"!$B$14:$P$89"),15,0)+W69,"")</f>
        <v>340</v>
      </c>
      <c r="X70" s="345">
        <f ca="1">IF(VLOOKUP($A70,INDIRECT(X$1&amp;"!$B$14:$P$89"),15,0)&lt;&gt;"",VLOOKUP($A70,INDIRECT(X$1&amp;"!$B$14:$P$89"),15,0)+X69,"")</f>
        <v>270</v>
      </c>
      <c r="Y70" s="178">
        <f t="shared" ca="1" si="7"/>
        <v>342.72727272727275</v>
      </c>
      <c r="Z70" s="194">
        <f ca="1">Y70-Y69</f>
        <v>4.318181818181813</v>
      </c>
      <c r="AA70" s="195">
        <f ca="1">IF(C70&lt;&gt;"",C70-$Y70,"")</f>
        <v>12.272727272727252</v>
      </c>
      <c r="AB70" s="195">
        <f ca="1">IF(D70&lt;&gt;"",D70-$Y70,"")</f>
        <v>2.2727272727272521</v>
      </c>
      <c r="AC70" s="195">
        <f ca="1">IF(E70&lt;&gt;"",E70-$Y70,"")</f>
        <v>-17.727272727272748</v>
      </c>
      <c r="AD70" s="195">
        <f ca="1">IF(F70&lt;&gt;"",F70-$Y70,"")</f>
        <v>22.272727272727252</v>
      </c>
      <c r="AE70" s="195">
        <f ca="1">IF(G70&lt;&gt;"",G70-$Y70,"")</f>
        <v>7.2727272727272521</v>
      </c>
      <c r="AF70" s="195">
        <f ca="1">IF(H70&lt;&gt;"",H70-$Y70,"")</f>
        <v>12.272727272727252</v>
      </c>
      <c r="AG70" s="195">
        <f ca="1">IF(I70&lt;&gt;"",I70-$Y70,"")</f>
        <v>7.2727272727272521</v>
      </c>
      <c r="AH70" s="195">
        <f ca="1">IF(J70&lt;&gt;"",J70-$Y70,"")</f>
        <v>7.2727272727272521</v>
      </c>
      <c r="AI70" s="195">
        <f ca="1">IF(K70&lt;&gt;"",K70-$Y70,"")</f>
        <v>47.272727272727252</v>
      </c>
      <c r="AJ70" s="195">
        <f ca="1">IF(L70&lt;&gt;"",L70-$Y70,"")</f>
        <v>37.272727272727252</v>
      </c>
      <c r="AK70" s="195">
        <f ca="1">IF(M70&lt;&gt;"",M70-$Y70,"")</f>
        <v>-12.727272727272748</v>
      </c>
      <c r="AL70" s="195">
        <f ca="1">IF(N70&lt;&gt;"",N70-$Y70,"")</f>
        <v>27.272727272727252</v>
      </c>
      <c r="AM70" s="195">
        <f ca="1">IF(O70&lt;&gt;"",O70-$Y70,"")</f>
        <v>-17.727272727272748</v>
      </c>
      <c r="AN70" s="195">
        <f ca="1">IF(P70&lt;&gt;"",P70-$Y70,"")</f>
        <v>17.272727272727252</v>
      </c>
      <c r="AO70" s="195">
        <f ca="1">IF(S70&lt;&gt;"",S70-$Y70,"")</f>
        <v>2.2727272727272521</v>
      </c>
      <c r="AP70" s="195">
        <f ca="1">IF(T70&lt;&gt;"",T70-$Y70,"")</f>
        <v>7.2727272727272521</v>
      </c>
      <c r="AQ70" s="195">
        <f ca="1">IF(U70&lt;&gt;"",U70-$Y70,"")</f>
        <v>-2.7272727272727479</v>
      </c>
      <c r="AR70" s="195">
        <f ca="1">IF(V70&lt;&gt;"",V70-$Y70,"")</f>
        <v>-27.727272727272748</v>
      </c>
      <c r="AS70" s="195">
        <f ca="1">IF(W70&lt;&gt;"",W70-$Y70,"")</f>
        <v>-2.7272727272727479</v>
      </c>
      <c r="AT70" s="195">
        <f ca="1">IF(Q70&lt;&gt;"",Q70-$Y70,"")</f>
        <v>-27.727272727272748</v>
      </c>
      <c r="AU70" s="195">
        <f ca="1">IF(R70&lt;&gt;"",R70-$Y70,"")</f>
        <v>-27.727272727272748</v>
      </c>
      <c r="AV70" s="195">
        <f t="shared" ca="1" si="8"/>
        <v>-72.727272727272748</v>
      </c>
    </row>
    <row r="71" spans="1:48" s="175" customFormat="1">
      <c r="A71" s="196" t="str">
        <f>B71</f>
        <v>Boni 1/2</v>
      </c>
      <c r="B71" s="197" t="s">
        <v>93</v>
      </c>
      <c r="C71" s="197">
        <f ca="1">INDIRECT(C$1&amp;"!$L$7")+MAX(C67:C70)</f>
        <v>490</v>
      </c>
      <c r="D71" s="197">
        <f ca="1">INDIRECT(D$1&amp;"!$L$7")+MAX(D67:D70)</f>
        <v>480</v>
      </c>
      <c r="E71" s="197">
        <f ca="1">INDIRECT(E$1&amp;"!$L$7")+MAX(E67:E70)</f>
        <v>460</v>
      </c>
      <c r="F71" s="197">
        <f ca="1">INDIRECT(F$1&amp;"!$L$7")+MAX(F67:F70)</f>
        <v>455</v>
      </c>
      <c r="G71" s="197">
        <f ca="1">INDIRECT(G$1&amp;"!$L$7")+MAX(G67:G70)</f>
        <v>440</v>
      </c>
      <c r="H71" s="197">
        <f ca="1">INDIRECT(H$1&amp;"!$L$7")+MAX(H67:H70)</f>
        <v>445</v>
      </c>
      <c r="I71" s="197">
        <f ca="1">INDIRECT(I$1&amp;"!$L$7")+MAX(I67:I70)</f>
        <v>440</v>
      </c>
      <c r="J71" s="197">
        <f ca="1">INDIRECT(J$1&amp;"!$L$7")+MAX(J67:J70)</f>
        <v>440</v>
      </c>
      <c r="K71" s="197">
        <f ca="1">INDIRECT(K$1&amp;"!$L$7")+MAX(K67:K70)</f>
        <v>435</v>
      </c>
      <c r="L71" s="197">
        <f ca="1">INDIRECT(L$1&amp;"!$L$7")+MAX(L67:L70)</f>
        <v>425</v>
      </c>
      <c r="M71" s="197">
        <f ca="1">INDIRECT(M$1&amp;"!$L$7")+MAX(M67:M70)</f>
        <v>420</v>
      </c>
      <c r="N71" s="197">
        <f ca="1">INDIRECT(N$1&amp;"!$L$7")+MAX(N67:N70)</f>
        <v>415</v>
      </c>
      <c r="O71" s="197">
        <f ca="1">INDIRECT(O$1&amp;"!$L$7")+MAX(O67:O70)</f>
        <v>415</v>
      </c>
      <c r="P71" s="197">
        <f ca="1">INDIRECT(P$1&amp;"!$L$7")+MAX(P67:P70)</f>
        <v>405</v>
      </c>
      <c r="Q71" s="197">
        <f ca="1">INDIRECT(Q$1&amp;"!$L$7")+MAX(Q67:Q70)</f>
        <v>405</v>
      </c>
      <c r="R71" s="197">
        <f ca="1">INDIRECT(R$1&amp;"!$L$7")+MAX(R67:R70)</f>
        <v>405</v>
      </c>
      <c r="S71" s="197">
        <f ca="1">INDIRECT(S$1&amp;"!$L$7")+MAX(S67:S70)</f>
        <v>390</v>
      </c>
      <c r="T71" s="197">
        <f ca="1">INDIRECT(T$1&amp;"!$L$7")+MAX(T67:T70)</f>
        <v>395</v>
      </c>
      <c r="U71" s="197">
        <f ca="1">INDIRECT(U$1&amp;"!$L$7")+MAX(U67:U70)</f>
        <v>385</v>
      </c>
      <c r="V71" s="197">
        <f ca="1">INDIRECT(V$1&amp;"!$L$7")+MAX(V67:V70)</f>
        <v>360</v>
      </c>
      <c r="W71" s="197">
        <f ca="1">INDIRECT(W$1&amp;"!$L$7")+MAX(W67:W70)</f>
        <v>340</v>
      </c>
      <c r="X71" s="197">
        <f ca="1">INDIRECT(X$1&amp;"!$L$7")+MAX(X67:X70)</f>
        <v>315</v>
      </c>
      <c r="Y71" s="197">
        <f t="shared" ca="1" si="7"/>
        <v>416.36363636363637</v>
      </c>
      <c r="Z71" s="198">
        <f ca="1">Y71-Y70</f>
        <v>73.636363636363626</v>
      </c>
      <c r="AA71" s="199">
        <f ca="1">IF(C71&lt;&gt;"",C71-$Y71,"")</f>
        <v>73.636363636363626</v>
      </c>
      <c r="AB71" s="199">
        <f ca="1">IF(D71&lt;&gt;"",D71-$Y71,"")</f>
        <v>63.636363636363626</v>
      </c>
      <c r="AC71" s="199">
        <f ca="1">IF(E71&lt;&gt;"",E71-$Y71,"")</f>
        <v>43.636363636363626</v>
      </c>
      <c r="AD71" s="199">
        <f ca="1">IF(F71&lt;&gt;"",F71-$Y71,"")</f>
        <v>38.636363636363626</v>
      </c>
      <c r="AE71" s="199">
        <f ca="1">IF(G71&lt;&gt;"",G71-$Y71,"")</f>
        <v>23.636363636363626</v>
      </c>
      <c r="AF71" s="199">
        <f ca="1">IF(H71&lt;&gt;"",H71-$Y71,"")</f>
        <v>28.636363636363626</v>
      </c>
      <c r="AG71" s="199">
        <f ca="1">IF(I71&lt;&gt;"",I71-$Y71,"")</f>
        <v>23.636363636363626</v>
      </c>
      <c r="AH71" s="199">
        <f ca="1">IF(J71&lt;&gt;"",J71-$Y71,"")</f>
        <v>23.636363636363626</v>
      </c>
      <c r="AI71" s="199">
        <f ca="1">IF(K71&lt;&gt;"",K71-$Y71,"")</f>
        <v>18.636363636363626</v>
      </c>
      <c r="AJ71" s="199">
        <f ca="1">IF(L71&lt;&gt;"",L71-$Y71,"")</f>
        <v>8.636363636363626</v>
      </c>
      <c r="AK71" s="199">
        <f ca="1">IF(M71&lt;&gt;"",M71-$Y71,"")</f>
        <v>3.636363636363626</v>
      </c>
      <c r="AL71" s="199">
        <f ca="1">IF(N71&lt;&gt;"",N71-$Y71,"")</f>
        <v>-1.363636363636374</v>
      </c>
      <c r="AM71" s="199">
        <f ca="1">IF(O71&lt;&gt;"",O71-$Y71,"")</f>
        <v>-1.363636363636374</v>
      </c>
      <c r="AN71" s="199">
        <f ca="1">IF(P71&lt;&gt;"",P71-$Y71,"")</f>
        <v>-11.363636363636374</v>
      </c>
      <c r="AO71" s="199">
        <f ca="1">IF(S71&lt;&gt;"",S71-$Y71,"")</f>
        <v>-26.363636363636374</v>
      </c>
      <c r="AP71" s="199">
        <f ca="1">IF(T71&lt;&gt;"",T71-$Y71,"")</f>
        <v>-21.363636363636374</v>
      </c>
      <c r="AQ71" s="199">
        <f ca="1">IF(U71&lt;&gt;"",U71-$Y71,"")</f>
        <v>-31.363636363636374</v>
      </c>
      <c r="AR71" s="199">
        <f ca="1">IF(V71&lt;&gt;"",V71-$Y71,"")</f>
        <v>-56.363636363636374</v>
      </c>
      <c r="AS71" s="199">
        <f ca="1">IF(W71&lt;&gt;"",W71-$Y71,"")</f>
        <v>-76.363636363636374</v>
      </c>
      <c r="AT71" s="199">
        <f ca="1">IF(Q71&lt;&gt;"",Q71-$Y71,"")</f>
        <v>-11.363636363636374</v>
      </c>
      <c r="AU71" s="199">
        <f ca="1">IF(R71&lt;&gt;"",R71-$Y71,"")</f>
        <v>-11.363636363636374</v>
      </c>
      <c r="AV71" s="199">
        <f t="shared" ca="1" si="8"/>
        <v>-101.36363636363637</v>
      </c>
    </row>
    <row r="72" spans="1:48">
      <c r="A72" s="189">
        <v>61</v>
      </c>
      <c r="B72" s="166" t="str">
        <f>VLOOKUP($A72,Invulblad!A$76:J$103,6,0)&amp;"-"&amp;VLOOKUP($A72,Invulblad!A$76:J$103,10,0)</f>
        <v>Uruguay-Nederland</v>
      </c>
      <c r="C72" s="341">
        <f ca="1">IF(VLOOKUP($A72,INDIRECT(C$1&amp;"!$B$14:$P$89"),15,0)&lt;&gt;"",VLOOKUP($A72,INDIRECT(C$1&amp;"!$B$14:$P$89"),15,0)+C71,"")</f>
        <v>495</v>
      </c>
      <c r="D72" s="341">
        <f ca="1">IF(VLOOKUP($A72,INDIRECT(D$1&amp;"!$B$14:$P$89"),15,0)&lt;&gt;"",VLOOKUP($A72,INDIRECT(D$1&amp;"!$B$14:$P$89"),15,0)+D71,"")</f>
        <v>480</v>
      </c>
      <c r="E72" s="341">
        <f ca="1">IF(VLOOKUP($A72,INDIRECT(E$1&amp;"!$B$14:$P$89"),15,0)&lt;&gt;"",VLOOKUP($A72,INDIRECT(E$1&amp;"!$B$14:$P$89"),15,0)+E71,"")</f>
        <v>465</v>
      </c>
      <c r="F72" s="341">
        <f ca="1">IF(VLOOKUP($A72,INDIRECT(F$1&amp;"!$B$14:$P$89"),15,0)&lt;&gt;"",VLOOKUP($A72,INDIRECT(F$1&amp;"!$B$14:$P$89"),15,0)+F71,"")</f>
        <v>460</v>
      </c>
      <c r="G72" s="341">
        <f ca="1">IF(VLOOKUP($A72,INDIRECT(G$1&amp;"!$B$14:$P$89"),15,0)&lt;&gt;"",VLOOKUP($A72,INDIRECT(G$1&amp;"!$B$14:$P$89"),15,0)+G71,"")</f>
        <v>450</v>
      </c>
      <c r="H72" s="341">
        <f ca="1">IF(VLOOKUP($A72,INDIRECT(H$1&amp;"!$B$14:$P$89"),15,0)&lt;&gt;"",VLOOKUP($A72,INDIRECT(H$1&amp;"!$B$14:$P$89"),15,0)+H71,"")</f>
        <v>450</v>
      </c>
      <c r="I72" s="341">
        <f ca="1">IF(VLOOKUP($A72,INDIRECT(I$1&amp;"!$B$14:$P$89"),15,0)&lt;&gt;"",VLOOKUP($A72,INDIRECT(I$1&amp;"!$B$14:$P$89"),15,0)+I71,"")</f>
        <v>445</v>
      </c>
      <c r="J72" s="341">
        <f ca="1">IF(VLOOKUP($A72,INDIRECT(J$1&amp;"!$B$14:$P$89"),15,0)&lt;&gt;"",VLOOKUP($A72,INDIRECT(J$1&amp;"!$B$14:$P$89"),15,0)+J71,"")</f>
        <v>440</v>
      </c>
      <c r="K72" s="341">
        <f ca="1">IF(VLOOKUP($A72,INDIRECT(K$1&amp;"!$B$14:$P$89"),15,0)&lt;&gt;"",VLOOKUP($A72,INDIRECT(K$1&amp;"!$B$14:$P$89"),15,0)+K71,"")</f>
        <v>440</v>
      </c>
      <c r="L72" s="341">
        <f ca="1">IF(VLOOKUP($A72,INDIRECT(L$1&amp;"!$B$14:$P$89"),15,0)&lt;&gt;"",VLOOKUP($A72,INDIRECT(L$1&amp;"!$B$14:$P$89"),15,0)+L71,"")</f>
        <v>435</v>
      </c>
      <c r="M72" s="341">
        <f ca="1">IF(VLOOKUP($A72,INDIRECT(M$1&amp;"!$B$14:$P$89"),15,0)&lt;&gt;"",VLOOKUP($A72,INDIRECT(M$1&amp;"!$B$14:$P$89"),15,0)+M71,"")</f>
        <v>420</v>
      </c>
      <c r="N72" s="341">
        <f ca="1">IF(VLOOKUP($A72,INDIRECT(N$1&amp;"!$B$14:$P$89"),15,0)&lt;&gt;"",VLOOKUP($A72,INDIRECT(N$1&amp;"!$B$14:$P$89"),15,0)+N71,"")</f>
        <v>420</v>
      </c>
      <c r="O72" s="341">
        <f ca="1">IF(VLOOKUP($A72,INDIRECT(O$1&amp;"!$B$14:$P$89"),15,0)&lt;&gt;"",VLOOKUP($A72,INDIRECT(O$1&amp;"!$B$14:$P$89"),15,0)+O71,"")</f>
        <v>415</v>
      </c>
      <c r="P72" s="341">
        <f ca="1">IF(VLOOKUP($A72,INDIRECT(P$1&amp;"!$B$14:$P$89"),15,0)&lt;&gt;"",VLOOKUP($A72,INDIRECT(P$1&amp;"!$B$14:$P$89"),15,0)+P71,"")</f>
        <v>410</v>
      </c>
      <c r="Q72" s="341">
        <f ca="1">IF(VLOOKUP($A72,INDIRECT(Q$1&amp;"!$B$14:$P$89"),15,0)&lt;&gt;"",VLOOKUP($A72,INDIRECT(Q$1&amp;"!$B$14:$P$89"),15,0)+Q71,"")</f>
        <v>410</v>
      </c>
      <c r="R72" s="341">
        <f ca="1">IF(VLOOKUP($A72,INDIRECT(R$1&amp;"!$B$14:$P$89"),15,0)&lt;&gt;"",VLOOKUP($A72,INDIRECT(R$1&amp;"!$B$14:$P$89"),15,0)+R71,"")</f>
        <v>405</v>
      </c>
      <c r="S72" s="341">
        <f ca="1">IF(VLOOKUP($A72,INDIRECT(S$1&amp;"!$B$14:$P$89"),15,0)&lt;&gt;"",VLOOKUP($A72,INDIRECT(S$1&amp;"!$B$14:$P$89"),15,0)+S71,"")</f>
        <v>395</v>
      </c>
      <c r="T72" s="341">
        <f ca="1">IF(VLOOKUP($A72,INDIRECT(T$1&amp;"!$B$14:$P$89"),15,0)&lt;&gt;"",VLOOKUP($A72,INDIRECT(T$1&amp;"!$B$14:$P$89"),15,0)+T71,"")</f>
        <v>395</v>
      </c>
      <c r="U72" s="341">
        <f ca="1">IF(VLOOKUP($A72,INDIRECT(U$1&amp;"!$B$14:$P$89"),15,0)&lt;&gt;"",VLOOKUP($A72,INDIRECT(U$1&amp;"!$B$14:$P$89"),15,0)+U71,"")</f>
        <v>390</v>
      </c>
      <c r="V72" s="341">
        <f ca="1">IF(VLOOKUP($A72,INDIRECT(V$1&amp;"!$B$14:$P$89"),15,0)&lt;&gt;"",VLOOKUP($A72,INDIRECT(V$1&amp;"!$B$14:$P$89"),15,0)+V71,"")</f>
        <v>360</v>
      </c>
      <c r="W72" s="341">
        <f ca="1">IF(VLOOKUP($A72,INDIRECT(W$1&amp;"!$B$14:$P$89"),15,0)&lt;&gt;"",VLOOKUP($A72,INDIRECT(W$1&amp;"!$B$14:$P$89"),15,0)+W71,"")</f>
        <v>345</v>
      </c>
      <c r="X72" s="341">
        <f t="shared" ref="X72" ca="1" si="9">IF(VLOOKUP($A72,INDIRECT(X$1&amp;"!$B$14:$P$89"),15,0)&lt;&gt;"",VLOOKUP($A72,INDIRECT(X$1&amp;"!$B$14:$P$89"),15,0)+X71,"")</f>
        <v>315</v>
      </c>
      <c r="Y72" s="178">
        <f t="shared" ca="1" si="7"/>
        <v>420</v>
      </c>
      <c r="Z72" s="194">
        <f ca="1">Y72-Y70</f>
        <v>77.272727272727252</v>
      </c>
      <c r="AA72" s="195">
        <f ca="1">IF(C72&lt;&gt;"",C72-$Y72,"")</f>
        <v>75</v>
      </c>
      <c r="AB72" s="195">
        <f ca="1">IF(D72&lt;&gt;"",D72-$Y72,"")</f>
        <v>60</v>
      </c>
      <c r="AC72" s="195">
        <f ca="1">IF(E72&lt;&gt;"",E72-$Y72,"")</f>
        <v>45</v>
      </c>
      <c r="AD72" s="195">
        <f ca="1">IF(F72&lt;&gt;"",F72-$Y72,"")</f>
        <v>40</v>
      </c>
      <c r="AE72" s="195">
        <f ca="1">IF(G72&lt;&gt;"",G72-$Y72,"")</f>
        <v>30</v>
      </c>
      <c r="AF72" s="195">
        <f ca="1">IF(H72&lt;&gt;"",H72-$Y72,"")</f>
        <v>30</v>
      </c>
      <c r="AG72" s="195">
        <f ca="1">IF(I72&lt;&gt;"",I72-$Y72,"")</f>
        <v>25</v>
      </c>
      <c r="AH72" s="195">
        <f ca="1">IF(J72&lt;&gt;"",J72-$Y72,"")</f>
        <v>20</v>
      </c>
      <c r="AI72" s="195">
        <f ca="1">IF(K72&lt;&gt;"",K72-$Y72,"")</f>
        <v>20</v>
      </c>
      <c r="AJ72" s="195">
        <f ca="1">IF(L72&lt;&gt;"",L72-$Y72,"")</f>
        <v>15</v>
      </c>
      <c r="AK72" s="195">
        <f ca="1">IF(M72&lt;&gt;"",M72-$Y72,"")</f>
        <v>0</v>
      </c>
      <c r="AL72" s="195">
        <f ca="1">IF(N72&lt;&gt;"",N72-$Y72,"")</f>
        <v>0</v>
      </c>
      <c r="AM72" s="195">
        <f ca="1">IF(O72&lt;&gt;"",O72-$Y72,"")</f>
        <v>-5</v>
      </c>
      <c r="AN72" s="195">
        <f ca="1">IF(P72&lt;&gt;"",P72-$Y72,"")</f>
        <v>-10</v>
      </c>
      <c r="AO72" s="195">
        <f ca="1">IF(S72&lt;&gt;"",S72-$Y72,"")</f>
        <v>-25</v>
      </c>
      <c r="AP72" s="195">
        <f ca="1">IF(T72&lt;&gt;"",T72-$Y72,"")</f>
        <v>-25</v>
      </c>
      <c r="AQ72" s="195">
        <f ca="1">IF(U72&lt;&gt;"",U72-$Y72,"")</f>
        <v>-30</v>
      </c>
      <c r="AR72" s="195">
        <f ca="1">IF(V72&lt;&gt;"",V72-$Y72,"")</f>
        <v>-60</v>
      </c>
      <c r="AS72" s="195">
        <f ca="1">IF(W72&lt;&gt;"",W72-$Y72,"")</f>
        <v>-75</v>
      </c>
      <c r="AT72" s="195">
        <f ca="1">IF(Q72&lt;&gt;"",Q72-$Y72,"")</f>
        <v>-10</v>
      </c>
      <c r="AU72" s="195">
        <f ca="1">IF(R72&lt;&gt;"",R72-$Y72,"")</f>
        <v>-15</v>
      </c>
      <c r="AV72" s="195">
        <f t="shared" ca="1" si="8"/>
        <v>-105</v>
      </c>
    </row>
    <row r="73" spans="1:48" hidden="1">
      <c r="A73" s="189">
        <v>62</v>
      </c>
      <c r="B73" s="166" t="str">
        <f>VLOOKUP($A73,Invulblad!A$76:J$103,6,0)&amp;"-"&amp;VLOOKUP($A73,Invulblad!A$76:J$103,10,0)</f>
        <v>Duitsland-Spanje</v>
      </c>
      <c r="C73" s="341" t="str">
        <f ca="1">IF(VLOOKUP($A73,INDIRECT(C$1&amp;"!$B$14:$P$89"),15,0)&lt;&gt;"",VLOOKUP($A73,INDIRECT(C$1&amp;"!$B$14:$P$89"),15,0)+C72,"")</f>
        <v/>
      </c>
      <c r="D73" s="341" t="str">
        <f ca="1">IF(VLOOKUP($A73,INDIRECT(D$1&amp;"!$B$14:$P$89"),15,0)&lt;&gt;"",VLOOKUP($A73,INDIRECT(D$1&amp;"!$B$14:$P$89"),15,0)+D72,"")</f>
        <v/>
      </c>
      <c r="E73" s="341" t="str">
        <f ca="1">IF(VLOOKUP($A73,INDIRECT(E$1&amp;"!$B$14:$P$89"),15,0)&lt;&gt;"",VLOOKUP($A73,INDIRECT(E$1&amp;"!$B$14:$P$89"),15,0)+E72,"")</f>
        <v/>
      </c>
      <c r="F73" s="341" t="str">
        <f ca="1">IF(VLOOKUP($A73,INDIRECT(F$1&amp;"!$B$14:$P$89"),15,0)&lt;&gt;"",VLOOKUP($A73,INDIRECT(F$1&amp;"!$B$14:$P$89"),15,0)+F72,"")</f>
        <v/>
      </c>
      <c r="G73" s="341" t="str">
        <f ca="1">IF(VLOOKUP($A73,INDIRECT(G$1&amp;"!$B$14:$P$89"),15,0)&lt;&gt;"",VLOOKUP($A73,INDIRECT(G$1&amp;"!$B$14:$P$89"),15,0)+G72,"")</f>
        <v/>
      </c>
      <c r="H73" s="341" t="str">
        <f ca="1">IF(VLOOKUP($A73,INDIRECT(H$1&amp;"!$B$14:$P$89"),15,0)&lt;&gt;"",VLOOKUP($A73,INDIRECT(H$1&amp;"!$B$14:$P$89"),15,0)+H72,"")</f>
        <v/>
      </c>
      <c r="I73" s="341" t="str">
        <f ca="1">IF(VLOOKUP($A73,INDIRECT(I$1&amp;"!$B$14:$P$89"),15,0)&lt;&gt;"",VLOOKUP($A73,INDIRECT(I$1&amp;"!$B$14:$P$89"),15,0)+I72,"")</f>
        <v/>
      </c>
      <c r="J73" s="341" t="str">
        <f ca="1">IF(VLOOKUP($A73,INDIRECT(J$1&amp;"!$B$14:$P$89"),15,0)&lt;&gt;"",VLOOKUP($A73,INDIRECT(J$1&amp;"!$B$14:$P$89"),15,0)+J72,"")</f>
        <v/>
      </c>
      <c r="K73" s="341" t="str">
        <f ca="1">IF(VLOOKUP($A73,INDIRECT(K$1&amp;"!$B$14:$P$89"),15,0)&lt;&gt;"",VLOOKUP($A73,INDIRECT(K$1&amp;"!$B$14:$P$89"),15,0)+K72,"")</f>
        <v/>
      </c>
      <c r="L73" s="341" t="str">
        <f ca="1">IF(VLOOKUP($A73,INDIRECT(L$1&amp;"!$B$14:$P$89"),15,0)&lt;&gt;"",VLOOKUP($A73,INDIRECT(L$1&amp;"!$B$14:$P$89"),15,0)+L72,"")</f>
        <v/>
      </c>
      <c r="M73" s="341" t="str">
        <f ca="1">IF(VLOOKUP($A73,INDIRECT(M$1&amp;"!$B$14:$P$89"),15,0)&lt;&gt;"",VLOOKUP($A73,INDIRECT(M$1&amp;"!$B$14:$P$89"),15,0)+M72,"")</f>
        <v/>
      </c>
      <c r="N73" s="341" t="str">
        <f ca="1">IF(VLOOKUP($A73,INDIRECT(N$1&amp;"!$B$14:$P$89"),15,0)&lt;&gt;"",VLOOKUP($A73,INDIRECT(N$1&amp;"!$B$14:$P$89"),15,0)+N72,"")</f>
        <v/>
      </c>
      <c r="O73" s="341" t="str">
        <f ca="1">IF(VLOOKUP($A73,INDIRECT(O$1&amp;"!$B$14:$P$89"),15,0)&lt;&gt;"",VLOOKUP($A73,INDIRECT(O$1&amp;"!$B$14:$P$89"),15,0)+O72,"")</f>
        <v/>
      </c>
      <c r="P73" s="341" t="str">
        <f ca="1">IF(VLOOKUP($A73,INDIRECT(P$1&amp;"!$B$14:$P$89"),15,0)&lt;&gt;"",VLOOKUP($A73,INDIRECT(P$1&amp;"!$B$14:$P$89"),15,0)+P72,"")</f>
        <v/>
      </c>
      <c r="Q73" s="341" t="str">
        <f ca="1">IF(VLOOKUP($A73,INDIRECT(Q$1&amp;"!$B$14:$P$89"),15,0)&lt;&gt;"",VLOOKUP($A73,INDIRECT(Q$1&amp;"!$B$14:$P$89"),15,0)+Q72,"")</f>
        <v/>
      </c>
      <c r="R73" s="341" t="str">
        <f ca="1">IF(VLOOKUP($A73,INDIRECT(R$1&amp;"!$B$14:$P$89"),15,0)&lt;&gt;"",VLOOKUP($A73,INDIRECT(R$1&amp;"!$B$14:$P$89"),15,0)+R72,"")</f>
        <v/>
      </c>
      <c r="S73" s="341" t="str">
        <f ca="1">IF(VLOOKUP($A73,INDIRECT(S$1&amp;"!$B$14:$P$89"),15,0)&lt;&gt;"",VLOOKUP($A73,INDIRECT(S$1&amp;"!$B$14:$P$89"),15,0)+S72,"")</f>
        <v/>
      </c>
      <c r="T73" s="341" t="str">
        <f ca="1">IF(VLOOKUP($A73,INDIRECT(T$1&amp;"!$B$14:$P$89"),15,0)&lt;&gt;"",VLOOKUP($A73,INDIRECT(T$1&amp;"!$B$14:$P$89"),15,0)+T72,"")</f>
        <v/>
      </c>
      <c r="U73" s="341" t="str">
        <f ca="1">IF(VLOOKUP($A73,INDIRECT(U$1&amp;"!$B$14:$P$89"),15,0)&lt;&gt;"",VLOOKUP($A73,INDIRECT(U$1&amp;"!$B$14:$P$89"),15,0)+U72,"")</f>
        <v/>
      </c>
      <c r="V73" s="341" t="str">
        <f ca="1">IF(VLOOKUP($A73,INDIRECT(V$1&amp;"!$B$14:$P$89"),15,0)&lt;&gt;"",VLOOKUP($A73,INDIRECT(V$1&amp;"!$B$14:$P$89"),15,0)+V72,"")</f>
        <v/>
      </c>
      <c r="W73" s="341" t="str">
        <f ca="1">IF(VLOOKUP($A73,INDIRECT(W$1&amp;"!$B$14:$P$89"),15,0)&lt;&gt;"",VLOOKUP($A73,INDIRECT(W$1&amp;"!$B$14:$P$89"),15,0)+W72,"")</f>
        <v/>
      </c>
      <c r="X73" s="341" t="str">
        <f ca="1">IF(VLOOKUP($A73,INDIRECT(X$1&amp;"!$B$14:$P$89"),15,0)&lt;&gt;"",VLOOKUP($A73,INDIRECT(X$1&amp;"!$B$14:$P$89"),15,0)+X72,"")</f>
        <v/>
      </c>
      <c r="Y73" s="178" t="e">
        <f t="shared" ca="1" si="7"/>
        <v>#DIV/0!</v>
      </c>
      <c r="Z73" s="194" t="e">
        <f ca="1">Y73-Y72</f>
        <v>#DIV/0!</v>
      </c>
      <c r="AA73" s="195" t="str">
        <f ca="1">IF(C73&lt;&gt;"",C73-$Y73,"")</f>
        <v/>
      </c>
      <c r="AB73" s="195" t="str">
        <f ca="1">IF(D73&lt;&gt;"",D73-$Y73,"")</f>
        <v/>
      </c>
      <c r="AC73" s="195" t="str">
        <f ca="1">IF(E73&lt;&gt;"",E73-$Y73,"")</f>
        <v/>
      </c>
      <c r="AD73" s="195" t="str">
        <f ca="1">IF(F73&lt;&gt;"",F73-$Y73,"")</f>
        <v/>
      </c>
      <c r="AE73" s="195" t="str">
        <f ca="1">IF(G73&lt;&gt;"",G73-$Y73,"")</f>
        <v/>
      </c>
      <c r="AF73" s="195" t="str">
        <f ca="1">IF(H73&lt;&gt;"",H73-$Y73,"")</f>
        <v/>
      </c>
      <c r="AG73" s="195" t="str">
        <f ca="1">IF(I73&lt;&gt;"",I73-$Y73,"")</f>
        <v/>
      </c>
      <c r="AH73" s="195" t="str">
        <f ca="1">IF(J73&lt;&gt;"",J73-$Y73,"")</f>
        <v/>
      </c>
      <c r="AI73" s="195" t="str">
        <f ca="1">IF(K73&lt;&gt;"",K73-$Y73,"")</f>
        <v/>
      </c>
      <c r="AJ73" s="195" t="str">
        <f ca="1">IF(L73&lt;&gt;"",L73-$Y73,"")</f>
        <v/>
      </c>
      <c r="AK73" s="195" t="str">
        <f ca="1">IF(M73&lt;&gt;"",M73-$Y73,"")</f>
        <v/>
      </c>
      <c r="AL73" s="195" t="str">
        <f ca="1">IF(N73&lt;&gt;"",N73-$Y73,"")</f>
        <v/>
      </c>
      <c r="AM73" s="195" t="str">
        <f ca="1">IF(O73&lt;&gt;"",O73-$Y73,"")</f>
        <v/>
      </c>
      <c r="AN73" s="195" t="str">
        <f ca="1">IF(P73&lt;&gt;"",P73-$Y73,"")</f>
        <v/>
      </c>
      <c r="AO73" s="195" t="str">
        <f ca="1">IF(S73&lt;&gt;"",S73-$Y73,"")</f>
        <v/>
      </c>
      <c r="AP73" s="195" t="str">
        <f ca="1">IF(T73&lt;&gt;"",T73-$Y73,"")</f>
        <v/>
      </c>
      <c r="AQ73" s="195" t="str">
        <f ca="1">IF(U73&lt;&gt;"",U73-$Y73,"")</f>
        <v/>
      </c>
      <c r="AR73" s="195" t="str">
        <f ca="1">IF(V73&lt;&gt;"",V73-$Y73,"")</f>
        <v/>
      </c>
      <c r="AS73" s="195" t="str">
        <f ca="1">IF(W73&lt;&gt;"",W73-$Y73,"")</f>
        <v/>
      </c>
      <c r="AT73" s="195" t="str">
        <f ca="1">IF(Q73&lt;&gt;"",Q73-$Y73,"")</f>
        <v/>
      </c>
      <c r="AU73" s="195" t="str">
        <f ca="1">IF(R73&lt;&gt;"",R73-$Y73,"")</f>
        <v/>
      </c>
      <c r="AV73" s="195" t="str">
        <f t="shared" ca="1" si="8"/>
        <v/>
      </c>
    </row>
    <row r="74" spans="1:48" s="175" customFormat="1">
      <c r="A74" s="196" t="str">
        <f>B74</f>
        <v>Boni finale</v>
      </c>
      <c r="B74" s="197" t="s">
        <v>94</v>
      </c>
      <c r="C74" s="197">
        <f ca="1">INDIRECT(C$1&amp;"!$L$11")+MAX(C72:C73)</f>
        <v>500</v>
      </c>
      <c r="D74" s="197">
        <f ca="1">INDIRECT(D$1&amp;"!$L$11")+MAX(D72:D73)</f>
        <v>485</v>
      </c>
      <c r="E74" s="197">
        <f ca="1">INDIRECT(E$1&amp;"!$L$11")+MAX(E72:E73)</f>
        <v>470</v>
      </c>
      <c r="F74" s="197">
        <f ca="1">INDIRECT(F$1&amp;"!$L$11")+MAX(F72:F73)</f>
        <v>465</v>
      </c>
      <c r="G74" s="197">
        <f ca="1">INDIRECT(G$1&amp;"!$L$11")+MAX(G72:G73)</f>
        <v>455</v>
      </c>
      <c r="H74" s="197">
        <f ca="1">INDIRECT(H$1&amp;"!$L$11")+MAX(H72:H73)</f>
        <v>450</v>
      </c>
      <c r="I74" s="197">
        <f ca="1">INDIRECT(I$1&amp;"!$L$11")+MAX(I72:I73)</f>
        <v>445</v>
      </c>
      <c r="J74" s="197">
        <f ca="1">INDIRECT(J$1&amp;"!$L$11")+MAX(J72:J73)</f>
        <v>440</v>
      </c>
      <c r="K74" s="197">
        <f ca="1">INDIRECT(K$1&amp;"!$L$11")+MAX(K72:K73)</f>
        <v>440</v>
      </c>
      <c r="L74" s="197">
        <f ca="1">INDIRECT(L$1&amp;"!$L$11")+MAX(L72:L73)</f>
        <v>435</v>
      </c>
      <c r="M74" s="197">
        <f ca="1">INDIRECT(M$1&amp;"!$L$11")+MAX(M72:M73)</f>
        <v>420</v>
      </c>
      <c r="N74" s="197">
        <f ca="1">INDIRECT(N$1&amp;"!$L$11")+MAX(N72:N73)</f>
        <v>420</v>
      </c>
      <c r="O74" s="197">
        <f ca="1">INDIRECT(O$1&amp;"!$L$11")+MAX(O72:O73)</f>
        <v>415</v>
      </c>
      <c r="P74" s="197">
        <f ca="1">INDIRECT(P$1&amp;"!$L$11")+MAX(P72:P73)</f>
        <v>410</v>
      </c>
      <c r="Q74" s="197">
        <f ca="1">INDIRECT(Q$1&amp;"!$L$11")+MAX(Q72:Q73)</f>
        <v>410</v>
      </c>
      <c r="R74" s="197">
        <f ca="1">INDIRECT(R$1&amp;"!$L$11")+MAX(R72:R73)</f>
        <v>405</v>
      </c>
      <c r="S74" s="197">
        <f ca="1">INDIRECT(S$1&amp;"!$L$11")+MAX(S72:S73)</f>
        <v>400</v>
      </c>
      <c r="T74" s="197">
        <f ca="1">INDIRECT(T$1&amp;"!$L$11")+MAX(T72:T73)</f>
        <v>395</v>
      </c>
      <c r="U74" s="197">
        <f ca="1">INDIRECT(U$1&amp;"!$L$11")+MAX(U72:U73)</f>
        <v>390</v>
      </c>
      <c r="V74" s="197">
        <f ca="1">INDIRECT(V$1&amp;"!$L$11")+MAX(V72:V73)</f>
        <v>360</v>
      </c>
      <c r="W74" s="197">
        <f ca="1">INDIRECT(W$1&amp;"!$L$11")+MAX(W72:W73)</f>
        <v>345</v>
      </c>
      <c r="X74" s="197">
        <f ca="1">INDIRECT(X$1&amp;"!$L$11")+MAX(X72:X73)</f>
        <v>315</v>
      </c>
      <c r="Y74" s="197">
        <f t="shared" ca="1" si="7"/>
        <v>421.36363636363637</v>
      </c>
      <c r="Z74" s="198" t="e">
        <f ca="1">Y74-Y73</f>
        <v>#DIV/0!</v>
      </c>
      <c r="AA74" s="199">
        <f ca="1">IF(C74&lt;&gt;"",C74-$Y74,"")</f>
        <v>78.636363636363626</v>
      </c>
      <c r="AB74" s="199">
        <f ca="1">IF(D74&lt;&gt;"",D74-$Y74,"")</f>
        <v>63.636363636363626</v>
      </c>
      <c r="AC74" s="199">
        <f ca="1">IF(E74&lt;&gt;"",E74-$Y74,"")</f>
        <v>48.636363636363626</v>
      </c>
      <c r="AD74" s="199">
        <f ca="1">IF(F74&lt;&gt;"",F74-$Y74,"")</f>
        <v>43.636363636363626</v>
      </c>
      <c r="AE74" s="199">
        <f ca="1">IF(G74&lt;&gt;"",G74-$Y74,"")</f>
        <v>33.636363636363626</v>
      </c>
      <c r="AF74" s="199">
        <f ca="1">IF(H74&lt;&gt;"",H74-$Y74,"")</f>
        <v>28.636363636363626</v>
      </c>
      <c r="AG74" s="199">
        <f ca="1">IF(I74&lt;&gt;"",I74-$Y74,"")</f>
        <v>23.636363636363626</v>
      </c>
      <c r="AH74" s="199">
        <f ca="1">IF(J74&lt;&gt;"",J74-$Y74,"")</f>
        <v>18.636363636363626</v>
      </c>
      <c r="AI74" s="199">
        <f ca="1">IF(K74&lt;&gt;"",K74-$Y74,"")</f>
        <v>18.636363636363626</v>
      </c>
      <c r="AJ74" s="199">
        <f ca="1">IF(L74&lt;&gt;"",L74-$Y74,"")</f>
        <v>13.636363636363626</v>
      </c>
      <c r="AK74" s="199">
        <f ca="1">IF(M74&lt;&gt;"",M74-$Y74,"")</f>
        <v>-1.363636363636374</v>
      </c>
      <c r="AL74" s="199">
        <f ca="1">IF(N74&lt;&gt;"",N74-$Y74,"")</f>
        <v>-1.363636363636374</v>
      </c>
      <c r="AM74" s="199">
        <f ca="1">IF(O74&lt;&gt;"",O74-$Y74,"")</f>
        <v>-6.363636363636374</v>
      </c>
      <c r="AN74" s="199">
        <f ca="1">IF(P74&lt;&gt;"",P74-$Y74,"")</f>
        <v>-11.363636363636374</v>
      </c>
      <c r="AO74" s="199">
        <f ca="1">IF(S74&lt;&gt;"",S74-$Y74,"")</f>
        <v>-21.363636363636374</v>
      </c>
      <c r="AP74" s="199">
        <f ca="1">IF(T74&lt;&gt;"",T74-$Y74,"")</f>
        <v>-26.363636363636374</v>
      </c>
      <c r="AQ74" s="199">
        <f ca="1">IF(U74&lt;&gt;"",U74-$Y74,"")</f>
        <v>-31.363636363636374</v>
      </c>
      <c r="AR74" s="199">
        <f ca="1">IF(V74&lt;&gt;"",V74-$Y74,"")</f>
        <v>-61.363636363636374</v>
      </c>
      <c r="AS74" s="199">
        <f ca="1">IF(W74&lt;&gt;"",W74-$Y74,"")</f>
        <v>-76.363636363636374</v>
      </c>
      <c r="AT74" s="199">
        <f ca="1">IF(Q74&lt;&gt;"",Q74-$Y74,"")</f>
        <v>-11.363636363636374</v>
      </c>
      <c r="AU74" s="199">
        <f ca="1">IF(R74&lt;&gt;"",R74-$Y74,"")</f>
        <v>-16.363636363636374</v>
      </c>
      <c r="AV74" s="199">
        <f t="shared" ca="1" si="8"/>
        <v>-106.36363636363637</v>
      </c>
    </row>
    <row r="75" spans="1:48" hidden="1">
      <c r="A75" s="189">
        <v>63</v>
      </c>
      <c r="B75" s="204" t="str">
        <f>VLOOKUP($A75,Invulblad!A$76:J$103,6,0)&amp;"-"&amp;VLOOKUP($A75,Invulblad!A$76:J$103,10,0)</f>
        <v>Uruguay-Verliezer 62</v>
      </c>
      <c r="C75" s="346" t="str">
        <f ca="1">IF(VLOOKUP($A75,INDIRECT(C$1&amp;"!$B$14:$P$89"),15,0)&lt;&gt;"",VLOOKUP($A75,INDIRECT(C$1&amp;"!$B$14:$P$89"),15,0)+C74,"")</f>
        <v/>
      </c>
      <c r="D75" s="346" t="str">
        <f ca="1">IF(VLOOKUP($A75,INDIRECT(D$1&amp;"!$B$14:$P$89"),15,0)&lt;&gt;"",VLOOKUP($A75,INDIRECT(D$1&amp;"!$B$14:$P$89"),15,0)+D74,"")</f>
        <v/>
      </c>
      <c r="E75" s="346" t="str">
        <f ca="1">IF(VLOOKUP($A75,INDIRECT(E$1&amp;"!$B$14:$P$89"),15,0)&lt;&gt;"",VLOOKUP($A75,INDIRECT(E$1&amp;"!$B$14:$P$89"),15,0)+E74,"")</f>
        <v/>
      </c>
      <c r="F75" s="346" t="str">
        <f ca="1">IF(VLOOKUP($A75,INDIRECT(F$1&amp;"!$B$14:$P$89"),15,0)&lt;&gt;"",VLOOKUP($A75,INDIRECT(F$1&amp;"!$B$14:$P$89"),15,0)+F74,"")</f>
        <v/>
      </c>
      <c r="G75" s="346" t="str">
        <f ca="1">IF(VLOOKUP($A75,INDIRECT(G$1&amp;"!$B$14:$P$89"),15,0)&lt;&gt;"",VLOOKUP($A75,INDIRECT(G$1&amp;"!$B$14:$P$89"),15,0)+G74,"")</f>
        <v/>
      </c>
      <c r="H75" s="346" t="str">
        <f ca="1">IF(VLOOKUP($A75,INDIRECT(H$1&amp;"!$B$14:$P$89"),15,0)&lt;&gt;"",VLOOKUP($A75,INDIRECT(H$1&amp;"!$B$14:$P$89"),15,0)+H74,"")</f>
        <v/>
      </c>
      <c r="I75" s="346" t="str">
        <f ca="1">IF(VLOOKUP($A75,INDIRECT(I$1&amp;"!$B$14:$P$89"),15,0)&lt;&gt;"",VLOOKUP($A75,INDIRECT(I$1&amp;"!$B$14:$P$89"),15,0)+I74,"")</f>
        <v/>
      </c>
      <c r="J75" s="346" t="str">
        <f ca="1">IF(VLOOKUP($A75,INDIRECT(J$1&amp;"!$B$14:$P$89"),15,0)&lt;&gt;"",VLOOKUP($A75,INDIRECT(J$1&amp;"!$B$14:$P$89"),15,0)+J74,"")</f>
        <v/>
      </c>
      <c r="K75" s="346" t="str">
        <f ca="1">IF(VLOOKUP($A75,INDIRECT(K$1&amp;"!$B$14:$P$89"),15,0)&lt;&gt;"",VLOOKUP($A75,INDIRECT(K$1&amp;"!$B$14:$P$89"),15,0)+K74,"")</f>
        <v/>
      </c>
      <c r="L75" s="346" t="str">
        <f ca="1">IF(VLOOKUP($A75,INDIRECT(L$1&amp;"!$B$14:$P$89"),15,0)&lt;&gt;"",VLOOKUP($A75,INDIRECT(L$1&amp;"!$B$14:$P$89"),15,0)+L74,"")</f>
        <v/>
      </c>
      <c r="M75" s="346" t="str">
        <f ca="1">IF(VLOOKUP($A75,INDIRECT(M$1&amp;"!$B$14:$P$89"),15,0)&lt;&gt;"",VLOOKUP($A75,INDIRECT(M$1&amp;"!$B$14:$P$89"),15,0)+M74,"")</f>
        <v/>
      </c>
      <c r="N75" s="346" t="str">
        <f ca="1">IF(VLOOKUP($A75,INDIRECT(N$1&amp;"!$B$14:$P$89"),15,0)&lt;&gt;"",VLOOKUP($A75,INDIRECT(N$1&amp;"!$B$14:$P$89"),15,0)+N74,"")</f>
        <v/>
      </c>
      <c r="O75" s="346" t="str">
        <f ca="1">IF(VLOOKUP($A75,INDIRECT(O$1&amp;"!$B$14:$P$89"),15,0)&lt;&gt;"",VLOOKUP($A75,INDIRECT(O$1&amp;"!$B$14:$P$89"),15,0)+O74,"")</f>
        <v/>
      </c>
      <c r="P75" s="346" t="str">
        <f ca="1">IF(VLOOKUP($A75,INDIRECT(P$1&amp;"!$B$14:$P$89"),15,0)&lt;&gt;"",VLOOKUP($A75,INDIRECT(P$1&amp;"!$B$14:$P$89"),15,0)+P74,"")</f>
        <v/>
      </c>
      <c r="Q75" s="346" t="str">
        <f ca="1">IF(VLOOKUP($A75,INDIRECT(Q$1&amp;"!$B$14:$P$89"),15,0)&lt;&gt;"",VLOOKUP($A75,INDIRECT(Q$1&amp;"!$B$14:$P$89"),15,0)+Q73,"")</f>
        <v/>
      </c>
      <c r="R75" s="346" t="str">
        <f ca="1">IF(VLOOKUP($A75,INDIRECT(R$1&amp;"!$B$14:$P$89"),15,0)&lt;&gt;"",VLOOKUP($A75,INDIRECT(R$1&amp;"!$B$14:$P$89"),15,0)+R73,"")</f>
        <v/>
      </c>
      <c r="S75" s="346" t="str">
        <f ca="1">IF(VLOOKUP($A75,INDIRECT(S$1&amp;"!$B$14:$P$89"),15,0)&lt;&gt;"",VLOOKUP($A75,INDIRECT(S$1&amp;"!$B$14:$P$89"),15,0)+S74,"")</f>
        <v/>
      </c>
      <c r="T75" s="346" t="str">
        <f ca="1">IF(VLOOKUP($A75,INDIRECT(T$1&amp;"!$B$14:$P$89"),15,0)&lt;&gt;"",VLOOKUP($A75,INDIRECT(T$1&amp;"!$B$14:$P$89"),15,0)+T74,"")</f>
        <v/>
      </c>
      <c r="U75" s="346" t="str">
        <f ca="1">IF(VLOOKUP($A75,INDIRECT(U$1&amp;"!$B$14:$P$89"),15,0)&lt;&gt;"",VLOOKUP($A75,INDIRECT(U$1&amp;"!$B$14:$P$89"),15,0)+U74,"")</f>
        <v/>
      </c>
      <c r="V75" s="346" t="str">
        <f ca="1">IF(VLOOKUP($A75,INDIRECT(V$1&amp;"!$B$14:$P$89"),15,0)&lt;&gt;"",VLOOKUP($A75,INDIRECT(V$1&amp;"!$B$14:$P$89"),15,0)+V74,"")</f>
        <v/>
      </c>
      <c r="W75" s="346" t="str">
        <f ca="1">IF(VLOOKUP($A75,INDIRECT(W$1&amp;"!$B$14:$P$89"),15,0)&lt;&gt;"",VLOOKUP($A75,INDIRECT(W$1&amp;"!$B$14:$P$89"),15,0)+W74,"")</f>
        <v/>
      </c>
      <c r="X75" s="346" t="str">
        <f ca="1">IF(VLOOKUP($A75,INDIRECT(X$1&amp;"!$B$14:$P$89"),15,0)&lt;&gt;"",VLOOKUP($A75,INDIRECT(X$1&amp;"!$B$14:$P$89"),15,0)+X73,"")</f>
        <v/>
      </c>
      <c r="Y75" s="178" t="e">
        <f t="shared" ca="1" si="7"/>
        <v>#DIV/0!</v>
      </c>
      <c r="Z75" s="194" t="e">
        <f ca="1">Y75-Y73</f>
        <v>#DIV/0!</v>
      </c>
      <c r="AA75" s="195" t="str">
        <f ca="1">IF(C75&lt;&gt;"",C75-$Y75,"")</f>
        <v/>
      </c>
      <c r="AB75" s="195" t="str">
        <f ca="1">IF(D75&lt;&gt;"",D75-$Y75,"")</f>
        <v/>
      </c>
      <c r="AC75" s="195" t="str">
        <f ca="1">IF(E75&lt;&gt;"",E75-$Y75,"")</f>
        <v/>
      </c>
      <c r="AD75" s="195" t="str">
        <f ca="1">IF(F75&lt;&gt;"",F75-$Y75,"")</f>
        <v/>
      </c>
      <c r="AE75" s="195" t="str">
        <f ca="1">IF(G75&lt;&gt;"",G75-$Y75,"")</f>
        <v/>
      </c>
      <c r="AF75" s="195" t="str">
        <f ca="1">IF(H75&lt;&gt;"",H75-$Y75,"")</f>
        <v/>
      </c>
      <c r="AG75" s="195" t="str">
        <f ca="1">IF(I75&lt;&gt;"",I75-$Y75,"")</f>
        <v/>
      </c>
      <c r="AH75" s="195" t="str">
        <f ca="1">IF(J75&lt;&gt;"",J75-$Y75,"")</f>
        <v/>
      </c>
      <c r="AI75" s="195" t="str">
        <f ca="1">IF(K75&lt;&gt;"",K75-$Y75,"")</f>
        <v/>
      </c>
      <c r="AJ75" s="195" t="str">
        <f ca="1">IF(L75&lt;&gt;"",L75-$Y75,"")</f>
        <v/>
      </c>
      <c r="AK75" s="195" t="str">
        <f ca="1">IF(M75&lt;&gt;"",M75-$Y75,"")</f>
        <v/>
      </c>
      <c r="AL75" s="195" t="str">
        <f ca="1">IF(N75&lt;&gt;"",N75-$Y75,"")</f>
        <v/>
      </c>
      <c r="AM75" s="195" t="str">
        <f ca="1">IF(O75&lt;&gt;"",O75-$Y75,"")</f>
        <v/>
      </c>
      <c r="AN75" s="195" t="str">
        <f ca="1">IF(P75&lt;&gt;"",P75-$Y75,"")</f>
        <v/>
      </c>
      <c r="AO75" s="195" t="str">
        <f ca="1">IF(S75&lt;&gt;"",S75-$Y75,"")</f>
        <v/>
      </c>
      <c r="AP75" s="195" t="str">
        <f ca="1">IF(T75&lt;&gt;"",T75-$Y75,"")</f>
        <v/>
      </c>
      <c r="AQ75" s="195" t="str">
        <f ca="1">IF(U75&lt;&gt;"",U75-$Y75,"")</f>
        <v/>
      </c>
      <c r="AR75" s="195" t="str">
        <f ca="1">IF(V75&lt;&gt;"",V75-$Y75,"")</f>
        <v/>
      </c>
      <c r="AS75" s="195" t="str">
        <f ca="1">IF(W75&lt;&gt;"",W75-$Y75,"")</f>
        <v/>
      </c>
      <c r="AT75" s="195" t="str">
        <f ca="1">IF(Q75&lt;&gt;"",Q75-$Y75,"")</f>
        <v/>
      </c>
      <c r="AU75" s="195" t="str">
        <f ca="1">IF(R75&lt;&gt;"",R75-$Y75,"")</f>
        <v/>
      </c>
      <c r="AV75" s="195" t="str">
        <f t="shared" ca="1" si="8"/>
        <v/>
      </c>
    </row>
    <row r="76" spans="1:48" s="190" customFormat="1" hidden="1">
      <c r="A76" s="189">
        <v>64</v>
      </c>
      <c r="B76" s="204" t="str">
        <f>VLOOKUP($A76,Invulblad!A$76:J$103,6,0)&amp;"-"&amp;VLOOKUP($A76,Invulblad!A$76:J$103,10,0)</f>
        <v>Nederland-Winnaar 62</v>
      </c>
      <c r="C76" s="346" t="str">
        <f ca="1">IF(VLOOKUP($A76,INDIRECT(C$1&amp;"!$B$14:$P$89"),15,0)&lt;&gt;"",VLOOKUP($A76,INDIRECT(C$1&amp;"!$B$14:$P$89"),15,0)+C75,"")</f>
        <v/>
      </c>
      <c r="D76" s="346" t="str">
        <f ca="1">IF(VLOOKUP($A76,INDIRECT(D$1&amp;"!$B$14:$P$89"),15,0)&lt;&gt;"",VLOOKUP($A76,INDIRECT(D$1&amp;"!$B$14:$P$89"),15,0)+D75,"")</f>
        <v/>
      </c>
      <c r="E76" s="346" t="str">
        <f ca="1">IF(VLOOKUP($A76,INDIRECT(E$1&amp;"!$B$14:$P$89"),15,0)&lt;&gt;"",VLOOKUP($A76,INDIRECT(E$1&amp;"!$B$14:$P$89"),15,0)+E75,"")</f>
        <v/>
      </c>
      <c r="F76" s="346" t="str">
        <f ca="1">IF(VLOOKUP($A76,INDIRECT(F$1&amp;"!$B$14:$P$89"),15,0)&lt;&gt;"",VLOOKUP($A76,INDIRECT(F$1&amp;"!$B$14:$P$89"),15,0)+F75,"")</f>
        <v/>
      </c>
      <c r="G76" s="346" t="str">
        <f ca="1">IF(VLOOKUP($A76,INDIRECT(G$1&amp;"!$B$14:$P$89"),15,0)&lt;&gt;"",VLOOKUP($A76,INDIRECT(G$1&amp;"!$B$14:$P$89"),15,0)+G75,"")</f>
        <v/>
      </c>
      <c r="H76" s="346" t="str">
        <f ca="1">IF(VLOOKUP($A76,INDIRECT(H$1&amp;"!$B$14:$P$89"),15,0)&lt;&gt;"",VLOOKUP($A76,INDIRECT(H$1&amp;"!$B$14:$P$89"),15,0)+H75,"")</f>
        <v/>
      </c>
      <c r="I76" s="346" t="str">
        <f ca="1">IF(VLOOKUP($A76,INDIRECT(I$1&amp;"!$B$14:$P$89"),15,0)&lt;&gt;"",VLOOKUP($A76,INDIRECT(I$1&amp;"!$B$14:$P$89"),15,0)+I75,"")</f>
        <v/>
      </c>
      <c r="J76" s="346" t="str">
        <f ca="1">IF(VLOOKUP($A76,INDIRECT(J$1&amp;"!$B$14:$P$89"),15,0)&lt;&gt;"",VLOOKUP($A76,INDIRECT(J$1&amp;"!$B$14:$P$89"),15,0)+J75,"")</f>
        <v/>
      </c>
      <c r="K76" s="346" t="str">
        <f ca="1">IF(VLOOKUP($A76,INDIRECT(K$1&amp;"!$B$14:$P$89"),15,0)&lt;&gt;"",VLOOKUP($A76,INDIRECT(K$1&amp;"!$B$14:$P$89"),15,0)+K75,"")</f>
        <v/>
      </c>
      <c r="L76" s="346" t="str">
        <f ca="1">IF(VLOOKUP($A76,INDIRECT(L$1&amp;"!$B$14:$P$89"),15,0)&lt;&gt;"",VLOOKUP($A76,INDIRECT(L$1&amp;"!$B$14:$P$89"),15,0)+L75,"")</f>
        <v/>
      </c>
      <c r="M76" s="346" t="str">
        <f ca="1">IF(VLOOKUP($A76,INDIRECT(M$1&amp;"!$B$14:$P$89"),15,0)&lt;&gt;"",VLOOKUP($A76,INDIRECT(M$1&amp;"!$B$14:$P$89"),15,0)+M75,"")</f>
        <v/>
      </c>
      <c r="N76" s="346" t="str">
        <f ca="1">IF(VLOOKUP($A76,INDIRECT(N$1&amp;"!$B$14:$P$89"),15,0)&lt;&gt;"",VLOOKUP($A76,INDIRECT(N$1&amp;"!$B$14:$P$89"),15,0)+N75,"")</f>
        <v/>
      </c>
      <c r="O76" s="346" t="str">
        <f ca="1">IF(VLOOKUP($A76,INDIRECT(O$1&amp;"!$B$14:$P$89"),15,0)&lt;&gt;"",VLOOKUP($A76,INDIRECT(O$1&amp;"!$B$14:$P$89"),15,0)+O75,"")</f>
        <v/>
      </c>
      <c r="P76" s="346" t="str">
        <f ca="1">IF(VLOOKUP($A76,INDIRECT(P$1&amp;"!$B$14:$P$89"),15,0)&lt;&gt;"",VLOOKUP($A76,INDIRECT(P$1&amp;"!$B$14:$P$89"),15,0)+P75,"")</f>
        <v/>
      </c>
      <c r="Q76" s="346" t="str">
        <f ca="1">IF(VLOOKUP($A76,INDIRECT(Q$1&amp;"!$B$14:$P$89"),15,0)&lt;&gt;"",VLOOKUP($A76,INDIRECT(Q$1&amp;"!$B$14:$P$89"),15,0)+Q75,"")</f>
        <v/>
      </c>
      <c r="R76" s="346" t="str">
        <f ca="1">IF(VLOOKUP($A76,INDIRECT(R$1&amp;"!$B$14:$P$89"),15,0)&lt;&gt;"",VLOOKUP($A76,INDIRECT(R$1&amp;"!$B$14:$P$89"),15,0)+R75,"")</f>
        <v/>
      </c>
      <c r="S76" s="346" t="str">
        <f ca="1">IF(VLOOKUP($A76,INDIRECT(S$1&amp;"!$B$14:$P$89"),15,0)&lt;&gt;"",VLOOKUP($A76,INDIRECT(S$1&amp;"!$B$14:$P$89"),15,0)+S75,"")</f>
        <v/>
      </c>
      <c r="T76" s="346" t="str">
        <f ca="1">IF(VLOOKUP($A76,INDIRECT(T$1&amp;"!$B$14:$P$89"),15,0)&lt;&gt;"",VLOOKUP($A76,INDIRECT(T$1&amp;"!$B$14:$P$89"),15,0)+T75,"")</f>
        <v/>
      </c>
      <c r="U76" s="346" t="str">
        <f ca="1">IF(VLOOKUP($A76,INDIRECT(U$1&amp;"!$B$14:$P$89"),15,0)&lt;&gt;"",VLOOKUP($A76,INDIRECT(U$1&amp;"!$B$14:$P$89"),15,0)+U75,"")</f>
        <v/>
      </c>
      <c r="V76" s="346" t="str">
        <f ca="1">IF(VLOOKUP($A76,INDIRECT(V$1&amp;"!$B$14:$P$89"),15,0)&lt;&gt;"",VLOOKUP($A76,INDIRECT(V$1&amp;"!$B$14:$P$89"),15,0)+V75,"")</f>
        <v/>
      </c>
      <c r="W76" s="346" t="str">
        <f ca="1">IF(VLOOKUP($A76,INDIRECT(W$1&amp;"!$B$14:$P$89"),15,0)&lt;&gt;"",VLOOKUP($A76,INDIRECT(W$1&amp;"!$B$14:$P$89"),15,0)+W75,"")</f>
        <v/>
      </c>
      <c r="X76" s="346" t="str">
        <f ca="1">IF(VLOOKUP($A76,INDIRECT(X$1&amp;"!$B$14:$P$89"),15,0)&lt;&gt;"",VLOOKUP($A76,INDIRECT(X$1&amp;"!$B$14:$P$89"),15,0)+X75,"")</f>
        <v/>
      </c>
      <c r="Y76" s="178" t="e">
        <f t="shared" ca="1" si="7"/>
        <v>#DIV/0!</v>
      </c>
      <c r="Z76" s="194" t="e">
        <f ca="1">Y76-Y75</f>
        <v>#DIV/0!</v>
      </c>
      <c r="AA76" s="195" t="str">
        <f ca="1">IF(C76&lt;&gt;"",C76-$Y76,"")</f>
        <v/>
      </c>
      <c r="AB76" s="195" t="str">
        <f ca="1">IF(D76&lt;&gt;"",D76-$Y76,"")</f>
        <v/>
      </c>
      <c r="AC76" s="195" t="str">
        <f ca="1">IF(E76&lt;&gt;"",E76-$Y76,"")</f>
        <v/>
      </c>
      <c r="AD76" s="195" t="str">
        <f ca="1">IF(F76&lt;&gt;"",F76-$Y76,"")</f>
        <v/>
      </c>
      <c r="AE76" s="195" t="str">
        <f ca="1">IF(G76&lt;&gt;"",G76-$Y76,"")</f>
        <v/>
      </c>
      <c r="AF76" s="195" t="str">
        <f ca="1">IF(H76&lt;&gt;"",H76-$Y76,"")</f>
        <v/>
      </c>
      <c r="AG76" s="195" t="str">
        <f ca="1">IF(I76&lt;&gt;"",I76-$Y76,"")</f>
        <v/>
      </c>
      <c r="AH76" s="195" t="str">
        <f ca="1">IF(J76&lt;&gt;"",J76-$Y76,"")</f>
        <v/>
      </c>
      <c r="AI76" s="195" t="str">
        <f ca="1">IF(K76&lt;&gt;"",K76-$Y76,"")</f>
        <v/>
      </c>
      <c r="AJ76" s="195" t="str">
        <f ca="1">IF(L76&lt;&gt;"",L76-$Y76,"")</f>
        <v/>
      </c>
      <c r="AK76" s="195" t="str">
        <f ca="1">IF(M76&lt;&gt;"",M76-$Y76,"")</f>
        <v/>
      </c>
      <c r="AL76" s="195" t="str">
        <f ca="1">IF(N76&lt;&gt;"",N76-$Y76,"")</f>
        <v/>
      </c>
      <c r="AM76" s="195" t="str">
        <f ca="1">IF(O76&lt;&gt;"",O76-$Y76,"")</f>
        <v/>
      </c>
      <c r="AN76" s="195" t="str">
        <f ca="1">IF(P76&lt;&gt;"",P76-$Y76,"")</f>
        <v/>
      </c>
      <c r="AO76" s="195" t="str">
        <f ca="1">IF(S76&lt;&gt;"",S76-$Y76,"")</f>
        <v/>
      </c>
      <c r="AP76" s="195" t="str">
        <f ca="1">IF(T76&lt;&gt;"",T76-$Y76,"")</f>
        <v/>
      </c>
      <c r="AQ76" s="195" t="str">
        <f ca="1">IF(U76&lt;&gt;"",U76-$Y76,"")</f>
        <v/>
      </c>
      <c r="AR76" s="195" t="str">
        <f ca="1">IF(V76&lt;&gt;"",V76-$Y76,"")</f>
        <v/>
      </c>
      <c r="AS76" s="195" t="str">
        <f ca="1">IF(W76&lt;&gt;"",W76-$Y76,"")</f>
        <v/>
      </c>
      <c r="AT76" s="195" t="str">
        <f ca="1">IF(Q76&lt;&gt;"",Q76-$Y76,"")</f>
        <v/>
      </c>
      <c r="AU76" s="195" t="str">
        <f ca="1">IF(R76&lt;&gt;"",R76-$Y76,"")</f>
        <v/>
      </c>
      <c r="AV76" s="195" t="str">
        <f t="shared" ca="1" si="8"/>
        <v/>
      </c>
    </row>
    <row r="77" spans="1:48" hidden="1">
      <c r="B77" s="163" t="s">
        <v>95</v>
      </c>
      <c r="C77" s="175" t="str">
        <f ca="1">IF(C76&lt;&gt;"",INDIRECT(C$1&amp;"!$f$12")+C76,"")</f>
        <v/>
      </c>
      <c r="D77" s="175" t="str">
        <f ca="1">IF(D76&lt;&gt;"",INDIRECT(D$1&amp;"!$f$12")+D76,"")</f>
        <v/>
      </c>
      <c r="E77" s="175" t="str">
        <f ca="1">IF(E76&lt;&gt;"",INDIRECT(E$1&amp;"!$f$12")+E76,"")</f>
        <v/>
      </c>
      <c r="F77" s="175" t="str">
        <f ca="1">IF(F76&lt;&gt;"",INDIRECT(F$1&amp;"!$f$12")+F76,"")</f>
        <v/>
      </c>
      <c r="G77" s="175" t="str">
        <f ca="1">IF(G76&lt;&gt;"",INDIRECT(G$1&amp;"!$f$12")+G76,"")</f>
        <v/>
      </c>
      <c r="H77" s="175" t="str">
        <f ca="1">IF(H76&lt;&gt;"",INDIRECT(H$1&amp;"!$f$12")+H76,"")</f>
        <v/>
      </c>
      <c r="I77" s="175" t="str">
        <f ca="1">IF(I76&lt;&gt;"",INDIRECT(I$1&amp;"!$f$12")+I76,"")</f>
        <v/>
      </c>
      <c r="J77" s="175" t="str">
        <f ca="1">IF(J76&lt;&gt;"",INDIRECT(J$1&amp;"!$f$12")+J76,"")</f>
        <v/>
      </c>
      <c r="K77" s="175" t="str">
        <f ca="1">IF(K76&lt;&gt;"",INDIRECT(K$1&amp;"!$f$12")+K76,"")</f>
        <v/>
      </c>
      <c r="L77" s="175" t="str">
        <f ca="1">IF(L76&lt;&gt;"",INDIRECT(L$1&amp;"!$f$12")+L76,"")</f>
        <v/>
      </c>
      <c r="M77" s="175" t="str">
        <f ca="1">IF(M76&lt;&gt;"",INDIRECT(M$1&amp;"!$f$12")+M76,"")</f>
        <v/>
      </c>
      <c r="N77" s="175" t="str">
        <f ca="1">IF(N76&lt;&gt;"",INDIRECT(N$1&amp;"!$f$12")+N76,"")</f>
        <v/>
      </c>
      <c r="O77" s="175" t="str">
        <f ca="1">IF(O76&lt;&gt;"",INDIRECT(O$1&amp;"!$f$12")+O76,"")</f>
        <v/>
      </c>
      <c r="P77" s="175" t="str">
        <f ca="1">IF(P76&lt;&gt;"",INDIRECT(P$1&amp;"!$f$12")+P76,"")</f>
        <v/>
      </c>
      <c r="Q77" s="175" t="str">
        <f ca="1">IF(Q76&lt;&gt;"",INDIRECT(Q$1&amp;"!$f$12")+Q76,"")</f>
        <v/>
      </c>
      <c r="R77" s="175" t="str">
        <f ca="1">IF(R76&lt;&gt;"",INDIRECT(R$1&amp;"!$f$12")+R76,"")</f>
        <v/>
      </c>
      <c r="S77" s="175" t="str">
        <f ca="1">IF(S76&lt;&gt;"",INDIRECT(S$1&amp;"!$f$12")+S76,"")</f>
        <v/>
      </c>
      <c r="T77" s="175" t="str">
        <f ca="1">IF(T76&lt;&gt;"",INDIRECT(T$1&amp;"!$f$12")+T76,"")</f>
        <v/>
      </c>
      <c r="U77" s="175" t="str">
        <f ca="1">IF(U76&lt;&gt;"",INDIRECT(U$1&amp;"!$f$12")+U76,"")</f>
        <v/>
      </c>
      <c r="V77" s="175" t="str">
        <f ca="1">IF(V76&lt;&gt;"",INDIRECT(V$1&amp;"!$f$12")+V76,"")</f>
        <v/>
      </c>
      <c r="W77" s="175" t="str">
        <f ca="1">IF(W76&lt;&gt;"",INDIRECT(W$1&amp;"!$f$12")+W76,"")</f>
        <v/>
      </c>
      <c r="X77" s="175" t="str">
        <f ca="1">IF(X76&lt;&gt;"",INDIRECT(X$1&amp;"!$f$12")+X76,"")</f>
        <v/>
      </c>
      <c r="Y77" s="178" t="e">
        <f t="shared" ca="1" si="7"/>
        <v>#DIV/0!</v>
      </c>
      <c r="Z77" s="194" t="e">
        <f ca="1">Y77-Y76</f>
        <v>#DIV/0!</v>
      </c>
      <c r="AA77" s="195" t="str">
        <f ca="1">IF(C77&lt;&gt;"",C77-$Y77,"")</f>
        <v/>
      </c>
      <c r="AB77" s="195" t="str">
        <f ca="1">IF(D77&lt;&gt;"",D77-$Y77,"")</f>
        <v/>
      </c>
      <c r="AC77" s="195" t="str">
        <f ca="1">IF(E77&lt;&gt;"",E77-$Y77,"")</f>
        <v/>
      </c>
      <c r="AD77" s="195" t="str">
        <f ca="1">IF(F77&lt;&gt;"",F77-$Y77,"")</f>
        <v/>
      </c>
      <c r="AE77" s="195" t="str">
        <f ca="1">IF(G77&lt;&gt;"",G77-$Y77,"")</f>
        <v/>
      </c>
      <c r="AF77" s="195" t="str">
        <f ca="1">IF(H77&lt;&gt;"",H77-$Y77,"")</f>
        <v/>
      </c>
      <c r="AG77" s="195" t="str">
        <f ca="1">IF(I77&lt;&gt;"",I77-$Y77,"")</f>
        <v/>
      </c>
      <c r="AH77" s="195" t="str">
        <f ca="1">IF(J77&lt;&gt;"",J77-$Y77,"")</f>
        <v/>
      </c>
      <c r="AI77" s="195" t="str">
        <f ca="1">IF(K77&lt;&gt;"",K77-$Y77,"")</f>
        <v/>
      </c>
      <c r="AJ77" s="195" t="str">
        <f ca="1">IF(L77&lt;&gt;"",L77-$Y77,"")</f>
        <v/>
      </c>
      <c r="AK77" s="195" t="str">
        <f ca="1">IF(M77&lt;&gt;"",M77-$Y77,"")</f>
        <v/>
      </c>
      <c r="AL77" s="195" t="str">
        <f ca="1">IF(N77&lt;&gt;"",N77-$Y77,"")</f>
        <v/>
      </c>
      <c r="AM77" s="195" t="str">
        <f ca="1">IF(O77&lt;&gt;"",O77-$Y77,"")</f>
        <v/>
      </c>
      <c r="AN77" s="195" t="str">
        <f ca="1">IF(P77&lt;&gt;"",P77-$Y77,"")</f>
        <v/>
      </c>
      <c r="AO77" s="195" t="str">
        <f ca="1">IF(S77&lt;&gt;"",S77-$Y77,"")</f>
        <v/>
      </c>
      <c r="AP77" s="195" t="str">
        <f ca="1">IF(T77&lt;&gt;"",T77-$Y77,"")</f>
        <v/>
      </c>
      <c r="AQ77" s="195" t="str">
        <f ca="1">IF(U77&lt;&gt;"",U77-$Y77,"")</f>
        <v/>
      </c>
      <c r="AR77" s="195" t="str">
        <f ca="1">IF(V77&lt;&gt;"",V77-$Y77,"")</f>
        <v/>
      </c>
      <c r="AS77" s="195" t="str">
        <f ca="1">IF(W77&lt;&gt;"",W77-$Y77,"")</f>
        <v/>
      </c>
      <c r="AT77" s="195" t="str">
        <f ca="1">IF(Q77&lt;&gt;"",Q77-$Y77,"")</f>
        <v/>
      </c>
      <c r="AU77" s="195" t="str">
        <f ca="1">IF(R77&lt;&gt;"",R77-$Y77,"")</f>
        <v/>
      </c>
      <c r="AV77" s="195" t="str">
        <f t="shared" ca="1" si="8"/>
        <v/>
      </c>
    </row>
    <row r="80" spans="1:48" s="347" customFormat="1">
      <c r="Y80" s="348"/>
    </row>
  </sheetData>
  <sheetProtection selectLockedCells="1" selectUnlockedCells="1"/>
  <sortState columnSort="1" ref="C1:X80">
    <sortCondition descending="1" ref="C74:X74"/>
  </sortState>
  <pageMargins left="0.7" right="0.7" top="0.75" bottom="0.75" header="0.51180555555555551" footer="0.51180555555555551"/>
  <pageSetup paperSize="9" firstPageNumber="0" orientation="portrait" horizontalDpi="300" verticalDpi="300"/>
  <headerFooter alignWithMargins="0"/>
</worksheet>
</file>

<file path=xl/worksheets/sheet5.xml><?xml version="1.0" encoding="utf-8"?>
<worksheet xmlns="http://schemas.openxmlformats.org/spreadsheetml/2006/main" xmlns:r="http://schemas.openxmlformats.org/officeDocument/2006/relationships">
  <sheetPr>
    <tabColor theme="4" tint="-0.249977111117893"/>
    <pageSetUpPr fitToPage="1"/>
  </sheetPr>
  <dimension ref="A1"/>
  <sheetViews>
    <sheetView topLeftCell="R7" zoomScale="90" zoomScaleNormal="90" workbookViewId="0">
      <selection activeCell="AI26" sqref="AI26"/>
    </sheetView>
  </sheetViews>
  <sheetFormatPr defaultColWidth="8.5703125" defaultRowHeight="12.75"/>
  <sheetData/>
  <sheetProtection selectLockedCells="1" selectUnlockedCells="1"/>
  <pageMargins left="0.7" right="0.7" top="0.75" bottom="0.75" header="0.51180555555555551" footer="0.51180555555555551"/>
  <pageSetup firstPageNumber="0" orientation="landscape" horizontalDpi="300" verticalDpi="300"/>
  <headerFooter alignWithMargins="0"/>
  <drawing r:id="rId1"/>
</worksheet>
</file>

<file path=xl/worksheets/sheet6.xml><?xml version="1.0" encoding="utf-8"?>
<worksheet xmlns="http://schemas.openxmlformats.org/spreadsheetml/2006/main" xmlns:r="http://schemas.openxmlformats.org/officeDocument/2006/relationships">
  <sheetPr enableFormatConditionsCalculation="0">
    <tabColor indexed="13"/>
  </sheetPr>
  <dimension ref="A1:P311"/>
  <sheetViews>
    <sheetView topLeftCell="A73" workbookViewId="0">
      <selection activeCell="R15" sqref="R15"/>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7.85546875" style="207" customWidth="1"/>
    <col min="13" max="13" width="4.28515625" style="206" customWidth="1"/>
    <col min="14" max="14" width="2.85546875" style="206" customWidth="1"/>
    <col min="15" max="15" width="4.28515625" style="206" customWidth="1"/>
    <col min="16" max="16384" width="9.140625" style="206"/>
  </cols>
  <sheetData>
    <row r="1" spans="1:16" s="210" customFormat="1" ht="21">
      <c r="A1" s="208"/>
      <c r="B1" s="209" t="s">
        <v>96</v>
      </c>
      <c r="L1" s="211"/>
      <c r="P1" s="210">
        <f>SUM(P21:P90)</f>
        <v>155</v>
      </c>
    </row>
    <row r="2" spans="1:16" s="212" customFormat="1" ht="15" customHeight="1">
      <c r="B2" s="213" t="s">
        <v>97</v>
      </c>
      <c r="G2" s="213" t="s">
        <v>98</v>
      </c>
      <c r="J2" s="213" t="s">
        <v>99</v>
      </c>
      <c r="L2" s="214"/>
    </row>
    <row r="3" spans="1:16" s="212" customFormat="1" ht="15" customHeight="1">
      <c r="B3" s="212" t="str">
        <f t="shared" ref="B3:B10" si="0">E71</f>
        <v>Winnaar Groep A</v>
      </c>
      <c r="D3" s="212" t="str">
        <f t="shared" ref="D3:D10" si="1">G71</f>
        <v>Tweede Groep B</v>
      </c>
      <c r="G3" s="212" t="str">
        <f>E80</f>
        <v>Winnaar 53</v>
      </c>
      <c r="J3" s="212" t="str">
        <f>E85</f>
        <v>Winnaar 58</v>
      </c>
      <c r="L3" s="214"/>
    </row>
    <row r="4" spans="1:16" s="212" customFormat="1" ht="15" customHeight="1">
      <c r="B4" s="212" t="str">
        <f t="shared" si="0"/>
        <v>Winnaar Groep C</v>
      </c>
      <c r="D4" s="212" t="str">
        <f t="shared" si="1"/>
        <v>Tweede Groep D</v>
      </c>
      <c r="G4" s="212" t="str">
        <f>E81</f>
        <v>Winnaar 49</v>
      </c>
      <c r="J4" s="212" t="str">
        <f>E86</f>
        <v>Winnaar 59</v>
      </c>
      <c r="L4" s="214"/>
    </row>
    <row r="5" spans="1:16" s="212" customFormat="1" ht="15" customHeight="1">
      <c r="B5" s="212" t="str">
        <f t="shared" si="0"/>
        <v>Winnaar Groep D</v>
      </c>
      <c r="D5" s="212" t="str">
        <f t="shared" si="1"/>
        <v>Tweede Groep C</v>
      </c>
      <c r="G5" s="212" t="str">
        <f>E82</f>
        <v>Winnaar 52</v>
      </c>
      <c r="J5" s="212" t="str">
        <f>G85</f>
        <v>Winnaar 57</v>
      </c>
      <c r="L5" s="214"/>
    </row>
    <row r="6" spans="1:16" s="212" customFormat="1" ht="15" customHeight="1">
      <c r="B6" s="212" t="str">
        <f t="shared" si="0"/>
        <v>Argentinië</v>
      </c>
      <c r="D6" s="212" t="str">
        <f t="shared" si="1"/>
        <v>Tweede Groep A</v>
      </c>
      <c r="G6" s="212" t="str">
        <f>E83</f>
        <v>Winnaar 55</v>
      </c>
      <c r="J6" s="212" t="str">
        <f>G86</f>
        <v>Winnaar 60</v>
      </c>
      <c r="L6" s="214"/>
    </row>
    <row r="7" spans="1:16" s="212" customFormat="1" ht="15" customHeight="1">
      <c r="B7" s="212" t="str">
        <f t="shared" si="0"/>
        <v>Nederland</v>
      </c>
      <c r="D7" s="212" t="str">
        <f t="shared" si="1"/>
        <v>Tweede Groep F</v>
      </c>
      <c r="G7" s="212" t="str">
        <f>G80</f>
        <v>Winnaar 54</v>
      </c>
      <c r="J7" s="215" t="s">
        <v>93</v>
      </c>
      <c r="K7" s="216"/>
      <c r="L7" s="217">
        <f>AVERAGE(Harro:Frank!L7:L7)</f>
        <v>73.63636363636364</v>
      </c>
    </row>
    <row r="8" spans="1:16" s="212" customFormat="1" ht="15" customHeight="1">
      <c r="B8" s="212" t="str">
        <f t="shared" si="0"/>
        <v>Winnaar Groep G</v>
      </c>
      <c r="D8" s="212" t="str">
        <f t="shared" si="1"/>
        <v>Tweede Groep H</v>
      </c>
      <c r="G8" s="212" t="str">
        <f>G81</f>
        <v>Winnaar 50</v>
      </c>
      <c r="J8" s="213" t="s">
        <v>49</v>
      </c>
      <c r="L8" s="214"/>
    </row>
    <row r="9" spans="1:16" s="212" customFormat="1" ht="15" customHeight="1">
      <c r="B9" s="212" t="str">
        <f t="shared" si="0"/>
        <v>Paraguay</v>
      </c>
      <c r="D9" s="212" t="str">
        <f t="shared" si="1"/>
        <v>Tweede Groep E</v>
      </c>
      <c r="G9" s="212" t="str">
        <f>G82</f>
        <v>Winnaar 51</v>
      </c>
      <c r="J9" s="212" t="str">
        <f>E90</f>
        <v>Nederland</v>
      </c>
      <c r="L9" s="214"/>
    </row>
    <row r="10" spans="1:16" s="212" customFormat="1" ht="15" customHeight="1">
      <c r="B10" s="212" t="str">
        <f t="shared" si="0"/>
        <v>Winnaar Groep H</v>
      </c>
      <c r="D10" s="212" t="str">
        <f t="shared" si="1"/>
        <v>Tweede Groep G</v>
      </c>
      <c r="G10" s="212" t="str">
        <f>G83</f>
        <v>Winnaar 56</v>
      </c>
      <c r="J10" s="212" t="str">
        <f>G90</f>
        <v>Spanje</v>
      </c>
      <c r="L10" s="214"/>
    </row>
    <row r="11" spans="1:16" s="212" customFormat="1" ht="15" customHeight="1">
      <c r="D11" s="215" t="s">
        <v>100</v>
      </c>
      <c r="E11" s="217">
        <f>AVERAGE(Harro:Frank!E11:E11)</f>
        <v>98.63636363636364</v>
      </c>
      <c r="G11" s="215" t="s">
        <v>92</v>
      </c>
      <c r="H11" s="217">
        <f>AVERAGE(Harro:Frank!H11:H11)</f>
        <v>72.954545454545453</v>
      </c>
      <c r="J11" s="215" t="s">
        <v>101</v>
      </c>
      <c r="K11" s="216"/>
      <c r="L11" s="217">
        <f>AVERAGE(Harro:Frank!L11:L11)</f>
        <v>1.3636363636363635</v>
      </c>
    </row>
    <row r="12" spans="1:16" s="212" customFormat="1" ht="15" customHeight="1">
      <c r="L12" s="214"/>
    </row>
    <row r="13" spans="1:16">
      <c r="B13" s="218" t="s">
        <v>19</v>
      </c>
      <c r="C13" s="218"/>
      <c r="D13" s="218"/>
      <c r="E13" s="219" t="str">
        <f>IF(H90&gt;J90,E90,G90)</f>
        <v>Nederland</v>
      </c>
      <c r="F13" s="220" t="e">
        <f>AVERAGE(Harro:Frank!F13:F13)</f>
        <v>#DIV/0!</v>
      </c>
      <c r="G13" s="218"/>
      <c r="H13" s="218"/>
      <c r="I13" s="218"/>
      <c r="J13" s="218"/>
      <c r="K13" s="218"/>
      <c r="L13" s="221"/>
      <c r="M13" s="218"/>
      <c r="N13" s="218"/>
      <c r="O13" s="218"/>
    </row>
    <row r="14" spans="1:16">
      <c r="A14" s="205" t="s">
        <v>102</v>
      </c>
      <c r="B14" s="222" t="s">
        <v>103</v>
      </c>
      <c r="C14" s="222"/>
      <c r="D14" s="222"/>
      <c r="E14" s="223"/>
      <c r="F14" s="224"/>
      <c r="G14" s="222"/>
      <c r="H14" s="222" t="s">
        <v>104</v>
      </c>
      <c r="I14" s="224"/>
      <c r="J14" s="224"/>
      <c r="K14" s="224" t="s">
        <v>20</v>
      </c>
      <c r="L14" s="225"/>
      <c r="M14" s="224" t="s">
        <v>105</v>
      </c>
      <c r="N14" s="224"/>
      <c r="O14" s="224"/>
      <c r="P14" s="218" t="s">
        <v>106</v>
      </c>
    </row>
    <row r="15" spans="1:16">
      <c r="A15" s="205">
        <v>1</v>
      </c>
      <c r="B15" s="212">
        <v>1</v>
      </c>
      <c r="C15" s="226">
        <v>40340</v>
      </c>
      <c r="D15" s="227">
        <v>0.66666666666666663</v>
      </c>
      <c r="E15" s="228" t="s">
        <v>107</v>
      </c>
      <c r="F15" s="229" t="s">
        <v>29</v>
      </c>
      <c r="G15" s="230" t="s">
        <v>108</v>
      </c>
      <c r="H15" s="231">
        <f>AVERAGE(Harro:Frank!H14:H14)</f>
        <v>0.95454545454545459</v>
      </c>
      <c r="I15" s="229" t="s">
        <v>29</v>
      </c>
      <c r="J15" s="231">
        <f>AVERAGE(Harro:Frank!J14:J14)</f>
        <v>1.6363636363636365</v>
      </c>
      <c r="K15" s="232">
        <v>2</v>
      </c>
      <c r="L15" s="233">
        <f>VLOOKUP($B15,Invulblad!$A$11:$S$103,13,0)</f>
        <v>3</v>
      </c>
      <c r="M15" s="234">
        <f>IF(L15&lt;&gt;"",VLOOKUP($B15,Invulblad!$A$11:$S$103,7,0),"")</f>
        <v>1</v>
      </c>
      <c r="N15" s="229" t="s">
        <v>29</v>
      </c>
      <c r="O15" s="234">
        <f>IF(L15&lt;&gt;"",VLOOKUP($B15,Invulblad!$A$11:$S$103,9,0),"")</f>
        <v>1</v>
      </c>
      <c r="P15" s="235">
        <f t="shared" ref="P15:P20" si="2">IF(L15&lt;&gt;"",IF(AND(M15=ROUND(H15,0),O15=ROUND(J15,0)),10,IF(K15=L15,5,0)),"")</f>
        <v>0</v>
      </c>
    </row>
    <row r="16" spans="1:16">
      <c r="A16" s="205">
        <v>2</v>
      </c>
      <c r="B16" s="212">
        <v>2</v>
      </c>
      <c r="C16" s="226">
        <v>40340</v>
      </c>
      <c r="D16" s="227">
        <v>0.85416666666666663</v>
      </c>
      <c r="E16" s="228" t="s">
        <v>109</v>
      </c>
      <c r="F16" s="229" t="s">
        <v>29</v>
      </c>
      <c r="G16" s="212" t="s">
        <v>110</v>
      </c>
      <c r="H16" s="231">
        <f>AVERAGE(Harro:Frank!H15:H15)</f>
        <v>0.77272727272727271</v>
      </c>
      <c r="I16" s="229" t="s">
        <v>29</v>
      </c>
      <c r="J16" s="231">
        <f>AVERAGE(Harro:Frank!J15:J15)</f>
        <v>1.2727272727272727</v>
      </c>
      <c r="K16" s="235">
        <v>3</v>
      </c>
      <c r="L16" s="233">
        <f>VLOOKUP($B16,Invulblad!$A$11:$S$103,13,0)</f>
        <v>3</v>
      </c>
      <c r="M16" s="234">
        <f>IF(L16&lt;&gt;"",VLOOKUP($B16,Invulblad!$A$11:$S$103,7,0),"")</f>
        <v>0</v>
      </c>
      <c r="N16" s="229" t="s">
        <v>29</v>
      </c>
      <c r="O16" s="234">
        <f>IF(L16&lt;&gt;"",VLOOKUP($B16,Invulblad!$A$11:$S$103,9,0),"")</f>
        <v>0</v>
      </c>
      <c r="P16" s="235">
        <f t="shared" si="2"/>
        <v>5</v>
      </c>
    </row>
    <row r="17" spans="1:16">
      <c r="A17" s="205">
        <v>3</v>
      </c>
      <c r="B17" s="212">
        <v>17</v>
      </c>
      <c r="C17" s="226">
        <v>40345</v>
      </c>
      <c r="D17" s="227">
        <v>0.85416666666666663</v>
      </c>
      <c r="E17" s="228" t="s">
        <v>111</v>
      </c>
      <c r="F17" s="229" t="s">
        <v>29</v>
      </c>
      <c r="G17" s="212" t="s">
        <v>112</v>
      </c>
      <c r="H17" s="231">
        <f>AVERAGE(Harro:Frank!H16:H16)</f>
        <v>0.81818181818181823</v>
      </c>
      <c r="I17" s="229" t="s">
        <v>29</v>
      </c>
      <c r="J17" s="231">
        <f>AVERAGE(Harro:Frank!J16:J16)</f>
        <v>1.2727272727272727</v>
      </c>
      <c r="K17" s="235">
        <v>3</v>
      </c>
      <c r="L17" s="233">
        <f>VLOOKUP($B17,Invulblad!$A$11:$S$103,13,0)</f>
        <v>2</v>
      </c>
      <c r="M17" s="234">
        <f>IF(L17&lt;&gt;"",VLOOKUP($B17,Invulblad!$A$11:$S$103,7,0),"")</f>
        <v>0</v>
      </c>
      <c r="N17" s="229" t="s">
        <v>29</v>
      </c>
      <c r="O17" s="234">
        <f>IF(L17&lt;&gt;"",VLOOKUP($B17,Invulblad!$A$11:$S$103,9,0),"")</f>
        <v>3</v>
      </c>
      <c r="P17" s="235">
        <f t="shared" si="2"/>
        <v>0</v>
      </c>
    </row>
    <row r="18" spans="1:16">
      <c r="A18" s="205">
        <v>4</v>
      </c>
      <c r="B18" s="212">
        <v>18</v>
      </c>
      <c r="C18" s="226">
        <v>40346</v>
      </c>
      <c r="D18" s="227">
        <v>0.85416666666666663</v>
      </c>
      <c r="E18" s="228" t="s">
        <v>113</v>
      </c>
      <c r="F18" s="229" t="s">
        <v>29</v>
      </c>
      <c r="G18" s="212" t="s">
        <v>108</v>
      </c>
      <c r="H18" s="231">
        <f>AVERAGE(Harro:Frank!H17:H17)</f>
        <v>1.7272727272727273</v>
      </c>
      <c r="I18" s="229" t="s">
        <v>29</v>
      </c>
      <c r="J18" s="231">
        <f>AVERAGE(Harro:Frank!J17:J17)</f>
        <v>1.0454545454545454</v>
      </c>
      <c r="K18" s="235">
        <v>1</v>
      </c>
      <c r="L18" s="233">
        <f>VLOOKUP($B18,Invulblad!$A$11:$S$103,13,0)</f>
        <v>2</v>
      </c>
      <c r="M18" s="234">
        <f>IF(L18&lt;&gt;"",VLOOKUP($B18,Invulblad!$A$11:$S$103,7,0),"")</f>
        <v>0</v>
      </c>
      <c r="N18" s="229" t="s">
        <v>29</v>
      </c>
      <c r="O18" s="234">
        <f>IF(L18&lt;&gt;"",VLOOKUP($B18,Invulblad!$A$11:$S$103,9,0),"")</f>
        <v>2</v>
      </c>
      <c r="P18" s="235">
        <f t="shared" si="2"/>
        <v>0</v>
      </c>
    </row>
    <row r="19" spans="1:16">
      <c r="A19" s="205">
        <v>5</v>
      </c>
      <c r="B19" s="212">
        <v>33</v>
      </c>
      <c r="C19" s="226">
        <v>40351</v>
      </c>
      <c r="D19" s="227">
        <v>0.66666666666666663</v>
      </c>
      <c r="E19" s="228" t="s">
        <v>114</v>
      </c>
      <c r="F19" s="229" t="s">
        <v>29</v>
      </c>
      <c r="G19" s="212" t="s">
        <v>112</v>
      </c>
      <c r="H19" s="231">
        <f>AVERAGE(Harro:Frank!H18:H18)</f>
        <v>1.2272727272727273</v>
      </c>
      <c r="I19" s="229" t="s">
        <v>29</v>
      </c>
      <c r="J19" s="231">
        <f>AVERAGE(Harro:Frank!J18:J18)</f>
        <v>0.95454545454545459</v>
      </c>
      <c r="K19" s="235">
        <v>3</v>
      </c>
      <c r="L19" s="233">
        <f>VLOOKUP($B19,Invulblad!$A$11:$S$103,13,0)</f>
        <v>2</v>
      </c>
      <c r="M19" s="234">
        <f>IF(L19&lt;&gt;"",VLOOKUP($B19,Invulblad!$A$11:$S$103,7,0),"")</f>
        <v>0</v>
      </c>
      <c r="N19" s="229" t="s">
        <v>29</v>
      </c>
      <c r="O19" s="234">
        <f>IF(L19&lt;&gt;"",VLOOKUP($B19,Invulblad!$A$11:$S$103,9,0),"")</f>
        <v>1</v>
      </c>
      <c r="P19" s="235">
        <f t="shared" si="2"/>
        <v>0</v>
      </c>
    </row>
    <row r="20" spans="1:16">
      <c r="A20" s="205">
        <v>6</v>
      </c>
      <c r="B20" s="212">
        <v>34</v>
      </c>
      <c r="C20" s="226">
        <v>40351</v>
      </c>
      <c r="D20" s="227">
        <v>0.66666666666666663</v>
      </c>
      <c r="E20" s="228" t="s">
        <v>113</v>
      </c>
      <c r="F20" s="229" t="s">
        <v>29</v>
      </c>
      <c r="G20" s="212" t="s">
        <v>115</v>
      </c>
      <c r="H20" s="231">
        <f>AVERAGE(Harro:Frank!H19:H19)</f>
        <v>2.2272727272727271</v>
      </c>
      <c r="I20" s="229" t="s">
        <v>29</v>
      </c>
      <c r="J20" s="231">
        <f>AVERAGE(Harro:Frank!J19:J19)</f>
        <v>0.5</v>
      </c>
      <c r="K20" s="235">
        <v>1</v>
      </c>
      <c r="L20" s="233">
        <f>VLOOKUP($B20,Invulblad!$A$11:$S$103,13,0)</f>
        <v>2</v>
      </c>
      <c r="M20" s="234">
        <f>IF(L20&lt;&gt;"",VLOOKUP($B20,Invulblad!$A$11:$S$103,7,0),"")</f>
        <v>1</v>
      </c>
      <c r="N20" s="229" t="s">
        <v>29</v>
      </c>
      <c r="O20" s="234">
        <f>IF(L20&lt;&gt;"",VLOOKUP($B20,Invulblad!$A$11:$S$103,9,0),"")</f>
        <v>2</v>
      </c>
      <c r="P20" s="235">
        <f t="shared" si="2"/>
        <v>0</v>
      </c>
    </row>
    <row r="21" spans="1:16">
      <c r="A21" s="205">
        <v>7</v>
      </c>
      <c r="B21" s="218" t="s">
        <v>30</v>
      </c>
      <c r="C21" s="218"/>
      <c r="D21" s="218"/>
      <c r="E21" s="218"/>
      <c r="F21" s="218"/>
      <c r="G21" s="218"/>
      <c r="H21" s="218"/>
      <c r="I21" s="218"/>
      <c r="J21" s="218"/>
      <c r="K21" s="236"/>
      <c r="L21" s="233"/>
      <c r="M21" s="234" t="str">
        <f>IF(L21&lt;&gt;"",VLOOKUP($B21,Invulblad!$A$11:$S$103,7,0),"")</f>
        <v/>
      </c>
      <c r="N21" s="218"/>
      <c r="O21" s="234" t="str">
        <f>IF(L21&lt;&gt;"",VLOOKUP($B21,Invulblad!$A$11:$S$103,9,0),"")</f>
        <v/>
      </c>
    </row>
    <row r="22" spans="1:16">
      <c r="A22" s="205">
        <v>9</v>
      </c>
      <c r="B22" s="212">
        <v>3</v>
      </c>
      <c r="C22" s="226">
        <v>40341</v>
      </c>
      <c r="D22" s="227">
        <v>0.66666666666666663</v>
      </c>
      <c r="E22" s="228" t="s">
        <v>116</v>
      </c>
      <c r="F22" s="229" t="s">
        <v>29</v>
      </c>
      <c r="G22" s="212" t="s">
        <v>117</v>
      </c>
      <c r="H22" s="231">
        <f>AVERAGE(Harro:Frank!H21:H21)</f>
        <v>2.1818181818181817</v>
      </c>
      <c r="I22" s="229" t="s">
        <v>29</v>
      </c>
      <c r="J22" s="231">
        <f>AVERAGE(Harro:Frank!J21:J21)</f>
        <v>0.77272727272727271</v>
      </c>
      <c r="K22" s="235">
        <v>1</v>
      </c>
      <c r="L22" s="233" t="str">
        <f>VLOOKUP($B22,Invulblad!$A$11:$S$103,13,0)</f>
        <v>1</v>
      </c>
      <c r="M22" s="234">
        <f>IF(L22&lt;&gt;"",VLOOKUP($B22,Invulblad!$A$11:$S$103,7,0),"")</f>
        <v>1</v>
      </c>
      <c r="N22" s="229" t="s">
        <v>29</v>
      </c>
      <c r="O22" s="234">
        <f>IF(L22&lt;&gt;"",VLOOKUP($B22,Invulblad!$A$11:$S$103,9,0),"")</f>
        <v>0</v>
      </c>
      <c r="P22" s="235">
        <v>5</v>
      </c>
    </row>
    <row r="23" spans="1:16">
      <c r="A23" s="205">
        <v>10</v>
      </c>
      <c r="B23" s="212">
        <v>4</v>
      </c>
      <c r="C23" s="226">
        <v>40341</v>
      </c>
      <c r="D23" s="227">
        <v>0.5625</v>
      </c>
      <c r="E23" s="228" t="s">
        <v>118</v>
      </c>
      <c r="F23" s="229" t="s">
        <v>29</v>
      </c>
      <c r="G23" s="212" t="s">
        <v>119</v>
      </c>
      <c r="H23" s="231">
        <f>AVERAGE(Harro:Frank!H22:H22)</f>
        <v>1.0909090909090908</v>
      </c>
      <c r="I23" s="229" t="s">
        <v>29</v>
      </c>
      <c r="J23" s="231">
        <f>AVERAGE(Harro:Frank!J22:J22)</f>
        <v>0.63636363636363635</v>
      </c>
      <c r="K23" s="235">
        <v>3</v>
      </c>
      <c r="L23" s="233" t="str">
        <f>VLOOKUP($B23,Invulblad!$A$11:$S$103,13,0)</f>
        <v>1</v>
      </c>
      <c r="M23" s="234">
        <f>IF(L23&lt;&gt;"",VLOOKUP($B23,Invulblad!$A$11:$S$103,7,0),"")</f>
        <v>2</v>
      </c>
      <c r="N23" s="229" t="s">
        <v>29</v>
      </c>
      <c r="O23" s="234">
        <f>IF(L23&lt;&gt;"",VLOOKUP($B23,Invulblad!$A$11:$S$103,9,0),"")</f>
        <v>0</v>
      </c>
      <c r="P23" s="235">
        <f>IF(L23&lt;&gt;"",IF(AND(M23=ROUND(H23,0),O23=ROUND(J23,0)),10,IF(K23=L23,5,0)),"")</f>
        <v>0</v>
      </c>
    </row>
    <row r="24" spans="1:16">
      <c r="A24" s="205">
        <v>11</v>
      </c>
      <c r="B24" s="212">
        <v>19</v>
      </c>
      <c r="C24" s="226">
        <v>40346</v>
      </c>
      <c r="D24" s="227">
        <v>0.66666666666666663</v>
      </c>
      <c r="E24" s="228" t="s">
        <v>120</v>
      </c>
      <c r="F24" s="229" t="s">
        <v>29</v>
      </c>
      <c r="G24" s="212" t="s">
        <v>117</v>
      </c>
      <c r="H24" s="231">
        <f>AVERAGE(Harro:Frank!H23:H23)</f>
        <v>0.81818181818181823</v>
      </c>
      <c r="I24" s="229" t="s">
        <v>29</v>
      </c>
      <c r="J24" s="231">
        <f>AVERAGE(Harro:Frank!J23:J23)</f>
        <v>1.2727272727272727</v>
      </c>
      <c r="K24" s="235">
        <v>3</v>
      </c>
      <c r="L24" s="233" t="str">
        <f>VLOOKUP($B24,Invulblad!$A$11:$S$103,13,0)</f>
        <v>1</v>
      </c>
      <c r="M24" s="234">
        <f>IF(L24&lt;&gt;"",VLOOKUP($B24,Invulblad!$A$11:$S$103,7,0),"")</f>
        <v>2</v>
      </c>
      <c r="N24" s="229" t="s">
        <v>29</v>
      </c>
      <c r="O24" s="234">
        <f>IF(L24&lt;&gt;"",VLOOKUP($B24,Invulblad!$A$11:$S$103,9,0),"")</f>
        <v>1</v>
      </c>
      <c r="P24" s="235">
        <f>IF(L24&lt;&gt;"",IF(AND(M24=ROUND(H24,0),O24=ROUND(J24,0)),10,IF(K24=L24,5,0)),"")</f>
        <v>0</v>
      </c>
    </row>
    <row r="25" spans="1:16">
      <c r="A25" s="205">
        <v>12</v>
      </c>
      <c r="B25" s="212">
        <v>20</v>
      </c>
      <c r="C25" s="226">
        <v>40346</v>
      </c>
      <c r="D25" s="227">
        <v>0.5625</v>
      </c>
      <c r="E25" s="228" t="s">
        <v>116</v>
      </c>
      <c r="F25" s="229" t="s">
        <v>29</v>
      </c>
      <c r="G25" s="212" t="s">
        <v>121</v>
      </c>
      <c r="H25" s="231">
        <f>AVERAGE(Harro:Frank!H24:H24)</f>
        <v>2</v>
      </c>
      <c r="I25" s="229" t="s">
        <v>29</v>
      </c>
      <c r="J25" s="231">
        <f>AVERAGE(Harro:Frank!J24:J24)</f>
        <v>0.54545454545454541</v>
      </c>
      <c r="K25" s="235">
        <v>1</v>
      </c>
      <c r="L25" s="233" t="str">
        <f>VLOOKUP($B25,Invulblad!$A$11:$S$103,13,0)</f>
        <v>1</v>
      </c>
      <c r="M25" s="234">
        <f>IF(L25&lt;&gt;"",VLOOKUP($B25,Invulblad!$A$11:$S$103,7,0),"")</f>
        <v>4</v>
      </c>
      <c r="N25" s="229" t="s">
        <v>29</v>
      </c>
      <c r="O25" s="234">
        <f>IF(L25&lt;&gt;"",VLOOKUP($B25,Invulblad!$A$11:$S$103,9,0),"")</f>
        <v>1</v>
      </c>
      <c r="P25" s="235">
        <v>5</v>
      </c>
    </row>
    <row r="26" spans="1:16">
      <c r="A26" s="205">
        <v>13</v>
      </c>
      <c r="B26" s="212">
        <v>35</v>
      </c>
      <c r="C26" s="226">
        <v>40351</v>
      </c>
      <c r="D26" s="227">
        <v>0.85416666666666663</v>
      </c>
      <c r="E26" s="228" t="s">
        <v>122</v>
      </c>
      <c r="F26" s="229" t="s">
        <v>29</v>
      </c>
      <c r="G26" s="212" t="s">
        <v>121</v>
      </c>
      <c r="H26" s="231">
        <f>AVERAGE(Harro:Frank!H25:H25)</f>
        <v>1.2727272727272727</v>
      </c>
      <c r="I26" s="229" t="s">
        <v>29</v>
      </c>
      <c r="J26" s="231">
        <f>AVERAGE(Harro:Frank!J25:J25)</f>
        <v>0.81818181818181823</v>
      </c>
      <c r="K26" s="235">
        <v>3</v>
      </c>
      <c r="L26" s="233">
        <f>VLOOKUP($B26,Invulblad!$A$11:$S$103,13,0)</f>
        <v>3</v>
      </c>
      <c r="M26" s="234">
        <f>IF(L26&lt;&gt;"",VLOOKUP($B26,Invulblad!$A$11:$S$103,7,0),"")</f>
        <v>2</v>
      </c>
      <c r="N26" s="229" t="s">
        <v>29</v>
      </c>
      <c r="O26" s="234">
        <f>IF(L26&lt;&gt;"",VLOOKUP($B26,Invulblad!$A$11:$S$103,9,0),"")</f>
        <v>2</v>
      </c>
      <c r="P26" s="235">
        <f>IF(L26&lt;&gt;"",IF(AND(M26=ROUND(H26,0),O26=ROUND(J26,0)),10,IF(K26=L26,5,0)),"")</f>
        <v>5</v>
      </c>
    </row>
    <row r="27" spans="1:16">
      <c r="A27" s="205">
        <v>14</v>
      </c>
      <c r="B27" s="212">
        <v>36</v>
      </c>
      <c r="C27" s="226">
        <v>40351</v>
      </c>
      <c r="D27" s="227">
        <v>0.85416666666666663</v>
      </c>
      <c r="E27" s="228" t="s">
        <v>120</v>
      </c>
      <c r="F27" s="229" t="s">
        <v>29</v>
      </c>
      <c r="G27" s="212" t="s">
        <v>123</v>
      </c>
      <c r="H27" s="231">
        <f>AVERAGE(Harro:Frank!H26:H26)</f>
        <v>0.31818181818181818</v>
      </c>
      <c r="I27" s="229" t="s">
        <v>29</v>
      </c>
      <c r="J27" s="231">
        <f>AVERAGE(Harro:Frank!J26:J26)</f>
        <v>1.7272727272727273</v>
      </c>
      <c r="K27" s="235">
        <v>2</v>
      </c>
      <c r="L27" s="233">
        <f>VLOOKUP($B27,Invulblad!$A$11:$S$103,13,0)</f>
        <v>2</v>
      </c>
      <c r="M27" s="234">
        <f>IF(L27&lt;&gt;"",VLOOKUP($B27,Invulblad!$A$11:$S$103,7,0),"")</f>
        <v>0</v>
      </c>
      <c r="N27" s="229" t="s">
        <v>29</v>
      </c>
      <c r="O27" s="234">
        <f>IF(L27&lt;&gt;"",VLOOKUP($B27,Invulblad!$A$11:$S$103,9,0),"")</f>
        <v>2</v>
      </c>
      <c r="P27" s="235">
        <f>IF(L27&lt;&gt;"",IF(AND(M27=ROUND(H27,0),O27=ROUND(J27,0)),10,IF(K27=L27,5,0)),"")</f>
        <v>10</v>
      </c>
    </row>
    <row r="28" spans="1:16">
      <c r="A28" s="205">
        <v>15</v>
      </c>
      <c r="B28" s="218" t="s">
        <v>31</v>
      </c>
      <c r="C28" s="218"/>
      <c r="D28" s="218"/>
      <c r="E28" s="218"/>
      <c r="F28" s="218"/>
      <c r="G28" s="218"/>
      <c r="H28" s="218"/>
      <c r="I28" s="218"/>
      <c r="J28" s="218"/>
      <c r="K28" s="236"/>
      <c r="L28" s="233"/>
      <c r="M28" s="234" t="str">
        <f>IF(L28&lt;&gt;"",VLOOKUP($B28,Invulblad!$A$11:$S$103,7,0),"")</f>
        <v/>
      </c>
      <c r="N28" s="229"/>
      <c r="O28" s="234" t="str">
        <f>IF(L28&lt;&gt;"",VLOOKUP($B28,Invulblad!$A$11:$S$103,9,0),"")</f>
        <v/>
      </c>
    </row>
    <row r="29" spans="1:16">
      <c r="A29" s="205">
        <v>17</v>
      </c>
      <c r="B29" s="212">
        <v>5</v>
      </c>
      <c r="C29" s="226">
        <v>40341</v>
      </c>
      <c r="D29" s="227">
        <v>0.85416666666666663</v>
      </c>
      <c r="E29" s="228" t="s">
        <v>124</v>
      </c>
      <c r="F29" s="229" t="s">
        <v>29</v>
      </c>
      <c r="G29" s="212" t="s">
        <v>125</v>
      </c>
      <c r="H29" s="231">
        <f>AVERAGE(Harro:Frank!H28:H28)</f>
        <v>1.8181818181818181</v>
      </c>
      <c r="I29" s="229" t="s">
        <v>29</v>
      </c>
      <c r="J29" s="231">
        <f>AVERAGE(Harro:Frank!J28:J28)</f>
        <v>0.81818181818181823</v>
      </c>
      <c r="K29" s="235">
        <v>1</v>
      </c>
      <c r="L29" s="233">
        <f>VLOOKUP($B29,Invulblad!$A$11:$S$103,13,0)</f>
        <v>3</v>
      </c>
      <c r="M29" s="234">
        <f>IF(L29&lt;&gt;"",VLOOKUP($B29,Invulblad!$A$11:$S$103,7,0),"")</f>
        <v>1</v>
      </c>
      <c r="N29" s="229" t="s">
        <v>29</v>
      </c>
      <c r="O29" s="234">
        <f>IF(L29&lt;&gt;"",VLOOKUP($B29,Invulblad!$A$11:$S$103,9,0),"")</f>
        <v>1</v>
      </c>
      <c r="P29" s="235">
        <f t="shared" ref="P29:P34" si="3">IF(L29&lt;&gt;"",IF(AND(M29=ROUND(H29,0),O29=ROUND(J29,0)),10,IF(K29=L29,5,0)),"")</f>
        <v>0</v>
      </c>
    </row>
    <row r="30" spans="1:16">
      <c r="A30" s="205">
        <v>18</v>
      </c>
      <c r="B30" s="212">
        <v>6</v>
      </c>
      <c r="C30" s="226">
        <v>40342</v>
      </c>
      <c r="D30" s="227">
        <v>0.5625</v>
      </c>
      <c r="E30" s="228" t="s">
        <v>126</v>
      </c>
      <c r="F30" s="229" t="s">
        <v>29</v>
      </c>
      <c r="G30" s="212" t="s">
        <v>127</v>
      </c>
      <c r="H30" s="231">
        <f>AVERAGE(Harro:Frank!H29:H29)</f>
        <v>0.90909090909090906</v>
      </c>
      <c r="I30" s="229" t="s">
        <v>29</v>
      </c>
      <c r="J30" s="231">
        <f>AVERAGE(Harro:Frank!J29:J29)</f>
        <v>1.0909090909090908</v>
      </c>
      <c r="K30" s="235">
        <v>3</v>
      </c>
      <c r="L30" s="233">
        <f>VLOOKUP($B30,Invulblad!$A$11:$S$103,13,0)</f>
        <v>2</v>
      </c>
      <c r="M30" s="234">
        <f>IF(L30&lt;&gt;"",VLOOKUP($B30,Invulblad!$A$11:$S$103,7,0),"")</f>
        <v>0</v>
      </c>
      <c r="N30" s="229" t="s">
        <v>29</v>
      </c>
      <c r="O30" s="234">
        <f>IF(L30&lt;&gt;"",VLOOKUP($B30,Invulblad!$A$11:$S$103,9,0),"")</f>
        <v>1</v>
      </c>
      <c r="P30" s="235">
        <f t="shared" si="3"/>
        <v>0</v>
      </c>
    </row>
    <row r="31" spans="1:16">
      <c r="A31" s="205">
        <v>19</v>
      </c>
      <c r="B31" s="212">
        <v>22</v>
      </c>
      <c r="C31" s="226">
        <v>40347</v>
      </c>
      <c r="D31" s="227">
        <v>0.66666666666666663</v>
      </c>
      <c r="E31" s="228" t="s">
        <v>128</v>
      </c>
      <c r="F31" s="229" t="s">
        <v>29</v>
      </c>
      <c r="G31" s="212" t="s">
        <v>125</v>
      </c>
      <c r="H31" s="231">
        <f>AVERAGE(Harro:Frank!H30:H30)</f>
        <v>0.63636363636363635</v>
      </c>
      <c r="I31" s="229" t="s">
        <v>29</v>
      </c>
      <c r="J31" s="231">
        <f>AVERAGE(Harro:Frank!J30:J30)</f>
        <v>1.0909090909090908</v>
      </c>
      <c r="K31" s="235">
        <v>3</v>
      </c>
      <c r="L31" s="233">
        <f>VLOOKUP($B31,Invulblad!$A$11:$S$103,13,0)</f>
        <v>3</v>
      </c>
      <c r="M31" s="234">
        <f>IF(L31&lt;&gt;"",VLOOKUP($B31,Invulblad!$A$11:$S$103,7,0),"")</f>
        <v>2</v>
      </c>
      <c r="N31" s="229" t="s">
        <v>29</v>
      </c>
      <c r="O31" s="234">
        <f>IF(L31&lt;&gt;"",VLOOKUP($B31,Invulblad!$A$11:$S$103,9,0),"")</f>
        <v>2</v>
      </c>
      <c r="P31" s="235">
        <f t="shared" si="3"/>
        <v>5</v>
      </c>
    </row>
    <row r="32" spans="1:16">
      <c r="A32" s="205">
        <v>20</v>
      </c>
      <c r="B32" s="212">
        <v>23</v>
      </c>
      <c r="C32" s="226">
        <v>40347</v>
      </c>
      <c r="D32" s="227">
        <v>0.85416666666666663</v>
      </c>
      <c r="E32" s="228" t="s">
        <v>124</v>
      </c>
      <c r="F32" s="229" t="s">
        <v>29</v>
      </c>
      <c r="G32" s="212" t="s">
        <v>129</v>
      </c>
      <c r="H32" s="231">
        <f>AVERAGE(Harro:Frank!H31:H31)</f>
        <v>2.3636363636363638</v>
      </c>
      <c r="I32" s="229" t="s">
        <v>29</v>
      </c>
      <c r="J32" s="231">
        <f>AVERAGE(Harro:Frank!J31:J31)</f>
        <v>0.45454545454545453</v>
      </c>
      <c r="K32" s="235">
        <v>1</v>
      </c>
      <c r="L32" s="233">
        <f>VLOOKUP($B32,Invulblad!$A$11:$S$103,13,0)</f>
        <v>3</v>
      </c>
      <c r="M32" s="234">
        <f>IF(L32&lt;&gt;"",VLOOKUP($B32,Invulblad!$A$11:$S$103,7,0),"")</f>
        <v>0</v>
      </c>
      <c r="N32" s="229" t="s">
        <v>29</v>
      </c>
      <c r="O32" s="234">
        <f>IF(L32&lt;&gt;"",VLOOKUP($B32,Invulblad!$A$11:$S$103,9,0),"")</f>
        <v>0</v>
      </c>
      <c r="P32" s="235">
        <f t="shared" si="3"/>
        <v>0</v>
      </c>
    </row>
    <row r="33" spans="1:16">
      <c r="A33" s="205">
        <v>21</v>
      </c>
      <c r="B33" s="212">
        <v>37</v>
      </c>
      <c r="C33" s="226">
        <v>40352</v>
      </c>
      <c r="D33" s="227">
        <v>0.66666666666666663</v>
      </c>
      <c r="E33" s="228" t="s">
        <v>128</v>
      </c>
      <c r="F33" s="229" t="s">
        <v>29</v>
      </c>
      <c r="G33" s="212" t="s">
        <v>130</v>
      </c>
      <c r="H33" s="231">
        <f>AVERAGE(Harro:Frank!H32:H32)</f>
        <v>0.72727272727272729</v>
      </c>
      <c r="I33" s="229" t="s">
        <v>29</v>
      </c>
      <c r="J33" s="231">
        <f>AVERAGE(Harro:Frank!J32:J32)</f>
        <v>1.9090909090909092</v>
      </c>
      <c r="K33" s="235">
        <v>2</v>
      </c>
      <c r="L33" s="233">
        <f>VLOOKUP($B33,Invulblad!$A$11:$S$103,13,0)</f>
        <v>2</v>
      </c>
      <c r="M33" s="234">
        <f>IF(L33&lt;&gt;"",VLOOKUP($B33,Invulblad!$A$11:$S$103,7,0),"")</f>
        <v>0</v>
      </c>
      <c r="N33" s="229" t="s">
        <v>29</v>
      </c>
      <c r="O33" s="234">
        <f>IF(L33&lt;&gt;"",VLOOKUP($B33,Invulblad!$A$11:$S$103,9,0),"")</f>
        <v>1</v>
      </c>
      <c r="P33" s="235">
        <f t="shared" si="3"/>
        <v>5</v>
      </c>
    </row>
    <row r="34" spans="1:16">
      <c r="A34" s="205">
        <v>22</v>
      </c>
      <c r="B34" s="212">
        <v>38</v>
      </c>
      <c r="C34" s="226">
        <v>40352</v>
      </c>
      <c r="D34" s="227">
        <v>0.66666666666666663</v>
      </c>
      <c r="E34" s="228" t="s">
        <v>32</v>
      </c>
      <c r="F34" s="229" t="s">
        <v>29</v>
      </c>
      <c r="G34" s="212" t="s">
        <v>129</v>
      </c>
      <c r="H34" s="231">
        <f>AVERAGE(Harro:Frank!H33:H33)</f>
        <v>1.4545454545454546</v>
      </c>
      <c r="I34" s="229" t="s">
        <v>29</v>
      </c>
      <c r="J34" s="231">
        <f>AVERAGE(Harro:Frank!J33:J33)</f>
        <v>0.5</v>
      </c>
      <c r="K34" s="235">
        <v>1</v>
      </c>
      <c r="L34" s="233" t="str">
        <f>VLOOKUP($B34,Invulblad!$A$11:$S$103,13,0)</f>
        <v>1</v>
      </c>
      <c r="M34" s="234">
        <f>IF(L34&lt;&gt;"",VLOOKUP($B34,Invulblad!$A$11:$S$103,7,0),"")</f>
        <v>1</v>
      </c>
      <c r="N34" s="229" t="s">
        <v>29</v>
      </c>
      <c r="O34" s="234">
        <f>IF(L34&lt;&gt;"",VLOOKUP($B34,Invulblad!$A$11:$S$103,9,0),"")</f>
        <v>0</v>
      </c>
      <c r="P34" s="235">
        <f t="shared" si="3"/>
        <v>0</v>
      </c>
    </row>
    <row r="35" spans="1:16">
      <c r="A35" s="205">
        <v>23</v>
      </c>
      <c r="B35" s="218" t="s">
        <v>33</v>
      </c>
      <c r="C35" s="218"/>
      <c r="D35" s="218"/>
      <c r="E35" s="218"/>
      <c r="F35" s="218"/>
      <c r="G35" s="218"/>
      <c r="H35" s="218"/>
      <c r="I35" s="218"/>
      <c r="J35" s="218"/>
      <c r="K35" s="236"/>
      <c r="L35" s="233"/>
      <c r="M35" s="234" t="str">
        <f>IF(L35&lt;&gt;"",VLOOKUP($B35,Invulblad!$A$11:$S$103,7,0),"")</f>
        <v/>
      </c>
      <c r="N35" s="229"/>
      <c r="O35" s="234" t="str">
        <f>IF(L35&lt;&gt;"",VLOOKUP($B35,Invulblad!$A$11:$S$103,9,0),"")</f>
        <v/>
      </c>
    </row>
    <row r="36" spans="1:16">
      <c r="A36" s="205">
        <v>25</v>
      </c>
      <c r="B36" s="212">
        <v>7</v>
      </c>
      <c r="C36" s="226">
        <v>40342</v>
      </c>
      <c r="D36" s="227">
        <v>0.85416666666666663</v>
      </c>
      <c r="E36" s="228" t="s">
        <v>131</v>
      </c>
      <c r="F36" s="229" t="s">
        <v>29</v>
      </c>
      <c r="G36" s="212" t="s">
        <v>132</v>
      </c>
      <c r="H36" s="231">
        <f>AVERAGE(Harro:Frank!H35:H35)</f>
        <v>1.9090909090909092</v>
      </c>
      <c r="I36" s="229" t="s">
        <v>29</v>
      </c>
      <c r="J36" s="231">
        <f>AVERAGE(Harro:Frank!J35:J35)</f>
        <v>0.45454545454545453</v>
      </c>
      <c r="K36" s="235">
        <v>1</v>
      </c>
      <c r="L36" s="233" t="str">
        <f>VLOOKUP($B36,Invulblad!$A$11:$S$103,13,0)</f>
        <v>1</v>
      </c>
      <c r="M36" s="234">
        <f>IF(L36&lt;&gt;"",VLOOKUP($B36,Invulblad!$A$11:$S$103,7,0),"")</f>
        <v>4</v>
      </c>
      <c r="N36" s="229" t="s">
        <v>29</v>
      </c>
      <c r="O36" s="234">
        <f>IF(L36&lt;&gt;"",VLOOKUP($B36,Invulblad!$A$11:$S$103,9,0),"")</f>
        <v>0</v>
      </c>
      <c r="P36" s="235">
        <v>5</v>
      </c>
    </row>
    <row r="37" spans="1:16">
      <c r="A37" s="205">
        <v>26</v>
      </c>
      <c r="B37" s="212">
        <v>8</v>
      </c>
      <c r="C37" s="226">
        <v>40342</v>
      </c>
      <c r="D37" s="227">
        <v>0.66666666666666663</v>
      </c>
      <c r="E37" s="228" t="s">
        <v>133</v>
      </c>
      <c r="F37" s="229" t="s">
        <v>29</v>
      </c>
      <c r="G37" s="212" t="s">
        <v>134</v>
      </c>
      <c r="H37" s="231">
        <f>AVERAGE(Harro:Frank!H36:H36)</f>
        <v>1.4545454545454546</v>
      </c>
      <c r="I37" s="229" t="s">
        <v>29</v>
      </c>
      <c r="J37" s="231">
        <f>AVERAGE(Harro:Frank!J36:J36)</f>
        <v>0.81818181818181823</v>
      </c>
      <c r="K37" s="235">
        <v>1</v>
      </c>
      <c r="L37" s="233">
        <f>VLOOKUP($B37,Invulblad!$A$11:$S$103,13,0)</f>
        <v>2</v>
      </c>
      <c r="M37" s="234">
        <f>IF(L37&lt;&gt;"",VLOOKUP($B37,Invulblad!$A$11:$S$103,7,0),"")</f>
        <v>0</v>
      </c>
      <c r="N37" s="229" t="s">
        <v>29</v>
      </c>
      <c r="O37" s="234">
        <f>IF(L37&lt;&gt;"",VLOOKUP($B37,Invulblad!$A$11:$S$103,9,0),"")</f>
        <v>1</v>
      </c>
      <c r="P37" s="235">
        <f>IF(L37&lt;&gt;"",IF(AND(M37=ROUND(H37,0),O37=ROUND(J37,0)),10,IF(K37=L37,5,0)),"")</f>
        <v>0</v>
      </c>
    </row>
    <row r="38" spans="1:16">
      <c r="A38" s="205">
        <v>27</v>
      </c>
      <c r="B38" s="212">
        <v>21</v>
      </c>
      <c r="C38" s="226">
        <v>40347</v>
      </c>
      <c r="D38" s="227">
        <v>0.5625</v>
      </c>
      <c r="E38" s="228" t="s">
        <v>131</v>
      </c>
      <c r="F38" s="229" t="s">
        <v>29</v>
      </c>
      <c r="G38" s="212" t="s">
        <v>135</v>
      </c>
      <c r="H38" s="231">
        <f>AVERAGE(Harro:Frank!H37:H37)</f>
        <v>1.3636363636363635</v>
      </c>
      <c r="I38" s="229" t="s">
        <v>29</v>
      </c>
      <c r="J38" s="231">
        <f>AVERAGE(Harro:Frank!J37:J37)</f>
        <v>0.72727272727272729</v>
      </c>
      <c r="K38" s="235">
        <v>3</v>
      </c>
      <c r="L38" s="233">
        <f>VLOOKUP($B38,Invulblad!$A$11:$S$103,13,0)</f>
        <v>2</v>
      </c>
      <c r="M38" s="234">
        <f>IF(L38&lt;&gt;"",VLOOKUP($B38,Invulblad!$A$11:$S$103,7,0),"")</f>
        <v>0</v>
      </c>
      <c r="N38" s="229" t="s">
        <v>29</v>
      </c>
      <c r="O38" s="234">
        <f>IF(L38&lt;&gt;"",VLOOKUP($B38,Invulblad!$A$11:$S$103,9,0),"")</f>
        <v>1</v>
      </c>
      <c r="P38" s="235">
        <f>IF(L38&lt;&gt;"",IF(AND(M38=ROUND(H38,0),O38=ROUND(J38,0)),10,IF(K38=L38,5,0)),"")</f>
        <v>0</v>
      </c>
    </row>
    <row r="39" spans="1:16">
      <c r="A39" s="205">
        <v>28</v>
      </c>
      <c r="B39" s="212">
        <v>24</v>
      </c>
      <c r="C39" s="226">
        <v>40348</v>
      </c>
      <c r="D39" s="227">
        <v>0.66666666666666663</v>
      </c>
      <c r="E39" s="228" t="s">
        <v>136</v>
      </c>
      <c r="F39" s="229" t="s">
        <v>29</v>
      </c>
      <c r="G39" s="212" t="s">
        <v>132</v>
      </c>
      <c r="H39" s="231">
        <f>AVERAGE(Harro:Frank!H38:H38)</f>
        <v>0.90909090909090906</v>
      </c>
      <c r="I39" s="229" t="s">
        <v>29</v>
      </c>
      <c r="J39" s="231">
        <f>AVERAGE(Harro:Frank!J38:J38)</f>
        <v>1.2727272727272727</v>
      </c>
      <c r="K39" s="235">
        <v>3</v>
      </c>
      <c r="L39" s="233">
        <f>VLOOKUP($B39,Invulblad!$A$11:$S$103,13,0)</f>
        <v>3</v>
      </c>
      <c r="M39" s="234">
        <f>IF(L39&lt;&gt;"",VLOOKUP($B39,Invulblad!$A$11:$S$103,7,0),"")</f>
        <v>1</v>
      </c>
      <c r="N39" s="229" t="s">
        <v>29</v>
      </c>
      <c r="O39" s="234">
        <f>IF(L39&lt;&gt;"",VLOOKUP($B39,Invulblad!$A$11:$S$103,9,0),"")</f>
        <v>1</v>
      </c>
      <c r="P39" s="235">
        <f>IF(L39&lt;&gt;"",IF(AND(M39=ROUND(H39,0),O39=ROUND(J39,0)),10,IF(K39=L39,5,0)),"")</f>
        <v>10</v>
      </c>
    </row>
    <row r="40" spans="1:16">
      <c r="A40" s="205">
        <v>29</v>
      </c>
      <c r="B40" s="212">
        <v>39</v>
      </c>
      <c r="C40" s="226">
        <v>40352</v>
      </c>
      <c r="D40" s="227">
        <v>0.85416666666666663</v>
      </c>
      <c r="E40" s="228" t="s">
        <v>136</v>
      </c>
      <c r="F40" s="229" t="s">
        <v>29</v>
      </c>
      <c r="G40" s="212" t="s">
        <v>137</v>
      </c>
      <c r="H40" s="231">
        <f>AVERAGE(Harro:Frank!H39:H39)</f>
        <v>0.5</v>
      </c>
      <c r="I40" s="229" t="s">
        <v>29</v>
      </c>
      <c r="J40" s="231">
        <f>AVERAGE(Harro:Frank!J39:J39)</f>
        <v>2.1363636363636362</v>
      </c>
      <c r="K40" s="235">
        <v>2</v>
      </c>
      <c r="L40" s="233">
        <f>VLOOKUP($B40,Invulblad!$A$11:$S$103,13,0)</f>
        <v>2</v>
      </c>
      <c r="M40" s="234">
        <f>IF(L40&lt;&gt;"",VLOOKUP($B40,Invulblad!$A$11:$S$103,7,0),"")</f>
        <v>0</v>
      </c>
      <c r="N40" s="229" t="s">
        <v>29</v>
      </c>
      <c r="O40" s="234">
        <f>IF(L40&lt;&gt;"",VLOOKUP($B40,Invulblad!$A$11:$S$103,9,0),"")</f>
        <v>1</v>
      </c>
      <c r="P40" s="235">
        <f>IF(L40&lt;&gt;"",IF(AND(M40=ROUND(H40,0),O40=ROUND(J40,0)),10,IF(K40=L40,5,0)),"")</f>
        <v>5</v>
      </c>
    </row>
    <row r="41" spans="1:16">
      <c r="A41" s="205">
        <v>30</v>
      </c>
      <c r="B41" s="212">
        <v>40</v>
      </c>
      <c r="C41" s="226">
        <v>40352</v>
      </c>
      <c r="D41" s="227">
        <v>0.85416666666666663</v>
      </c>
      <c r="E41" s="228" t="s">
        <v>138</v>
      </c>
      <c r="F41" s="229" t="s">
        <v>29</v>
      </c>
      <c r="G41" s="212" t="s">
        <v>135</v>
      </c>
      <c r="H41" s="231">
        <f>AVERAGE(Harro:Frank!H40:H40)</f>
        <v>0.86363636363636365</v>
      </c>
      <c r="I41" s="229" t="s">
        <v>29</v>
      </c>
      <c r="J41" s="231">
        <f>AVERAGE(Harro:Frank!J40:J40)</f>
        <v>1.2727272727272727</v>
      </c>
      <c r="K41" s="235">
        <v>3</v>
      </c>
      <c r="L41" s="233" t="str">
        <f>VLOOKUP($B41,Invulblad!$A$11:$S$103,13,0)</f>
        <v>1</v>
      </c>
      <c r="M41" s="234">
        <f>IF(L41&lt;&gt;"",VLOOKUP($B41,Invulblad!$A$11:$S$103,7,0),"")</f>
        <v>2</v>
      </c>
      <c r="N41" s="229" t="s">
        <v>29</v>
      </c>
      <c r="O41" s="234">
        <f>IF(L41&lt;&gt;"",VLOOKUP($B41,Invulblad!$A$11:$S$103,9,0),"")</f>
        <v>1</v>
      </c>
      <c r="P41" s="235">
        <f>IF(L41&lt;&gt;"",IF(AND(M41=ROUND(H41,0),O41=ROUND(J41,0)),10,IF(K41=L41,5,0)),"")</f>
        <v>0</v>
      </c>
    </row>
    <row r="42" spans="1:16">
      <c r="A42" s="205">
        <v>31</v>
      </c>
      <c r="B42" s="218" t="s">
        <v>34</v>
      </c>
      <c r="C42" s="218"/>
      <c r="D42" s="218"/>
      <c r="E42" s="218"/>
      <c r="F42" s="218"/>
      <c r="G42" s="218"/>
      <c r="H42" s="218"/>
      <c r="I42" s="218"/>
      <c r="J42" s="218"/>
      <c r="K42" s="236"/>
      <c r="L42" s="233"/>
      <c r="M42" s="234" t="str">
        <f>IF(L42&lt;&gt;"",VLOOKUP($B42,Invulblad!$A$11:$S$103,7,0),"")</f>
        <v/>
      </c>
      <c r="N42" s="229"/>
      <c r="O42" s="234" t="str">
        <f>IF(L42&lt;&gt;"",VLOOKUP($B42,Invulblad!$A$11:$S$103,9,0),"")</f>
        <v/>
      </c>
    </row>
    <row r="43" spans="1:16">
      <c r="A43" s="205">
        <v>33</v>
      </c>
      <c r="B43" s="212">
        <v>9</v>
      </c>
      <c r="C43" s="226">
        <v>40343</v>
      </c>
      <c r="D43" s="227">
        <v>0.5625</v>
      </c>
      <c r="E43" s="228" t="s">
        <v>139</v>
      </c>
      <c r="F43" s="229" t="s">
        <v>29</v>
      </c>
      <c r="G43" s="212" t="s">
        <v>140</v>
      </c>
      <c r="H43" s="231">
        <f>AVERAGE(Harro:Frank!H42:H42)</f>
        <v>1.7272727272727273</v>
      </c>
      <c r="I43" s="229" t="s">
        <v>29</v>
      </c>
      <c r="J43" s="231">
        <f>AVERAGE(Harro:Frank!J42:J42)</f>
        <v>0.72727272727272729</v>
      </c>
      <c r="K43" s="235">
        <v>1</v>
      </c>
      <c r="L43" s="233" t="str">
        <f>VLOOKUP($B43,Invulblad!$A$11:$S$103,13,0)</f>
        <v>1</v>
      </c>
      <c r="M43" s="234">
        <f>IF(L43&lt;&gt;"",VLOOKUP($B43,Invulblad!$A$11:$S$103,7,0),"")</f>
        <v>2</v>
      </c>
      <c r="N43" s="229" t="s">
        <v>29</v>
      </c>
      <c r="O43" s="234">
        <f>IF(L43&lt;&gt;"",VLOOKUP($B43,Invulblad!$A$11:$S$103,9,0),"")</f>
        <v>0</v>
      </c>
      <c r="P43" s="235">
        <v>5</v>
      </c>
    </row>
    <row r="44" spans="1:16">
      <c r="A44" s="205">
        <v>34</v>
      </c>
      <c r="B44" s="212">
        <v>10</v>
      </c>
      <c r="C44" s="226">
        <v>40343</v>
      </c>
      <c r="D44" s="227">
        <v>0.66666666666666663</v>
      </c>
      <c r="E44" s="228" t="s">
        <v>141</v>
      </c>
      <c r="F44" s="229" t="s">
        <v>29</v>
      </c>
      <c r="G44" s="212" t="s">
        <v>142</v>
      </c>
      <c r="H44" s="231">
        <f>AVERAGE(Harro:Frank!H43:H43)</f>
        <v>0.5</v>
      </c>
      <c r="I44" s="229" t="s">
        <v>29</v>
      </c>
      <c r="J44" s="231">
        <f>AVERAGE(Harro:Frank!J43:J43)</f>
        <v>1.7272727272727273</v>
      </c>
      <c r="K44" s="235">
        <v>2</v>
      </c>
      <c r="L44" s="233" t="str">
        <f>VLOOKUP($B44,Invulblad!$A$11:$S$103,13,0)</f>
        <v>1</v>
      </c>
      <c r="M44" s="234">
        <f>IF(L44&lt;&gt;"",VLOOKUP($B44,Invulblad!$A$11:$S$103,7,0),"")</f>
        <v>1</v>
      </c>
      <c r="N44" s="229" t="s">
        <v>29</v>
      </c>
      <c r="O44" s="234">
        <f>IF(L44&lt;&gt;"",VLOOKUP($B44,Invulblad!$A$11:$S$103,9,0),"")</f>
        <v>0</v>
      </c>
      <c r="P44" s="235">
        <f>IF(L44&lt;&gt;"",IF(AND(M44=ROUND(H44,0),O44=ROUND(J44,0)),10,IF(K44=L44,5,0)),"")</f>
        <v>0</v>
      </c>
    </row>
    <row r="45" spans="1:16">
      <c r="A45" s="205">
        <v>35</v>
      </c>
      <c r="B45" s="212">
        <v>25</v>
      </c>
      <c r="C45" s="226">
        <v>40348</v>
      </c>
      <c r="D45" s="227">
        <v>0.5625</v>
      </c>
      <c r="E45" s="228" t="s">
        <v>139</v>
      </c>
      <c r="F45" s="229" t="s">
        <v>29</v>
      </c>
      <c r="G45" s="212" t="s">
        <v>143</v>
      </c>
      <c r="H45" s="231">
        <f>AVERAGE(Harro:Frank!H44:H44)</f>
        <v>2.3636363636363638</v>
      </c>
      <c r="I45" s="229" t="s">
        <v>29</v>
      </c>
      <c r="J45" s="231">
        <f>AVERAGE(Harro:Frank!J44:J44)</f>
        <v>0.31818181818181818</v>
      </c>
      <c r="K45" s="235">
        <v>1</v>
      </c>
      <c r="L45" s="233" t="str">
        <f>VLOOKUP($B45,Invulblad!$A$11:$S$103,13,0)</f>
        <v>1</v>
      </c>
      <c r="M45" s="234">
        <f>IF(L45&lt;&gt;"",VLOOKUP($B45,Invulblad!$A$11:$S$103,7,0),"")</f>
        <v>1</v>
      </c>
      <c r="N45" s="229" t="s">
        <v>29</v>
      </c>
      <c r="O45" s="234">
        <f>IF(L45&lt;&gt;"",VLOOKUP($B45,Invulblad!$A$11:$S$103,9,0),"")</f>
        <v>0</v>
      </c>
      <c r="P45" s="235">
        <v>5</v>
      </c>
    </row>
    <row r="46" spans="1:16">
      <c r="A46" s="205">
        <v>36</v>
      </c>
      <c r="B46" s="212">
        <v>26</v>
      </c>
      <c r="C46" s="226">
        <v>40348</v>
      </c>
      <c r="D46" s="227">
        <v>0.85416666666666663</v>
      </c>
      <c r="E46" s="228" t="s">
        <v>144</v>
      </c>
      <c r="F46" s="229" t="s">
        <v>29</v>
      </c>
      <c r="G46" s="212" t="s">
        <v>140</v>
      </c>
      <c r="H46" s="231">
        <f>AVERAGE(Harro:Frank!H45:H45)</f>
        <v>1.1363636363636365</v>
      </c>
      <c r="I46" s="229" t="s">
        <v>29</v>
      </c>
      <c r="J46" s="231">
        <f>AVERAGE(Harro:Frank!J45:J45)</f>
        <v>1.3181818181818181</v>
      </c>
      <c r="K46" s="235">
        <v>3</v>
      </c>
      <c r="L46" s="233">
        <f>VLOOKUP($B46,Invulblad!$A$11:$S$103,13,0)</f>
        <v>2</v>
      </c>
      <c r="M46" s="234">
        <f>IF(L46&lt;&gt;"",VLOOKUP($B46,Invulblad!$A$11:$S$103,7,0),"")</f>
        <v>1</v>
      </c>
      <c r="N46" s="229" t="s">
        <v>29</v>
      </c>
      <c r="O46" s="234">
        <f>IF(L46&lt;&gt;"",VLOOKUP($B46,Invulblad!$A$11:$S$103,9,0),"")</f>
        <v>2</v>
      </c>
      <c r="P46" s="235">
        <f>IF(L46&lt;&gt;"",IF(AND(M46=ROUND(H46,0),O46=ROUND(J46,0)),10,IF(K46=L46,5,0)),"")</f>
        <v>0</v>
      </c>
    </row>
    <row r="47" spans="1:16">
      <c r="A47" s="205">
        <v>37</v>
      </c>
      <c r="B47" s="212">
        <v>43</v>
      </c>
      <c r="C47" s="226">
        <v>40353</v>
      </c>
      <c r="D47" s="227">
        <v>0.85416666666666663</v>
      </c>
      <c r="E47" s="228" t="s">
        <v>145</v>
      </c>
      <c r="F47" s="229" t="s">
        <v>29</v>
      </c>
      <c r="G47" s="212" t="s">
        <v>143</v>
      </c>
      <c r="H47" s="231">
        <f>AVERAGE(Harro:Frank!H46:H46)</f>
        <v>1.7727272727272727</v>
      </c>
      <c r="I47" s="229" t="s">
        <v>29</v>
      </c>
      <c r="J47" s="231">
        <f>AVERAGE(Harro:Frank!J46:J46)</f>
        <v>0.59090909090909094</v>
      </c>
      <c r="K47" s="235">
        <v>1</v>
      </c>
      <c r="L47" s="233">
        <f>VLOOKUP($B47,Invulblad!$A$11:$S$103,13,0)</f>
        <v>2</v>
      </c>
      <c r="M47" s="234">
        <f>IF(L47&lt;&gt;"",VLOOKUP($B47,Invulblad!$A$11:$S$103,7,0),"")</f>
        <v>1</v>
      </c>
      <c r="N47" s="229" t="s">
        <v>29</v>
      </c>
      <c r="O47" s="234">
        <f>IF(L47&lt;&gt;"",VLOOKUP($B47,Invulblad!$A$11:$S$103,9,0),"")</f>
        <v>3</v>
      </c>
      <c r="P47" s="235">
        <f>IF(L47&lt;&gt;"",IF(AND(M47=ROUND(H47,0),O47=ROUND(J47,0)),10,IF(K47=L47,5,0)),"")</f>
        <v>0</v>
      </c>
    </row>
    <row r="48" spans="1:16">
      <c r="A48" s="205">
        <v>38</v>
      </c>
      <c r="B48" s="212">
        <v>44</v>
      </c>
      <c r="C48" s="226">
        <v>40353</v>
      </c>
      <c r="D48" s="227">
        <v>0.85416666666666663</v>
      </c>
      <c r="E48" s="228" t="s">
        <v>144</v>
      </c>
      <c r="F48" s="229" t="s">
        <v>29</v>
      </c>
      <c r="G48" s="212" t="s">
        <v>146</v>
      </c>
      <c r="H48" s="231">
        <f>AVERAGE(Harro:Frank!H47:H47)</f>
        <v>0.95454545454545459</v>
      </c>
      <c r="I48" s="229" t="s">
        <v>29</v>
      </c>
      <c r="J48" s="231">
        <f>AVERAGE(Harro:Frank!J47:J47)</f>
        <v>1.7272727272727273</v>
      </c>
      <c r="K48" s="235">
        <v>2</v>
      </c>
      <c r="L48" s="233">
        <f>VLOOKUP($B48,Invulblad!$A$11:$S$103,13,0)</f>
        <v>2</v>
      </c>
      <c r="M48" s="234">
        <f>IF(L48&lt;&gt;"",VLOOKUP($B48,Invulblad!$A$11:$S$103,7,0),"")</f>
        <v>1</v>
      </c>
      <c r="N48" s="229" t="s">
        <v>29</v>
      </c>
      <c r="O48" s="234">
        <f>IF(L48&lt;&gt;"",VLOOKUP($B48,Invulblad!$A$11:$S$103,9,0),"")</f>
        <v>2</v>
      </c>
      <c r="P48" s="235">
        <f>IF(L48&lt;&gt;"",IF(AND(M48=ROUND(H48,0),O48=ROUND(J48,0)),10,IF(K48=L48,5,0)),"")</f>
        <v>10</v>
      </c>
    </row>
    <row r="49" spans="1:16">
      <c r="A49" s="205">
        <v>39</v>
      </c>
      <c r="B49" s="218" t="s">
        <v>35</v>
      </c>
      <c r="C49" s="218"/>
      <c r="D49" s="218"/>
      <c r="E49" s="218"/>
      <c r="F49" s="218"/>
      <c r="G49" s="218"/>
      <c r="H49" s="218"/>
      <c r="I49" s="218"/>
      <c r="J49" s="218"/>
      <c r="K49" s="236"/>
      <c r="L49" s="233"/>
      <c r="M49" s="234" t="str">
        <f>IF(L49&lt;&gt;"",VLOOKUP($B49,Invulblad!$A$11:$S$103,7,0),"")</f>
        <v/>
      </c>
      <c r="N49" s="229"/>
      <c r="O49" s="234" t="str">
        <f>IF(L49&lt;&gt;"",VLOOKUP($B49,Invulblad!$A$11:$S$103,9,0),"")</f>
        <v/>
      </c>
    </row>
    <row r="50" spans="1:16">
      <c r="A50" s="205">
        <v>41</v>
      </c>
      <c r="B50" s="212">
        <v>11</v>
      </c>
      <c r="C50" s="226">
        <v>40343</v>
      </c>
      <c r="D50" s="227">
        <v>0.85416666666666663</v>
      </c>
      <c r="E50" s="228" t="s">
        <v>147</v>
      </c>
      <c r="F50" s="229" t="s">
        <v>29</v>
      </c>
      <c r="G50" s="212" t="s">
        <v>148</v>
      </c>
      <c r="H50" s="231">
        <f>AVERAGE(Harro:Frank!H49:H49)</f>
        <v>1.2727272727272727</v>
      </c>
      <c r="I50" s="229" t="s">
        <v>29</v>
      </c>
      <c r="J50" s="231">
        <f>AVERAGE(Harro:Frank!J49:J49)</f>
        <v>0.45454545454545453</v>
      </c>
      <c r="K50" s="235">
        <v>3</v>
      </c>
      <c r="L50" s="233">
        <f>VLOOKUP($B50,Invulblad!$A$11:$S$103,13,0)</f>
        <v>3</v>
      </c>
      <c r="M50" s="234">
        <f>IF(L50&lt;&gt;"",VLOOKUP($B50,Invulblad!$A$11:$S$103,7,0),"")</f>
        <v>1</v>
      </c>
      <c r="N50" s="229" t="s">
        <v>29</v>
      </c>
      <c r="O50" s="234">
        <f>IF(L50&lt;&gt;"",VLOOKUP($B50,Invulblad!$A$11:$S$103,9,0),"")</f>
        <v>1</v>
      </c>
      <c r="P50" s="235">
        <f t="shared" ref="P50:P55" si="4">IF(L50&lt;&gt;"",IF(AND(M50=ROUND(H50,0),O50=ROUND(J50,0)),10,IF(K50=L50,5,0)),"")</f>
        <v>5</v>
      </c>
    </row>
    <row r="51" spans="1:16">
      <c r="A51" s="205">
        <v>42</v>
      </c>
      <c r="B51" s="212">
        <v>12</v>
      </c>
      <c r="C51" s="226">
        <v>40344</v>
      </c>
      <c r="D51" s="227">
        <v>0.5625</v>
      </c>
      <c r="E51" s="228" t="s">
        <v>149</v>
      </c>
      <c r="F51" s="229" t="s">
        <v>29</v>
      </c>
      <c r="G51" s="212" t="s">
        <v>150</v>
      </c>
      <c r="H51" s="231">
        <f>AVERAGE(Harro:Frank!H50:H50)</f>
        <v>0.40909090909090912</v>
      </c>
      <c r="I51" s="229" t="s">
        <v>29</v>
      </c>
      <c r="J51" s="231">
        <f>AVERAGE(Harro:Frank!J50:J50)</f>
        <v>1.6818181818181819</v>
      </c>
      <c r="K51" s="235">
        <v>2</v>
      </c>
      <c r="L51" s="233">
        <f>VLOOKUP($B51,Invulblad!$A$11:$S$103,13,0)</f>
        <v>3</v>
      </c>
      <c r="M51" s="234">
        <f>IF(L51&lt;&gt;"",VLOOKUP($B51,Invulblad!$A$11:$S$103,7,0),"")</f>
        <v>1</v>
      </c>
      <c r="N51" s="229" t="s">
        <v>29</v>
      </c>
      <c r="O51" s="234">
        <f>IF(L51&lt;&gt;"",VLOOKUP($B51,Invulblad!$A$11:$S$103,9,0),"")</f>
        <v>1</v>
      </c>
      <c r="P51" s="235">
        <f t="shared" si="4"/>
        <v>0</v>
      </c>
    </row>
    <row r="52" spans="1:16">
      <c r="A52" s="205">
        <v>43</v>
      </c>
      <c r="B52" s="212">
        <v>27</v>
      </c>
      <c r="C52" s="226">
        <v>40349</v>
      </c>
      <c r="D52" s="227">
        <v>0.5625</v>
      </c>
      <c r="E52" s="228" t="s">
        <v>151</v>
      </c>
      <c r="F52" s="229" t="s">
        <v>29</v>
      </c>
      <c r="G52" s="212" t="s">
        <v>148</v>
      </c>
      <c r="H52" s="231">
        <f>AVERAGE(Harro:Frank!H51:H51)</f>
        <v>0.86363636363636365</v>
      </c>
      <c r="I52" s="229" t="s">
        <v>29</v>
      </c>
      <c r="J52" s="231">
        <f>AVERAGE(Harro:Frank!J51:J51)</f>
        <v>1.4545454545454546</v>
      </c>
      <c r="K52" s="235">
        <v>2</v>
      </c>
      <c r="L52" s="233">
        <f>VLOOKUP($B52,Invulblad!$A$11:$S$103,13,0)</f>
        <v>2</v>
      </c>
      <c r="M52" s="234">
        <f>IF(L52&lt;&gt;"",VLOOKUP($B52,Invulblad!$A$11:$S$103,7,0),"")</f>
        <v>0</v>
      </c>
      <c r="N52" s="229" t="s">
        <v>29</v>
      </c>
      <c r="O52" s="234">
        <f>IF(L52&lt;&gt;"",VLOOKUP($B52,Invulblad!$A$11:$S$103,9,0),"")</f>
        <v>2</v>
      </c>
      <c r="P52" s="235">
        <f t="shared" si="4"/>
        <v>5</v>
      </c>
    </row>
    <row r="53" spans="1:16">
      <c r="A53" s="205">
        <v>44</v>
      </c>
      <c r="B53" s="212">
        <v>28</v>
      </c>
      <c r="C53" s="226">
        <v>40349</v>
      </c>
      <c r="D53" s="227">
        <v>0.66666666666666663</v>
      </c>
      <c r="E53" s="228" t="s">
        <v>147</v>
      </c>
      <c r="F53" s="229" t="s">
        <v>29</v>
      </c>
      <c r="G53" s="212" t="s">
        <v>152</v>
      </c>
      <c r="H53" s="231">
        <f>AVERAGE(Harro:Frank!H52:H52)</f>
        <v>2.0454545454545454</v>
      </c>
      <c r="I53" s="229" t="s">
        <v>29</v>
      </c>
      <c r="J53" s="231">
        <f>AVERAGE(Harro:Frank!J52:J52)</f>
        <v>0.18181818181818182</v>
      </c>
      <c r="K53" s="235">
        <v>1</v>
      </c>
      <c r="L53" s="233">
        <f>VLOOKUP($B53,Invulblad!$A$11:$S$103,13,0)</f>
        <v>3</v>
      </c>
      <c r="M53" s="234">
        <f>IF(L53&lt;&gt;"",VLOOKUP($B53,Invulblad!$A$11:$S$103,7,0),"")</f>
        <v>1</v>
      </c>
      <c r="N53" s="229" t="s">
        <v>29</v>
      </c>
      <c r="O53" s="234">
        <f>IF(L53&lt;&gt;"",VLOOKUP($B53,Invulblad!$A$11:$S$103,9,0),"")</f>
        <v>1</v>
      </c>
      <c r="P53" s="235">
        <f t="shared" si="4"/>
        <v>0</v>
      </c>
    </row>
    <row r="54" spans="1:16">
      <c r="A54" s="205">
        <v>45</v>
      </c>
      <c r="B54" s="212">
        <v>41</v>
      </c>
      <c r="C54" s="226">
        <v>40353</v>
      </c>
      <c r="D54" s="227">
        <v>0.66666666666666663</v>
      </c>
      <c r="E54" s="228" t="s">
        <v>151</v>
      </c>
      <c r="F54" s="229" t="s">
        <v>29</v>
      </c>
      <c r="G54" s="212" t="s">
        <v>153</v>
      </c>
      <c r="H54" s="231">
        <f>AVERAGE(Harro:Frank!H53:H53)</f>
        <v>0.72727272727272729</v>
      </c>
      <c r="I54" s="229" t="s">
        <v>29</v>
      </c>
      <c r="J54" s="231">
        <f>AVERAGE(Harro:Frank!J53:J53)</f>
        <v>1.3181818181818181</v>
      </c>
      <c r="K54" s="235">
        <v>3</v>
      </c>
      <c r="L54" s="233" t="str">
        <f>VLOOKUP($B54,Invulblad!$A$11:$S$103,13,0)</f>
        <v>1</v>
      </c>
      <c r="M54" s="234">
        <f>IF(L54&lt;&gt;"",VLOOKUP($B54,Invulblad!$A$11:$S$103,7,0),"")</f>
        <v>3</v>
      </c>
      <c r="N54" s="229" t="s">
        <v>29</v>
      </c>
      <c r="O54" s="234">
        <f>IF(L54&lt;&gt;"",VLOOKUP($B54,Invulblad!$A$11:$S$103,9,0),"")</f>
        <v>2</v>
      </c>
      <c r="P54" s="235">
        <f t="shared" si="4"/>
        <v>0</v>
      </c>
    </row>
    <row r="55" spans="1:16">
      <c r="A55" s="205">
        <v>46</v>
      </c>
      <c r="B55" s="212">
        <v>42</v>
      </c>
      <c r="C55" s="226">
        <v>40353</v>
      </c>
      <c r="D55" s="227">
        <v>0.66666666666666663</v>
      </c>
      <c r="E55" s="228" t="s">
        <v>154</v>
      </c>
      <c r="F55" s="229" t="s">
        <v>29</v>
      </c>
      <c r="G55" s="212" t="s">
        <v>152</v>
      </c>
      <c r="H55" s="231">
        <f>AVERAGE(Harro:Frank!H54:H54)</f>
        <v>1.7727272727272727</v>
      </c>
      <c r="I55" s="229" t="s">
        <v>29</v>
      </c>
      <c r="J55" s="231">
        <f>AVERAGE(Harro:Frank!J54:J54)</f>
        <v>0.59090909090909094</v>
      </c>
      <c r="K55" s="235">
        <v>1</v>
      </c>
      <c r="L55" s="233">
        <f>VLOOKUP($B55,Invulblad!$A$11:$S$103,13,0)</f>
        <v>3</v>
      </c>
      <c r="M55" s="234">
        <f>IF(L55&lt;&gt;"",VLOOKUP($B55,Invulblad!$A$11:$S$103,7,0),"")</f>
        <v>0</v>
      </c>
      <c r="N55" s="229" t="s">
        <v>29</v>
      </c>
      <c r="O55" s="234">
        <f>IF(L55&lt;&gt;"",VLOOKUP($B55,Invulblad!$A$11:$S$103,9,0),"")</f>
        <v>0</v>
      </c>
      <c r="P55" s="235">
        <f t="shared" si="4"/>
        <v>0</v>
      </c>
    </row>
    <row r="56" spans="1:16">
      <c r="A56" s="205">
        <v>47</v>
      </c>
      <c r="B56" s="218" t="s">
        <v>36</v>
      </c>
      <c r="C56" s="218"/>
      <c r="D56" s="218"/>
      <c r="E56" s="218"/>
      <c r="F56" s="218"/>
      <c r="G56" s="218"/>
      <c r="H56" s="218"/>
      <c r="I56" s="218"/>
      <c r="J56" s="218"/>
      <c r="K56" s="236"/>
      <c r="L56" s="233"/>
      <c r="M56" s="234" t="str">
        <f>IF(L56&lt;&gt;"",VLOOKUP($B56,Invulblad!$A$11:$S$103,7,0),"")</f>
        <v/>
      </c>
      <c r="N56" s="229"/>
      <c r="O56" s="234" t="str">
        <f>IF(L56&lt;&gt;"",VLOOKUP($B56,Invulblad!$A$11:$S$103,9,0),"")</f>
        <v/>
      </c>
    </row>
    <row r="57" spans="1:16">
      <c r="A57" s="205">
        <v>49</v>
      </c>
      <c r="B57" s="212">
        <v>13</v>
      </c>
      <c r="C57" s="226">
        <v>40344</v>
      </c>
      <c r="D57" s="227">
        <v>0.66666666666666663</v>
      </c>
      <c r="E57" s="228" t="s">
        <v>155</v>
      </c>
      <c r="F57" s="229" t="s">
        <v>29</v>
      </c>
      <c r="G57" s="212" t="s">
        <v>156</v>
      </c>
      <c r="H57" s="231">
        <f>AVERAGE(Harro:Frank!H56:H56)</f>
        <v>1.1363636363636365</v>
      </c>
      <c r="I57" s="229" t="s">
        <v>29</v>
      </c>
      <c r="J57" s="231">
        <f>AVERAGE(Harro:Frank!J56:J56)</f>
        <v>1.5454545454545454</v>
      </c>
      <c r="K57" s="235">
        <v>3</v>
      </c>
      <c r="L57" s="233">
        <f>VLOOKUP($B57,Invulblad!$A$11:$S$103,13,0)</f>
        <v>3</v>
      </c>
      <c r="M57" s="234">
        <f>IF(L57&lt;&gt;"",VLOOKUP($B57,Invulblad!$A$11:$S$103,7,0),"")</f>
        <v>0</v>
      </c>
      <c r="N57" s="229" t="s">
        <v>29</v>
      </c>
      <c r="O57" s="234">
        <f>IF(L57&lt;&gt;"",VLOOKUP($B57,Invulblad!$A$11:$S$103,9,0),"")</f>
        <v>0</v>
      </c>
      <c r="P57" s="235">
        <f>IF(L57&lt;&gt;"",IF(AND(M57=ROUND(H57,0),O57=ROUND(J57,0)),10,IF(K57=L57,5,0)),"")</f>
        <v>5</v>
      </c>
    </row>
    <row r="58" spans="1:16">
      <c r="A58" s="205">
        <v>50</v>
      </c>
      <c r="B58" s="212">
        <v>14</v>
      </c>
      <c r="C58" s="226">
        <v>40344</v>
      </c>
      <c r="D58" s="227">
        <v>0.85416666666666663</v>
      </c>
      <c r="E58" s="228" t="s">
        <v>157</v>
      </c>
      <c r="F58" s="229" t="s">
        <v>29</v>
      </c>
      <c r="G58" s="212" t="s">
        <v>158</v>
      </c>
      <c r="H58" s="231">
        <f>AVERAGE(Harro:Frank!H57:H57)</f>
        <v>3.2272727272727271</v>
      </c>
      <c r="I58" s="229" t="s">
        <v>29</v>
      </c>
      <c r="J58" s="231">
        <f>AVERAGE(Harro:Frank!J57:J57)</f>
        <v>0.13636363636363635</v>
      </c>
      <c r="K58" s="235">
        <v>1</v>
      </c>
      <c r="L58" s="233" t="str">
        <f>VLOOKUP($B58,Invulblad!$A$11:$S$103,13,0)</f>
        <v>1</v>
      </c>
      <c r="M58" s="234">
        <f>IF(L58&lt;&gt;"",VLOOKUP($B58,Invulblad!$A$11:$S$103,7,0),"")</f>
        <v>2</v>
      </c>
      <c r="N58" s="229" t="s">
        <v>29</v>
      </c>
      <c r="O58" s="234">
        <f>IF(L58&lt;&gt;"",VLOOKUP($B58,Invulblad!$A$11:$S$103,9,0),"")</f>
        <v>1</v>
      </c>
      <c r="P58" s="235">
        <v>5</v>
      </c>
    </row>
    <row r="59" spans="1:16">
      <c r="A59" s="205">
        <v>51</v>
      </c>
      <c r="B59" s="212">
        <v>29</v>
      </c>
      <c r="C59" s="226">
        <v>40349</v>
      </c>
      <c r="D59" s="227">
        <v>0.85416666666666663</v>
      </c>
      <c r="E59" s="228" t="s">
        <v>157</v>
      </c>
      <c r="F59" s="229" t="s">
        <v>29</v>
      </c>
      <c r="G59" s="212" t="s">
        <v>159</v>
      </c>
      <c r="H59" s="231">
        <f>AVERAGE(Harro:Frank!H58:H58)</f>
        <v>2.1818181818181817</v>
      </c>
      <c r="I59" s="229" t="s">
        <v>29</v>
      </c>
      <c r="J59" s="231">
        <f>AVERAGE(Harro:Frank!J58:J58)</f>
        <v>0.81818181818181823</v>
      </c>
      <c r="K59" s="235">
        <v>1</v>
      </c>
      <c r="L59" s="233" t="str">
        <f>VLOOKUP($B59,Invulblad!$A$11:$S$103,13,0)</f>
        <v>1</v>
      </c>
      <c r="M59" s="234">
        <f>IF(L59&lt;&gt;"",VLOOKUP($B59,Invulblad!$A$11:$S$103,7,0),"")</f>
        <v>3</v>
      </c>
      <c r="N59" s="229" t="s">
        <v>29</v>
      </c>
      <c r="O59" s="234">
        <f>IF(L59&lt;&gt;"",VLOOKUP($B59,Invulblad!$A$11:$S$103,9,0),"")</f>
        <v>1</v>
      </c>
      <c r="P59" s="235">
        <f>IF(L59&lt;&gt;"",IF(AND(M59=ROUND(H59,0),O59=ROUND(J59,0)),10,IF(K59=L59,5,0)),"")</f>
        <v>0</v>
      </c>
    </row>
    <row r="60" spans="1:16">
      <c r="A60" s="205">
        <v>52</v>
      </c>
      <c r="B60" s="212">
        <v>30</v>
      </c>
      <c r="C60" s="226">
        <v>40350</v>
      </c>
      <c r="D60" s="227">
        <v>0.5625</v>
      </c>
      <c r="E60" s="228" t="s">
        <v>160</v>
      </c>
      <c r="F60" s="229" t="s">
        <v>29</v>
      </c>
      <c r="G60" s="212" t="s">
        <v>158</v>
      </c>
      <c r="H60" s="231">
        <f>AVERAGE(Harro:Frank!H59:H59)</f>
        <v>1.9545454545454546</v>
      </c>
      <c r="I60" s="229" t="s">
        <v>29</v>
      </c>
      <c r="J60" s="231">
        <f>AVERAGE(Harro:Frank!J59:J59)</f>
        <v>0.18181818181818182</v>
      </c>
      <c r="K60" s="235">
        <v>1</v>
      </c>
      <c r="L60" s="233" t="str">
        <f>VLOOKUP($B60,Invulblad!$A$11:$S$103,13,0)</f>
        <v>1</v>
      </c>
      <c r="M60" s="234">
        <f>IF(L60&lt;&gt;"",VLOOKUP($B60,Invulblad!$A$11:$S$103,7,0),"")</f>
        <v>7</v>
      </c>
      <c r="N60" s="229" t="s">
        <v>29</v>
      </c>
      <c r="O60" s="234">
        <f>IF(L60&lt;&gt;"",VLOOKUP($B60,Invulblad!$A$11:$S$103,9,0),"")</f>
        <v>0</v>
      </c>
      <c r="P60" s="235">
        <f>IF(L60&lt;&gt;"",IF(AND(M60=ROUND(H60,0),O60=ROUND(J60,0)),10,IF(K60=L60,5,0)),"")</f>
        <v>0</v>
      </c>
    </row>
    <row r="61" spans="1:16">
      <c r="A61" s="205">
        <v>53</v>
      </c>
      <c r="B61" s="212">
        <v>45</v>
      </c>
      <c r="C61" s="226">
        <v>40354</v>
      </c>
      <c r="D61" s="227">
        <v>0.66666666666666663</v>
      </c>
      <c r="E61" s="228" t="s">
        <v>160</v>
      </c>
      <c r="F61" s="229" t="s">
        <v>29</v>
      </c>
      <c r="G61" s="212" t="s">
        <v>161</v>
      </c>
      <c r="H61" s="231">
        <f>AVERAGE(Harro:Frank!H60:H60)</f>
        <v>1.0454545454545454</v>
      </c>
      <c r="I61" s="229" t="s">
        <v>29</v>
      </c>
      <c r="J61" s="231">
        <f>AVERAGE(Harro:Frank!J60:J60)</f>
        <v>1.7727272727272727</v>
      </c>
      <c r="K61" s="235">
        <v>2</v>
      </c>
      <c r="L61" s="233">
        <f>VLOOKUP($B61,Invulblad!$A$11:$S$103,13,0)</f>
        <v>3</v>
      </c>
      <c r="M61" s="234">
        <f>IF(L61&lt;&gt;"",VLOOKUP($B61,Invulblad!$A$11:$S$103,7,0),"")</f>
        <v>0</v>
      </c>
      <c r="N61" s="229" t="s">
        <v>29</v>
      </c>
      <c r="O61" s="234">
        <f>IF(L61&lt;&gt;"",VLOOKUP($B61,Invulblad!$A$11:$S$103,9,0),"")</f>
        <v>0</v>
      </c>
      <c r="P61" s="235">
        <f>IF(L61&lt;&gt;"",IF(AND(M61=ROUND(H61,0),O61=ROUND(J61,0)),10,IF(K61=L61,5,0)),"")</f>
        <v>0</v>
      </c>
    </row>
    <row r="62" spans="1:16">
      <c r="A62" s="205">
        <v>54</v>
      </c>
      <c r="B62" s="212">
        <v>46</v>
      </c>
      <c r="C62" s="226">
        <v>40354</v>
      </c>
      <c r="D62" s="227">
        <v>0.66666666666666663</v>
      </c>
      <c r="E62" s="228" t="s">
        <v>162</v>
      </c>
      <c r="F62" s="229" t="s">
        <v>29</v>
      </c>
      <c r="G62" s="212" t="s">
        <v>159</v>
      </c>
      <c r="H62" s="231">
        <f>AVERAGE(Harro:Frank!H61:H61)</f>
        <v>0.40909090909090912</v>
      </c>
      <c r="I62" s="229" t="s">
        <v>29</v>
      </c>
      <c r="J62" s="231">
        <f>AVERAGE(Harro:Frank!J61:J61)</f>
        <v>1.7272727272727273</v>
      </c>
      <c r="K62" s="235">
        <v>2</v>
      </c>
      <c r="L62" s="233">
        <f>VLOOKUP($B62,Invulblad!$A$11:$S$103,13,0)</f>
        <v>2</v>
      </c>
      <c r="M62" s="234">
        <f>IF(L62&lt;&gt;"",VLOOKUP($B62,Invulblad!$A$11:$S$103,7,0),"")</f>
        <v>0</v>
      </c>
      <c r="N62" s="229" t="s">
        <v>29</v>
      </c>
      <c r="O62" s="234">
        <f>IF(L62&lt;&gt;"",VLOOKUP($B62,Invulblad!$A$11:$S$103,9,0),"")</f>
        <v>3</v>
      </c>
      <c r="P62" s="235">
        <f>IF(L62&lt;&gt;"",IF(AND(M62=ROUND(H62,0),O62=ROUND(J62,0)),10,IF(K62=L62,5,0)),"")</f>
        <v>5</v>
      </c>
    </row>
    <row r="63" spans="1:16">
      <c r="A63" s="205">
        <v>55</v>
      </c>
      <c r="B63" s="218" t="s">
        <v>37</v>
      </c>
      <c r="C63" s="218"/>
      <c r="D63" s="218"/>
      <c r="E63" s="218"/>
      <c r="F63" s="218"/>
      <c r="G63" s="218"/>
      <c r="H63" s="218"/>
      <c r="I63" s="218"/>
      <c r="J63" s="218"/>
      <c r="K63" s="236"/>
      <c r="L63" s="233"/>
      <c r="M63" s="234" t="str">
        <f>IF(L63&lt;&gt;"",VLOOKUP($B63,Invulblad!$A$11:$S$103,7,0),"")</f>
        <v/>
      </c>
      <c r="N63" s="229"/>
      <c r="O63" s="234" t="str">
        <f>IF(L63&lt;&gt;"",VLOOKUP($B63,Invulblad!$A$11:$S$103,9,0),"")</f>
        <v/>
      </c>
    </row>
    <row r="64" spans="1:16">
      <c r="A64" s="205">
        <v>57</v>
      </c>
      <c r="B64" s="212">
        <v>15</v>
      </c>
      <c r="C64" s="226">
        <v>40345</v>
      </c>
      <c r="D64" s="227">
        <v>0.5625</v>
      </c>
      <c r="E64" s="228" t="s">
        <v>163</v>
      </c>
      <c r="F64" s="229" t="s">
        <v>29</v>
      </c>
      <c r="G64" s="212" t="s">
        <v>164</v>
      </c>
      <c r="H64" s="231">
        <f>AVERAGE(Harro:Frank!H63:H63)</f>
        <v>0.45454545454545453</v>
      </c>
      <c r="I64" s="229" t="s">
        <v>29</v>
      </c>
      <c r="J64" s="231">
        <f>AVERAGE(Harro:Frank!J63:J63)</f>
        <v>1.3181818181818181</v>
      </c>
      <c r="K64" s="235">
        <v>3</v>
      </c>
      <c r="L64" s="233">
        <f>VLOOKUP($B64,Invulblad!$A$11:$S$103,13,0)</f>
        <v>2</v>
      </c>
      <c r="M64" s="234">
        <f>IF(L64&lt;&gt;"",VLOOKUP($B64,Invulblad!$A$11:$S$103,7,0),"")</f>
        <v>0</v>
      </c>
      <c r="N64" s="229" t="s">
        <v>29</v>
      </c>
      <c r="O64" s="234">
        <f>IF(L64&lt;&gt;"",VLOOKUP($B64,Invulblad!$A$11:$S$103,9,0),"")</f>
        <v>1</v>
      </c>
      <c r="P64" s="235">
        <f t="shared" ref="P64:P69" si="5">IF(L64&lt;&gt;"",IF(AND(M64=ROUND(H64,0),O64=ROUND(J64,0)),10,IF(K64=L64,5,0)),"")</f>
        <v>10</v>
      </c>
    </row>
    <row r="65" spans="1:16">
      <c r="A65" s="205">
        <v>58</v>
      </c>
      <c r="B65" s="212">
        <v>16</v>
      </c>
      <c r="C65" s="226">
        <v>40345</v>
      </c>
      <c r="D65" s="227">
        <v>0.66666666666666663</v>
      </c>
      <c r="E65" s="228" t="s">
        <v>165</v>
      </c>
      <c r="F65" s="229" t="s">
        <v>29</v>
      </c>
      <c r="G65" s="212" t="s">
        <v>166</v>
      </c>
      <c r="H65" s="231">
        <f>AVERAGE(Harro:Frank!H64:H64)</f>
        <v>2.2272727272727271</v>
      </c>
      <c r="I65" s="229" t="s">
        <v>29</v>
      </c>
      <c r="J65" s="231">
        <f>AVERAGE(Harro:Frank!J64:J64)</f>
        <v>0.5</v>
      </c>
      <c r="K65" s="235">
        <v>1</v>
      </c>
      <c r="L65" s="233">
        <f>VLOOKUP($B65,Invulblad!$A$11:$S$103,13,0)</f>
        <v>2</v>
      </c>
      <c r="M65" s="234">
        <f>IF(L65&lt;&gt;"",VLOOKUP($B65,Invulblad!$A$11:$S$103,7,0),"")</f>
        <v>0</v>
      </c>
      <c r="N65" s="229" t="s">
        <v>29</v>
      </c>
      <c r="O65" s="234">
        <f>IF(L65&lt;&gt;"",VLOOKUP($B65,Invulblad!$A$11:$S$103,9,0),"")</f>
        <v>1</v>
      </c>
      <c r="P65" s="235">
        <f t="shared" si="5"/>
        <v>0</v>
      </c>
    </row>
    <row r="66" spans="1:16">
      <c r="A66" s="205">
        <v>59</v>
      </c>
      <c r="B66" s="212">
        <v>31</v>
      </c>
      <c r="C66" s="226">
        <v>40350</v>
      </c>
      <c r="D66" s="227">
        <v>0.66666666666666663</v>
      </c>
      <c r="E66" s="228" t="s">
        <v>167</v>
      </c>
      <c r="F66" s="229" t="s">
        <v>29</v>
      </c>
      <c r="G66" s="212" t="s">
        <v>166</v>
      </c>
      <c r="H66" s="231">
        <f>AVERAGE(Harro:Frank!H65:H65)</f>
        <v>1.2272727272727273</v>
      </c>
      <c r="I66" s="229" t="s">
        <v>29</v>
      </c>
      <c r="J66" s="231">
        <f>AVERAGE(Harro:Frank!J65:J65)</f>
        <v>0.86363636363636365</v>
      </c>
      <c r="K66" s="235">
        <v>3</v>
      </c>
      <c r="L66" s="233" t="str">
        <f>VLOOKUP($B66,Invulblad!$A$11:$S$103,13,0)</f>
        <v>1</v>
      </c>
      <c r="M66" s="234">
        <f>IF(L66&lt;&gt;"",VLOOKUP($B66,Invulblad!$A$11:$S$103,7,0),"")</f>
        <v>1</v>
      </c>
      <c r="N66" s="229" t="s">
        <v>29</v>
      </c>
      <c r="O66" s="234">
        <f>IF(L66&lt;&gt;"",VLOOKUP($B66,Invulblad!$A$11:$S$103,9,0),"")</f>
        <v>0</v>
      </c>
      <c r="P66" s="235">
        <f t="shared" si="5"/>
        <v>0</v>
      </c>
    </row>
    <row r="67" spans="1:16">
      <c r="A67" s="205">
        <v>60</v>
      </c>
      <c r="B67" s="212">
        <v>32</v>
      </c>
      <c r="C67" s="226">
        <v>40350</v>
      </c>
      <c r="D67" s="227">
        <v>0.85416666666666663</v>
      </c>
      <c r="E67" s="228" t="s">
        <v>165</v>
      </c>
      <c r="F67" s="229" t="s">
        <v>29</v>
      </c>
      <c r="G67" s="212" t="s">
        <v>168</v>
      </c>
      <c r="H67" s="231">
        <f>AVERAGE(Harro:Frank!H66:H66)</f>
        <v>2.7272727272727271</v>
      </c>
      <c r="I67" s="229" t="s">
        <v>29</v>
      </c>
      <c r="J67" s="231">
        <f>AVERAGE(Harro:Frank!J66:J66)</f>
        <v>0.31818181818181818</v>
      </c>
      <c r="K67" s="235">
        <v>1</v>
      </c>
      <c r="L67" s="233" t="str">
        <f>VLOOKUP($B67,Invulblad!$A$11:$S$103,13,0)</f>
        <v>1</v>
      </c>
      <c r="M67" s="234">
        <f>IF(L67&lt;&gt;"",VLOOKUP($B67,Invulblad!$A$11:$S$103,7,0),"")</f>
        <v>2</v>
      </c>
      <c r="N67" s="229" t="s">
        <v>29</v>
      </c>
      <c r="O67" s="234">
        <f>IF(L67&lt;&gt;"",VLOOKUP($B67,Invulblad!$A$11:$S$103,9,0),"")</f>
        <v>0</v>
      </c>
      <c r="P67" s="235">
        <f t="shared" si="5"/>
        <v>0</v>
      </c>
    </row>
    <row r="68" spans="1:16">
      <c r="A68" s="205">
        <v>61</v>
      </c>
      <c r="B68" s="212">
        <v>47</v>
      </c>
      <c r="C68" s="226">
        <v>40354</v>
      </c>
      <c r="D68" s="227">
        <v>0.85416666666666663</v>
      </c>
      <c r="E68" s="228" t="s">
        <v>167</v>
      </c>
      <c r="F68" s="229" t="s">
        <v>29</v>
      </c>
      <c r="G68" s="212" t="s">
        <v>169</v>
      </c>
      <c r="H68" s="231">
        <f>AVERAGE(Harro:Frank!H67:H67)</f>
        <v>0.54545454545454541</v>
      </c>
      <c r="I68" s="229" t="s">
        <v>29</v>
      </c>
      <c r="J68" s="231">
        <f>AVERAGE(Harro:Frank!J67:J67)</f>
        <v>1.5909090909090908</v>
      </c>
      <c r="K68" s="235">
        <v>2</v>
      </c>
      <c r="L68" s="233">
        <f>VLOOKUP($B68,Invulblad!$A$11:$S$103,13,0)</f>
        <v>2</v>
      </c>
      <c r="M68" s="234">
        <f>IF(L68&lt;&gt;"",VLOOKUP($B68,Invulblad!$A$11:$S$103,7,0),"")</f>
        <v>1</v>
      </c>
      <c r="N68" s="229" t="s">
        <v>29</v>
      </c>
      <c r="O68" s="234">
        <f>IF(L68&lt;&gt;"",VLOOKUP($B68,Invulblad!$A$11:$S$103,9,0),"")</f>
        <v>2</v>
      </c>
      <c r="P68" s="235">
        <f t="shared" si="5"/>
        <v>10</v>
      </c>
    </row>
    <row r="69" spans="1:16">
      <c r="A69" s="205">
        <v>62</v>
      </c>
      <c r="B69" s="212">
        <v>48</v>
      </c>
      <c r="C69" s="226">
        <v>40354</v>
      </c>
      <c r="D69" s="227">
        <v>0.85416666666666663</v>
      </c>
      <c r="E69" s="228" t="s">
        <v>170</v>
      </c>
      <c r="F69" s="229" t="s">
        <v>29</v>
      </c>
      <c r="G69" s="212" t="s">
        <v>168</v>
      </c>
      <c r="H69" s="231">
        <f>AVERAGE(Harro:Frank!H68:H68)</f>
        <v>1.0909090909090908</v>
      </c>
      <c r="I69" s="229" t="s">
        <v>29</v>
      </c>
      <c r="J69" s="231">
        <f>AVERAGE(Harro:Frank!J68:J68)</f>
        <v>0.54545454545454541</v>
      </c>
      <c r="K69" s="235">
        <v>3</v>
      </c>
      <c r="L69" s="233">
        <f>VLOOKUP($B69,Invulblad!$A$11:$S$103,13,0)</f>
        <v>3</v>
      </c>
      <c r="M69" s="234">
        <f>IF(L69&lt;&gt;"",VLOOKUP($B69,Invulblad!$A$11:$S$103,7,0),"")</f>
        <v>0</v>
      </c>
      <c r="N69" s="229" t="s">
        <v>29</v>
      </c>
      <c r="O69" s="234">
        <f>IF(L69&lt;&gt;"",VLOOKUP($B69,Invulblad!$A$11:$S$103,9,0),"")</f>
        <v>0</v>
      </c>
      <c r="P69" s="235">
        <f t="shared" si="5"/>
        <v>5</v>
      </c>
    </row>
    <row r="70" spans="1:16">
      <c r="A70" s="205">
        <v>63</v>
      </c>
      <c r="B70" s="218" t="s">
        <v>97</v>
      </c>
      <c r="C70" s="218"/>
      <c r="D70" s="218"/>
      <c r="E70" s="218"/>
      <c r="F70" s="218"/>
      <c r="G70" s="218"/>
      <c r="H70" s="218"/>
      <c r="I70" s="218"/>
      <c r="J70" s="218"/>
      <c r="K70" s="236"/>
      <c r="L70" s="233"/>
      <c r="M70" s="234" t="str">
        <f>IF(L70&lt;&gt;"",VLOOKUP($B70,Invulblad!$A$11:$S$103,7,0),"")</f>
        <v/>
      </c>
      <c r="N70" s="229"/>
      <c r="O70" s="234" t="str">
        <f>IF(L70&lt;&gt;"",VLOOKUP($B70,Invulblad!$A$11:$S$103,9,0),"")</f>
        <v/>
      </c>
    </row>
    <row r="71" spans="1:16">
      <c r="A71" s="205">
        <v>65</v>
      </c>
      <c r="B71" s="212">
        <v>49</v>
      </c>
      <c r="C71" s="226">
        <v>40355</v>
      </c>
      <c r="D71" s="227">
        <v>0.66666666666666663</v>
      </c>
      <c r="E71" s="237" t="s">
        <v>171</v>
      </c>
      <c r="F71" s="229" t="s">
        <v>29</v>
      </c>
      <c r="G71" s="238" t="s">
        <v>172</v>
      </c>
      <c r="H71" s="231">
        <f>AVERAGE(Harro:Frank!H70:H70)</f>
        <v>1.2272727272727273</v>
      </c>
      <c r="I71" s="229" t="s">
        <v>29</v>
      </c>
      <c r="J71" s="231">
        <f>AVERAGE(Harro:Frank!J70:J70)</f>
        <v>0.77272727272727271</v>
      </c>
      <c r="K71" s="235">
        <v>3</v>
      </c>
      <c r="L71" s="233" t="str">
        <f>VLOOKUP($B71,Invulblad!$A$11:$S$103,13,0)</f>
        <v>1</v>
      </c>
      <c r="M71" s="234">
        <f>IF(L71&lt;&gt;"",VLOOKUP($B71,Invulblad!$A$11:$S$103,7,0),"")</f>
        <v>2</v>
      </c>
      <c r="N71" s="229" t="s">
        <v>29</v>
      </c>
      <c r="O71" s="234">
        <f>IF(L71&lt;&gt;"",VLOOKUP($B71,Invulblad!$A$11:$S$103,9,0),"")</f>
        <v>1</v>
      </c>
      <c r="P71" s="235">
        <f t="shared" ref="P71:P78" si="6">IF(L71&lt;&gt;"",IF(AND(M71=ROUND(H71,0),O71=ROUND(J71,0)),10,IF(K71=L71,5,0)),"")</f>
        <v>0</v>
      </c>
    </row>
    <row r="72" spans="1:16">
      <c r="A72" s="205">
        <v>66</v>
      </c>
      <c r="B72" s="212">
        <v>50</v>
      </c>
      <c r="C72" s="226">
        <v>40355</v>
      </c>
      <c r="D72" s="227">
        <v>0.85416666666666663</v>
      </c>
      <c r="E72" s="237" t="s">
        <v>173</v>
      </c>
      <c r="F72" s="229" t="s">
        <v>29</v>
      </c>
      <c r="G72" s="238" t="s">
        <v>174</v>
      </c>
      <c r="H72" s="231">
        <f>AVERAGE(Harro:Frank!H71:H71)</f>
        <v>1.3636363636363635</v>
      </c>
      <c r="I72" s="229" t="s">
        <v>29</v>
      </c>
      <c r="J72" s="231">
        <f>AVERAGE(Harro:Frank!J71:J71)</f>
        <v>0.77272727272727271</v>
      </c>
      <c r="K72" s="235">
        <v>3</v>
      </c>
      <c r="L72" s="233">
        <f>VLOOKUP($B72,Invulblad!$A$11:$S$103,13,0)</f>
        <v>2</v>
      </c>
      <c r="M72" s="234">
        <f>IF(L72&lt;&gt;"",VLOOKUP($B72,Invulblad!$A$11:$S$103,7,0),"")</f>
        <v>1</v>
      </c>
      <c r="N72" s="229" t="s">
        <v>29</v>
      </c>
      <c r="O72" s="234">
        <f>IF(L72&lt;&gt;"",VLOOKUP($B72,Invulblad!$A$11:$S$103,9,0),"")</f>
        <v>2</v>
      </c>
      <c r="P72" s="235">
        <f t="shared" si="6"/>
        <v>0</v>
      </c>
    </row>
    <row r="73" spans="1:16">
      <c r="A73" s="205">
        <v>67</v>
      </c>
      <c r="B73" s="212">
        <v>51</v>
      </c>
      <c r="C73" s="226">
        <v>40356</v>
      </c>
      <c r="D73" s="227">
        <v>0.66666666666666663</v>
      </c>
      <c r="E73" s="237" t="s">
        <v>175</v>
      </c>
      <c r="F73" s="229" t="s">
        <v>29</v>
      </c>
      <c r="G73" s="238" t="s">
        <v>176</v>
      </c>
      <c r="H73" s="231">
        <f>AVERAGE(Harro:Frank!H72:H72)</f>
        <v>1.6818181818181819</v>
      </c>
      <c r="I73" s="229" t="s">
        <v>29</v>
      </c>
      <c r="J73" s="231">
        <f>AVERAGE(Harro:Frank!J72:J72)</f>
        <v>0.45454545454545453</v>
      </c>
      <c r="K73" s="235">
        <v>1</v>
      </c>
      <c r="L73" s="233" t="str">
        <f>VLOOKUP($B73,Invulblad!$A$11:$S$103,13,0)</f>
        <v>1</v>
      </c>
      <c r="M73" s="234">
        <f>IF(L73&lt;&gt;"",VLOOKUP($B73,Invulblad!$A$11:$S$103,7,0),"")</f>
        <v>4</v>
      </c>
      <c r="N73" s="229" t="s">
        <v>29</v>
      </c>
      <c r="O73" s="234">
        <f>IF(L73&lt;&gt;"",VLOOKUP($B73,Invulblad!$A$11:$S$103,9,0),"")</f>
        <v>1</v>
      </c>
      <c r="P73" s="235">
        <f t="shared" si="6"/>
        <v>0</v>
      </c>
    </row>
    <row r="74" spans="1:16">
      <c r="A74" s="205">
        <v>68</v>
      </c>
      <c r="B74" s="212">
        <v>52</v>
      </c>
      <c r="C74" s="226">
        <v>40356</v>
      </c>
      <c r="D74" s="227">
        <v>0.85416666666666663</v>
      </c>
      <c r="E74" s="237" t="s">
        <v>116</v>
      </c>
      <c r="F74" s="229" t="s">
        <v>29</v>
      </c>
      <c r="G74" s="238" t="s">
        <v>177</v>
      </c>
      <c r="H74" s="231">
        <f>AVERAGE(Harro:Frank!H73:H73)</f>
        <v>1.7727272727272727</v>
      </c>
      <c r="I74" s="229" t="s">
        <v>29</v>
      </c>
      <c r="J74" s="231">
        <f>AVERAGE(Harro:Frank!J73:J73)</f>
        <v>0.81818181818181823</v>
      </c>
      <c r="K74" s="235">
        <v>1</v>
      </c>
      <c r="L74" s="233" t="str">
        <f>VLOOKUP($B74,Invulblad!$A$11:$S$103,13,0)</f>
        <v>1</v>
      </c>
      <c r="M74" s="234">
        <f>IF(L74&lt;&gt;"",VLOOKUP($B74,Invulblad!$A$11:$S$103,7,0),"")</f>
        <v>3</v>
      </c>
      <c r="N74" s="229" t="s">
        <v>29</v>
      </c>
      <c r="O74" s="234">
        <f>IF(L74&lt;&gt;"",VLOOKUP($B74,Invulblad!$A$11:$S$103,9,0),"")</f>
        <v>1</v>
      </c>
      <c r="P74" s="235">
        <f t="shared" si="6"/>
        <v>0</v>
      </c>
    </row>
    <row r="75" spans="1:16">
      <c r="A75" s="205">
        <v>69</v>
      </c>
      <c r="B75" s="212">
        <v>53</v>
      </c>
      <c r="C75" s="226">
        <v>40357</v>
      </c>
      <c r="D75" s="227">
        <v>0.66666666666666663</v>
      </c>
      <c r="E75" s="237" t="s">
        <v>178</v>
      </c>
      <c r="F75" s="229" t="s">
        <v>29</v>
      </c>
      <c r="G75" s="238" t="s">
        <v>179</v>
      </c>
      <c r="H75" s="231">
        <f>AVERAGE(Harro:Frank!H74:H74)</f>
        <v>2.0454545454545454</v>
      </c>
      <c r="I75" s="229" t="s">
        <v>29</v>
      </c>
      <c r="J75" s="231">
        <f>AVERAGE(Harro:Frank!J74:J74)</f>
        <v>0.59090909090909094</v>
      </c>
      <c r="K75" s="235">
        <v>1</v>
      </c>
      <c r="L75" s="233" t="str">
        <f>VLOOKUP($B75,Invulblad!$A$11:$S$103,13,0)</f>
        <v>1</v>
      </c>
      <c r="M75" s="234">
        <f>IF(L75&lt;&gt;"",VLOOKUP($B75,Invulblad!$A$11:$S$103,7,0),"")</f>
        <v>2</v>
      </c>
      <c r="N75" s="229" t="s">
        <v>29</v>
      </c>
      <c r="O75" s="234">
        <f>IF(L75&lt;&gt;"",VLOOKUP($B75,Invulblad!$A$11:$S$103,9,0),"")</f>
        <v>1</v>
      </c>
      <c r="P75" s="235">
        <f t="shared" si="6"/>
        <v>10</v>
      </c>
    </row>
    <row r="76" spans="1:16">
      <c r="A76" s="205">
        <v>70</v>
      </c>
      <c r="B76" s="212">
        <v>54</v>
      </c>
      <c r="C76" s="226">
        <v>40357</v>
      </c>
      <c r="D76" s="227">
        <v>0.85416666666666663</v>
      </c>
      <c r="E76" s="237" t="s">
        <v>180</v>
      </c>
      <c r="F76" s="229" t="s">
        <v>29</v>
      </c>
      <c r="G76" s="238" t="s">
        <v>181</v>
      </c>
      <c r="H76" s="231">
        <f>AVERAGE(Harro:Frank!H75:H75)</f>
        <v>2.0909090909090908</v>
      </c>
      <c r="I76" s="229" t="s">
        <v>29</v>
      </c>
      <c r="J76" s="231">
        <f>AVERAGE(Harro:Frank!J75:J75)</f>
        <v>0.18181818181818182</v>
      </c>
      <c r="K76" s="235">
        <v>1</v>
      </c>
      <c r="L76" s="233" t="str">
        <f>VLOOKUP($B76,Invulblad!$A$11:$S$103,13,0)</f>
        <v>1</v>
      </c>
      <c r="M76" s="234">
        <f>IF(L76&lt;&gt;"",VLOOKUP($B76,Invulblad!$A$11:$S$103,7,0),"")</f>
        <v>3</v>
      </c>
      <c r="N76" s="229" t="s">
        <v>29</v>
      </c>
      <c r="O76" s="234">
        <f>IF(L76&lt;&gt;"",VLOOKUP($B76,Invulblad!$A$11:$S$103,9,0),"")</f>
        <v>0</v>
      </c>
      <c r="P76" s="235">
        <f t="shared" si="6"/>
        <v>0</v>
      </c>
    </row>
    <row r="77" spans="1:16">
      <c r="A77" s="205">
        <v>71</v>
      </c>
      <c r="B77" s="212">
        <v>55</v>
      </c>
      <c r="C77" s="226">
        <v>40358</v>
      </c>
      <c r="D77" s="227">
        <v>0.66666666666666663</v>
      </c>
      <c r="E77" s="237" t="s">
        <v>182</v>
      </c>
      <c r="F77" s="229" t="s">
        <v>29</v>
      </c>
      <c r="G77" s="238" t="s">
        <v>183</v>
      </c>
      <c r="H77" s="231">
        <f>AVERAGE(Harro:Frank!H76:H76)</f>
        <v>1.0909090909090908</v>
      </c>
      <c r="I77" s="229" t="s">
        <v>29</v>
      </c>
      <c r="J77" s="231">
        <f>AVERAGE(Harro:Frank!J76:J76)</f>
        <v>0.63636363636363635</v>
      </c>
      <c r="K77" s="235">
        <v>3</v>
      </c>
      <c r="L77" s="233">
        <f>VLOOKUP($B77,Invulblad!$A$11:$S$103,13,0)</f>
        <v>3</v>
      </c>
      <c r="M77" s="234">
        <f>IF(L77&lt;&gt;"",VLOOKUP($B77,Invulblad!$A$11:$S$103,7,0),"")</f>
        <v>0</v>
      </c>
      <c r="N77" s="229" t="s">
        <v>29</v>
      </c>
      <c r="O77" s="234">
        <f>IF(L77&lt;&gt;"",VLOOKUP($B77,Invulblad!$A$11:$S$103,9,0),"")</f>
        <v>0</v>
      </c>
      <c r="P77" s="235">
        <f t="shared" si="6"/>
        <v>5</v>
      </c>
    </row>
    <row r="78" spans="1:16">
      <c r="A78" s="205">
        <v>72</v>
      </c>
      <c r="B78" s="212">
        <v>56</v>
      </c>
      <c r="C78" s="226">
        <v>40358</v>
      </c>
      <c r="D78" s="227">
        <v>0.85416666666666663</v>
      </c>
      <c r="E78" s="237" t="s">
        <v>184</v>
      </c>
      <c r="F78" s="229" t="s">
        <v>29</v>
      </c>
      <c r="G78" s="238" t="s">
        <v>185</v>
      </c>
      <c r="H78" s="231">
        <f>AVERAGE(Harro:Frank!H77:H77)</f>
        <v>1.9545454545454546</v>
      </c>
      <c r="I78" s="229" t="s">
        <v>29</v>
      </c>
      <c r="J78" s="231">
        <f>AVERAGE(Harro:Frank!J77:J77)</f>
        <v>0.95454545454545459</v>
      </c>
      <c r="K78" s="235">
        <v>1</v>
      </c>
      <c r="L78" s="233" t="str">
        <f>VLOOKUP($B78,Invulblad!$A$11:$S$103,13,0)</f>
        <v>1</v>
      </c>
      <c r="M78" s="234">
        <f>IF(L78&lt;&gt;"",VLOOKUP($B78,Invulblad!$A$11:$S$103,7,0),"")</f>
        <v>1</v>
      </c>
      <c r="N78" s="229" t="s">
        <v>29</v>
      </c>
      <c r="O78" s="234">
        <f>IF(L78&lt;&gt;"",VLOOKUP($B78,Invulblad!$A$11:$S$103,9,0),"")</f>
        <v>0</v>
      </c>
      <c r="P78" s="235">
        <f t="shared" si="6"/>
        <v>0</v>
      </c>
    </row>
    <row r="79" spans="1:16">
      <c r="A79" s="205">
        <v>73</v>
      </c>
      <c r="B79" s="218" t="s">
        <v>186</v>
      </c>
      <c r="C79" s="218"/>
      <c r="D79" s="218"/>
      <c r="E79" s="218"/>
      <c r="F79" s="218"/>
      <c r="G79" s="218"/>
      <c r="H79" s="231"/>
      <c r="I79" s="229"/>
      <c r="J79" s="231"/>
      <c r="K79" s="236"/>
      <c r="L79" s="233"/>
      <c r="M79" s="234" t="str">
        <f>IF(L79&lt;&gt;"",VLOOKUP($B79,Invulblad!$A$11:$S$103,7,0),"")</f>
        <v/>
      </c>
      <c r="N79" s="229"/>
      <c r="O79" s="234" t="str">
        <f>IF(L79&lt;&gt;"",VLOOKUP($B79,Invulblad!$A$11:$S$103,9,0),"")</f>
        <v/>
      </c>
    </row>
    <row r="80" spans="1:16">
      <c r="A80" s="205">
        <v>75</v>
      </c>
      <c r="B80" s="212">
        <v>57</v>
      </c>
      <c r="C80" s="226">
        <v>40361</v>
      </c>
      <c r="D80" s="227">
        <v>0.66666666666666663</v>
      </c>
      <c r="E80" s="228" t="s">
        <v>187</v>
      </c>
      <c r="F80" s="229" t="s">
        <v>29</v>
      </c>
      <c r="G80" s="230" t="s">
        <v>188</v>
      </c>
      <c r="H80" s="231">
        <f>AVERAGE(Harro:Frank!H79:H79)</f>
        <v>1.2272727272727273</v>
      </c>
      <c r="I80" s="229" t="s">
        <v>29</v>
      </c>
      <c r="J80" s="231">
        <f>AVERAGE(Harro:Frank!J79:J79)</f>
        <v>1.7272727272727273</v>
      </c>
      <c r="K80" s="235">
        <v>2</v>
      </c>
      <c r="L80" s="233" t="str">
        <f>VLOOKUP($B80,Invulblad!$A$11:$S$103,13,0)</f>
        <v>1</v>
      </c>
      <c r="M80" s="234">
        <f>IF(L80&lt;&gt;"",VLOOKUP($B80,Invulblad!$A$11:$S$103,7,0),"")</f>
        <v>2</v>
      </c>
      <c r="N80" s="229" t="s">
        <v>29</v>
      </c>
      <c r="O80" s="234">
        <f>IF(L80&lt;&gt;"",VLOOKUP($B80,Invulblad!$A$11:$S$103,9,0),"")</f>
        <v>1</v>
      </c>
      <c r="P80" s="235">
        <f>IF(L80&lt;&gt;"",IF(AND(M80=ROUND(H80,0),O80=ROUND(J80,0)),10,IF(K80=L80,5,0)),"")</f>
        <v>0</v>
      </c>
    </row>
    <row r="81" spans="1:16">
      <c r="A81" s="205">
        <v>76</v>
      </c>
      <c r="B81" s="212">
        <v>58</v>
      </c>
      <c r="C81" s="226">
        <v>40361</v>
      </c>
      <c r="D81" s="227">
        <v>0.85416666666666663</v>
      </c>
      <c r="E81" s="228" t="s">
        <v>189</v>
      </c>
      <c r="F81" s="229" t="s">
        <v>29</v>
      </c>
      <c r="G81" s="230" t="s">
        <v>190</v>
      </c>
      <c r="H81" s="231">
        <f>AVERAGE(Harro:Frank!H80:H80)</f>
        <v>0.72727272727272729</v>
      </c>
      <c r="I81" s="229" t="s">
        <v>29</v>
      </c>
      <c r="J81" s="231">
        <f>AVERAGE(Harro:Frank!J80:J80)</f>
        <v>1.4545454545454546</v>
      </c>
      <c r="K81" s="235">
        <v>2</v>
      </c>
      <c r="L81" s="233">
        <f>VLOOKUP($B81,Invulblad!$A$11:$S$103,13,0)</f>
        <v>3</v>
      </c>
      <c r="M81" s="234">
        <f>IF(L81&lt;&gt;"",VLOOKUP($B81,Invulblad!$A$11:$S$103,7,0),"")</f>
        <v>1</v>
      </c>
      <c r="N81" s="229" t="s">
        <v>29</v>
      </c>
      <c r="O81" s="234">
        <f>IF(L81&lt;&gt;"",VLOOKUP($B81,Invulblad!$A$11:$S$103,9,0),"")</f>
        <v>1</v>
      </c>
      <c r="P81" s="235">
        <f>IF(L81&lt;&gt;"",IF(AND(M81=ROUND(H81,0),O81=ROUND(J81,0)),10,IF(K81=L81,5,0)),"")</f>
        <v>10</v>
      </c>
    </row>
    <row r="82" spans="1:16">
      <c r="A82" s="205">
        <v>77</v>
      </c>
      <c r="B82" s="212">
        <v>59</v>
      </c>
      <c r="C82" s="226">
        <v>40362</v>
      </c>
      <c r="D82" s="227">
        <v>0.66666666666666663</v>
      </c>
      <c r="E82" s="228" t="s">
        <v>191</v>
      </c>
      <c r="F82" s="229" t="s">
        <v>29</v>
      </c>
      <c r="G82" s="230" t="s">
        <v>192</v>
      </c>
      <c r="H82" s="231">
        <f>AVERAGE(Harro:Frank!H81:H81)</f>
        <v>1.1363636363636365</v>
      </c>
      <c r="I82" s="229" t="s">
        <v>29</v>
      </c>
      <c r="J82" s="231">
        <f>AVERAGE(Harro:Frank!J81:J81)</f>
        <v>1</v>
      </c>
      <c r="K82" s="235">
        <v>3</v>
      </c>
      <c r="L82" s="233">
        <f>VLOOKUP($B82,Invulblad!$A$11:$S$103,13,0)</f>
        <v>2</v>
      </c>
      <c r="M82" s="234">
        <f>IF(L82&lt;&gt;"",VLOOKUP($B82,Invulblad!$A$11:$S$103,7,0),"")</f>
        <v>0</v>
      </c>
      <c r="N82" s="229" t="s">
        <v>29</v>
      </c>
      <c r="O82" s="234">
        <f>IF(L82&lt;&gt;"",VLOOKUP($B82,Invulblad!$A$11:$S$103,9,0),"")</f>
        <v>4</v>
      </c>
      <c r="P82" s="235">
        <f>IF(L82&lt;&gt;"",IF(AND(M82=ROUND(H82,0),O82=ROUND(J82,0)),10,IF(K82=L82,5,0)),"")</f>
        <v>0</v>
      </c>
    </row>
    <row r="83" spans="1:16">
      <c r="A83" s="205">
        <v>78</v>
      </c>
      <c r="B83" s="212">
        <v>60</v>
      </c>
      <c r="C83" s="226">
        <v>40362</v>
      </c>
      <c r="D83" s="227">
        <v>0.85416666666666663</v>
      </c>
      <c r="E83" s="228" t="s">
        <v>193</v>
      </c>
      <c r="F83" s="229" t="s">
        <v>29</v>
      </c>
      <c r="G83" s="230" t="s">
        <v>194</v>
      </c>
      <c r="H83" s="231">
        <f>AVERAGE(Harro:Frank!H82:H82)</f>
        <v>0.68181818181818177</v>
      </c>
      <c r="I83" s="229" t="s">
        <v>29</v>
      </c>
      <c r="J83" s="231">
        <f>AVERAGE(Harro:Frank!J82:J82)</f>
        <v>1.3636363636363635</v>
      </c>
      <c r="K83" s="235">
        <v>3</v>
      </c>
      <c r="L83" s="233">
        <f>VLOOKUP($B83,Invulblad!$A$11:$S$103,13,0)</f>
        <v>2</v>
      </c>
      <c r="M83" s="234">
        <f>IF(L83&lt;&gt;"",VLOOKUP($B83,Invulblad!$A$11:$S$103,7,0),"")</f>
        <v>0</v>
      </c>
      <c r="N83" s="229" t="s">
        <v>29</v>
      </c>
      <c r="O83" s="234">
        <f>IF(L83&lt;&gt;"",VLOOKUP($B83,Invulblad!$A$11:$S$103,9,0),"")</f>
        <v>1</v>
      </c>
      <c r="P83" s="235">
        <f>IF(L83&lt;&gt;"",IF(AND(M83=ROUND(H83,0),O83=ROUND(J83,0)),10,IF(K83=L83,5,0)),"")</f>
        <v>0</v>
      </c>
    </row>
    <row r="84" spans="1:16">
      <c r="A84" s="205">
        <v>79</v>
      </c>
      <c r="B84" s="218" t="s">
        <v>99</v>
      </c>
      <c r="C84" s="218"/>
      <c r="D84" s="218"/>
      <c r="E84" s="218"/>
      <c r="F84" s="218"/>
      <c r="G84" s="218"/>
      <c r="H84" s="231"/>
      <c r="I84" s="229"/>
      <c r="J84" s="231"/>
      <c r="K84" s="236"/>
      <c r="L84" s="233"/>
      <c r="M84" s="234" t="str">
        <f>IF(L84&lt;&gt;"",VLOOKUP($B84,Invulblad!$A$11:$S$103,7,0),"")</f>
        <v/>
      </c>
      <c r="O84" s="234" t="str">
        <f>IF(L84&lt;&gt;"",VLOOKUP($B84,Invulblad!$A$11:$S$103,9,0),"")</f>
        <v/>
      </c>
    </row>
    <row r="85" spans="1:16">
      <c r="A85" s="205">
        <v>81</v>
      </c>
      <c r="B85" s="212">
        <v>61</v>
      </c>
      <c r="C85" s="226">
        <v>40365</v>
      </c>
      <c r="D85" s="227">
        <v>0.85416666666666663</v>
      </c>
      <c r="E85" s="228" t="s">
        <v>195</v>
      </c>
      <c r="F85" s="229" t="s">
        <v>29</v>
      </c>
      <c r="G85" s="222" t="s">
        <v>196</v>
      </c>
      <c r="H85" s="231">
        <f>AVERAGE(Harro:Frank!H84:H84)</f>
        <v>1</v>
      </c>
      <c r="I85" s="229" t="s">
        <v>29</v>
      </c>
      <c r="J85" s="231">
        <f>AVERAGE(Harro:Frank!J84:J84)</f>
        <v>1.8181818181818181</v>
      </c>
      <c r="K85" s="235">
        <v>2</v>
      </c>
      <c r="L85" s="233">
        <f>VLOOKUP($B85,Invulblad!$A$11:$S$103,13,0)</f>
        <v>2</v>
      </c>
      <c r="M85" s="234">
        <f>IF(L85&lt;&gt;"",VLOOKUP($B85,Invulblad!$A$11:$S$103,7,0),"")</f>
        <v>2</v>
      </c>
      <c r="N85" s="229" t="s">
        <v>29</v>
      </c>
      <c r="O85" s="234">
        <f>IF(L85&lt;&gt;"",VLOOKUP($B85,Invulblad!$A$11:$S$103,9,0),"")</f>
        <v>3</v>
      </c>
      <c r="P85" s="235">
        <f>IF(L85&lt;&gt;"",IF(AND(M85=ROUND(H85,0),O85=ROUND(J85,0)),10,IF(K85=L85,5,0)),"")</f>
        <v>5</v>
      </c>
    </row>
    <row r="86" spans="1:16">
      <c r="A86" s="205">
        <v>82</v>
      </c>
      <c r="B86" s="212">
        <v>62</v>
      </c>
      <c r="C86" s="226">
        <v>40366</v>
      </c>
      <c r="D86" s="227">
        <v>0.85416666666666663</v>
      </c>
      <c r="E86" s="228" t="s">
        <v>197</v>
      </c>
      <c r="F86" s="229" t="s">
        <v>29</v>
      </c>
      <c r="G86" s="222" t="s">
        <v>198</v>
      </c>
      <c r="H86" s="231">
        <f>AVERAGE(Harro:Frank!H85:H85)</f>
        <v>1.1818181818181819</v>
      </c>
      <c r="I86" s="229" t="s">
        <v>29</v>
      </c>
      <c r="J86" s="231">
        <f>AVERAGE(Harro:Frank!J85:J85)</f>
        <v>1.3181818181818181</v>
      </c>
      <c r="K86" s="235">
        <v>3</v>
      </c>
      <c r="L86" s="233" t="str">
        <f>VLOOKUP($B86,Invulblad!$A$11:$S$103,13,0)</f>
        <v/>
      </c>
      <c r="M86" s="234" t="str">
        <f>IF(L86&lt;&gt;"",VLOOKUP($B86,Invulblad!$A$11:$S$103,7,0),"")</f>
        <v/>
      </c>
      <c r="N86" s="229" t="s">
        <v>29</v>
      </c>
      <c r="O86" s="234" t="str">
        <f>IF(L86&lt;&gt;"",VLOOKUP($B86,Invulblad!$A$11:$S$103,9,0),"")</f>
        <v/>
      </c>
      <c r="P86" s="235" t="str">
        <f>IF(L86&lt;&gt;"",IF(AND(M86=ROUND(H86,0),O86=ROUND(J86,0)),10,IF(K86=L86,5,0)),"")</f>
        <v/>
      </c>
    </row>
    <row r="87" spans="1:16">
      <c r="A87" s="205">
        <v>83</v>
      </c>
      <c r="B87" s="218" t="s">
        <v>199</v>
      </c>
      <c r="C87" s="218"/>
      <c r="D87" s="218"/>
      <c r="E87" s="218"/>
      <c r="F87" s="218"/>
      <c r="G87" s="218"/>
      <c r="H87" s="231"/>
      <c r="I87" s="229"/>
      <c r="J87" s="231"/>
      <c r="K87" s="236"/>
      <c r="L87" s="233"/>
      <c r="M87" s="234" t="str">
        <f>IF(L87&lt;&gt;"",VLOOKUP($B87,Invulblad!$A$11:$S$103,7,0),"")</f>
        <v/>
      </c>
      <c r="N87" s="229"/>
      <c r="O87" s="234" t="str">
        <f>IF(L87&lt;&gt;"",VLOOKUP($B87,Invulblad!$A$11:$S$103,9,0),"")</f>
        <v/>
      </c>
    </row>
    <row r="88" spans="1:16">
      <c r="A88" s="205">
        <v>85</v>
      </c>
      <c r="B88" s="212">
        <v>63</v>
      </c>
      <c r="C88" s="226">
        <v>40369</v>
      </c>
      <c r="D88" s="227">
        <v>0.85416666666666663</v>
      </c>
      <c r="E88" s="228">
        <v>61</v>
      </c>
      <c r="F88" s="229" t="s">
        <v>29</v>
      </c>
      <c r="G88" s="222">
        <v>62</v>
      </c>
      <c r="H88" s="231">
        <f>AVERAGE(Harro:Frank!H87:H87)</f>
        <v>0.68181818181818177</v>
      </c>
      <c r="I88" s="229" t="s">
        <v>29</v>
      </c>
      <c r="J88" s="231">
        <f>AVERAGE(Harro:Frank!J87:J87)</f>
        <v>1.3636363636363635</v>
      </c>
      <c r="K88" s="235">
        <v>3</v>
      </c>
      <c r="L88" s="233" t="str">
        <f>VLOOKUP($B88,Invulblad!$A$11:$S$103,13,0)</f>
        <v/>
      </c>
      <c r="M88" s="234" t="str">
        <f>IF(L88&lt;&gt;"",VLOOKUP($B88,Invulblad!$A$11:$S$103,7,0),"")</f>
        <v/>
      </c>
      <c r="N88" s="229" t="s">
        <v>29</v>
      </c>
      <c r="O88" s="234" t="str">
        <f>IF(L88&lt;&gt;"",VLOOKUP($B88,Invulblad!$A$11:$S$103,9,0),"")</f>
        <v/>
      </c>
      <c r="P88" s="235" t="str">
        <f>IF(L88&lt;&gt;"",IF(AND(M88=ROUND(H88,0),O88=ROUND(J88,0)),10,IF(K88=L88,5,0)),"")</f>
        <v/>
      </c>
    </row>
    <row r="89" spans="1:16">
      <c r="A89" s="205">
        <v>86</v>
      </c>
      <c r="B89" s="218" t="s">
        <v>49</v>
      </c>
      <c r="C89" s="218"/>
      <c r="D89" s="218"/>
      <c r="E89" s="218"/>
      <c r="F89" s="218"/>
      <c r="G89" s="218"/>
      <c r="H89" s="218"/>
      <c r="I89" s="218"/>
      <c r="J89" s="218"/>
      <c r="K89" s="236"/>
      <c r="L89" s="233"/>
      <c r="M89" s="234" t="str">
        <f>IF(L89&lt;&gt;"",VLOOKUP($B89,Invulblad!$A$11:$S$103,7,0),"")</f>
        <v/>
      </c>
      <c r="N89" s="229"/>
      <c r="O89" s="234" t="str">
        <f>IF(L89&lt;&gt;"",VLOOKUP($B89,Invulblad!$A$11:$S$103,9,0),"")</f>
        <v/>
      </c>
    </row>
    <row r="90" spans="1:16">
      <c r="A90" s="205">
        <v>88</v>
      </c>
      <c r="B90" s="212">
        <v>64</v>
      </c>
      <c r="C90" s="226">
        <v>40370</v>
      </c>
      <c r="D90" s="227">
        <v>0.85416666666666663</v>
      </c>
      <c r="E90" s="228" t="s">
        <v>178</v>
      </c>
      <c r="F90" s="229" t="s">
        <v>29</v>
      </c>
      <c r="G90" s="222" t="s">
        <v>200</v>
      </c>
      <c r="H90" s="231">
        <f>AVERAGE(Harro:Frank!H89:H89)</f>
        <v>1.6363636363636365</v>
      </c>
      <c r="I90" s="229" t="s">
        <v>29</v>
      </c>
      <c r="J90" s="231">
        <f>AVERAGE(Harro:Frank!J89:J89)</f>
        <v>1.5</v>
      </c>
      <c r="K90" s="235">
        <v>3</v>
      </c>
      <c r="L90" s="233" t="str">
        <f>VLOOKUP($B90,Invulblad!$A$11:$S$103,13,0)</f>
        <v/>
      </c>
      <c r="M90" s="234" t="str">
        <f>IF(L90&lt;&gt;"",VLOOKUP($B90,Invulblad!$A$11:$S$103,7,0),"")</f>
        <v/>
      </c>
      <c r="N90" s="229" t="s">
        <v>29</v>
      </c>
      <c r="O90" s="234" t="str">
        <f>IF(L90&lt;&gt;"",VLOOKUP($B90,Invulblad!$A$11:$S$103,9,0),"")</f>
        <v/>
      </c>
      <c r="P90" s="235" t="str">
        <f>IF(L90&lt;&gt;"",IF(AND(M90=ROUND(H90,0),O90=ROUND(J90,0)),10,IF(K90=L90,5,0)),"")</f>
        <v/>
      </c>
    </row>
    <row r="91" spans="1:16">
      <c r="B91" s="228"/>
      <c r="C91" s="228"/>
      <c r="D91" s="228"/>
      <c r="E91" s="228"/>
      <c r="F91" s="228"/>
      <c r="G91" s="228"/>
      <c r="H91" s="228"/>
      <c r="I91" s="228"/>
      <c r="J91" s="228"/>
      <c r="K91" s="228"/>
      <c r="L91" s="239"/>
      <c r="M91" s="234"/>
      <c r="N91" s="229"/>
      <c r="O91" s="234"/>
    </row>
    <row r="92" spans="1:16">
      <c r="M92" s="234"/>
      <c r="N92" s="229"/>
      <c r="O92" s="234"/>
    </row>
    <row r="93" spans="1:16">
      <c r="B93" s="218" t="s">
        <v>201</v>
      </c>
      <c r="M93" s="234"/>
      <c r="N93" s="229"/>
      <c r="O93" s="234"/>
    </row>
    <row r="94" spans="1:16">
      <c r="B94" s="218"/>
    </row>
    <row r="95" spans="1:16">
      <c r="B95" s="206" t="s">
        <v>202</v>
      </c>
      <c r="C95" s="206" t="s">
        <v>203</v>
      </c>
      <c r="D95" s="218" t="s">
        <v>107</v>
      </c>
      <c r="M95" s="234"/>
      <c r="N95" s="229"/>
      <c r="O95" s="234"/>
    </row>
    <row r="96" spans="1:16">
      <c r="B96" s="206" t="s">
        <v>204</v>
      </c>
      <c r="C96" s="206" t="s">
        <v>203</v>
      </c>
      <c r="D96" s="218" t="s">
        <v>205</v>
      </c>
    </row>
    <row r="99" spans="2:5">
      <c r="B99" s="218" t="s">
        <v>206</v>
      </c>
    </row>
    <row r="101" spans="2:5">
      <c r="B101" s="240" t="s">
        <v>207</v>
      </c>
      <c r="C101" s="240" t="s">
        <v>208</v>
      </c>
      <c r="D101" s="240" t="s">
        <v>209</v>
      </c>
      <c r="E101" s="240" t="s">
        <v>210</v>
      </c>
    </row>
    <row r="102" spans="2:5">
      <c r="B102" s="241" t="s">
        <v>205</v>
      </c>
      <c r="C102" s="241" t="s">
        <v>211</v>
      </c>
      <c r="D102" s="241" t="s">
        <v>212</v>
      </c>
      <c r="E102" s="241" t="s">
        <v>213</v>
      </c>
    </row>
    <row r="103" spans="2:5">
      <c r="B103" s="242" t="s">
        <v>214</v>
      </c>
      <c r="C103" s="242" t="s">
        <v>215</v>
      </c>
      <c r="D103" s="242" t="s">
        <v>216</v>
      </c>
      <c r="E103" s="242" t="s">
        <v>215</v>
      </c>
    </row>
    <row r="104" spans="2:5">
      <c r="B104" s="241" t="s">
        <v>109</v>
      </c>
      <c r="C104" s="241" t="s">
        <v>211</v>
      </c>
      <c r="D104" s="241" t="s">
        <v>212</v>
      </c>
      <c r="E104" s="241" t="s">
        <v>215</v>
      </c>
    </row>
    <row r="105" spans="2:5">
      <c r="B105" s="242" t="s">
        <v>107</v>
      </c>
      <c r="C105" s="242" t="s">
        <v>217</v>
      </c>
      <c r="D105" s="242" t="s">
        <v>218</v>
      </c>
      <c r="E105" s="242" t="s">
        <v>211</v>
      </c>
    </row>
    <row r="108" spans="2:5">
      <c r="B108" s="218" t="s">
        <v>219</v>
      </c>
    </row>
    <row r="109" spans="2:5">
      <c r="B109" s="212"/>
    </row>
    <row r="110" spans="2:5">
      <c r="B110" s="212" t="s">
        <v>220</v>
      </c>
    </row>
    <row r="111" spans="2:5">
      <c r="B111" s="212" t="s">
        <v>221</v>
      </c>
    </row>
    <row r="114" spans="2:15">
      <c r="B114" s="243"/>
      <c r="C114" s="243"/>
      <c r="D114" s="243"/>
      <c r="E114" s="243"/>
      <c r="F114" s="243"/>
      <c r="G114" s="243"/>
      <c r="H114" s="243"/>
      <c r="I114" s="243"/>
      <c r="J114" s="243"/>
      <c r="K114" s="243"/>
      <c r="L114" s="244"/>
      <c r="M114" s="243"/>
      <c r="N114" s="243"/>
      <c r="O114" s="243"/>
    </row>
    <row r="117" spans="2:15">
      <c r="B117" s="218" t="s">
        <v>222</v>
      </c>
    </row>
    <row r="119" spans="2:15">
      <c r="B119" s="206" t="s">
        <v>202</v>
      </c>
      <c r="C119" s="206" t="s">
        <v>203</v>
      </c>
      <c r="D119" s="218" t="s">
        <v>116</v>
      </c>
    </row>
    <row r="120" spans="2:15">
      <c r="B120" s="206" t="s">
        <v>204</v>
      </c>
      <c r="C120" s="206" t="s">
        <v>203</v>
      </c>
      <c r="D120" s="218" t="s">
        <v>122</v>
      </c>
    </row>
    <row r="123" spans="2:15">
      <c r="B123" s="218" t="s">
        <v>223</v>
      </c>
    </row>
    <row r="125" spans="2:15">
      <c r="B125" s="240" t="s">
        <v>207</v>
      </c>
      <c r="C125" s="240" t="s">
        <v>208</v>
      </c>
      <c r="D125" s="240" t="s">
        <v>209</v>
      </c>
      <c r="E125" s="240" t="s">
        <v>210</v>
      </c>
    </row>
    <row r="126" spans="2:15">
      <c r="B126" s="241" t="s">
        <v>120</v>
      </c>
      <c r="C126" s="241" t="s">
        <v>212</v>
      </c>
      <c r="D126" s="241" t="s">
        <v>224</v>
      </c>
      <c r="E126" s="241" t="s">
        <v>212</v>
      </c>
    </row>
    <row r="127" spans="2:15">
      <c r="B127" s="242" t="s">
        <v>116</v>
      </c>
      <c r="C127" s="242" t="s">
        <v>225</v>
      </c>
      <c r="D127" s="242" t="s">
        <v>211</v>
      </c>
      <c r="E127" s="242" t="s">
        <v>217</v>
      </c>
    </row>
    <row r="128" spans="2:15">
      <c r="B128" s="241" t="s">
        <v>122</v>
      </c>
      <c r="C128" s="241" t="s">
        <v>226</v>
      </c>
      <c r="D128" s="241" t="s">
        <v>213</v>
      </c>
      <c r="E128" s="241" t="s">
        <v>217</v>
      </c>
    </row>
    <row r="129" spans="2:15">
      <c r="B129" s="242" t="s">
        <v>118</v>
      </c>
      <c r="C129" s="242" t="s">
        <v>213</v>
      </c>
      <c r="D129" s="242" t="s">
        <v>227</v>
      </c>
      <c r="E129" s="242" t="s">
        <v>218</v>
      </c>
    </row>
    <row r="132" spans="2:15">
      <c r="B132" s="218" t="s">
        <v>228</v>
      </c>
    </row>
    <row r="133" spans="2:15">
      <c r="B133" s="212"/>
    </row>
    <row r="134" spans="2:15">
      <c r="B134" s="212" t="s">
        <v>229</v>
      </c>
    </row>
    <row r="135" spans="2:15">
      <c r="B135" s="212" t="s">
        <v>230</v>
      </c>
    </row>
    <row r="138" spans="2:15">
      <c r="B138" s="243"/>
      <c r="C138" s="243"/>
      <c r="D138" s="243"/>
      <c r="E138" s="243"/>
      <c r="F138" s="243"/>
      <c r="G138" s="243"/>
      <c r="H138" s="243"/>
      <c r="I138" s="243"/>
      <c r="J138" s="243"/>
      <c r="K138" s="243"/>
      <c r="L138" s="244"/>
      <c r="M138" s="243"/>
      <c r="N138" s="243"/>
      <c r="O138" s="243"/>
    </row>
    <row r="141" spans="2:15">
      <c r="B141" s="218" t="s">
        <v>231</v>
      </c>
    </row>
    <row r="143" spans="2:15">
      <c r="B143" s="206" t="s">
        <v>202</v>
      </c>
      <c r="C143" s="206" t="s">
        <v>203</v>
      </c>
      <c r="D143" s="218" t="s">
        <v>32</v>
      </c>
    </row>
    <row r="144" spans="2:15">
      <c r="B144" s="206" t="s">
        <v>204</v>
      </c>
      <c r="C144" s="206" t="s">
        <v>203</v>
      </c>
      <c r="D144" s="218" t="s">
        <v>124</v>
      </c>
    </row>
    <row r="147" spans="2:5">
      <c r="B147" s="218" t="s">
        <v>232</v>
      </c>
    </row>
    <row r="149" spans="2:5">
      <c r="B149" s="240" t="s">
        <v>207</v>
      </c>
      <c r="C149" s="240" t="s">
        <v>208</v>
      </c>
      <c r="D149" s="240" t="s">
        <v>209</v>
      </c>
      <c r="E149" s="240" t="s">
        <v>210</v>
      </c>
    </row>
    <row r="150" spans="2:5">
      <c r="B150" s="241" t="s">
        <v>126</v>
      </c>
      <c r="C150" s="241" t="s">
        <v>211</v>
      </c>
      <c r="D150" s="241" t="s">
        <v>216</v>
      </c>
      <c r="E150" s="241" t="s">
        <v>218</v>
      </c>
    </row>
    <row r="151" spans="2:5">
      <c r="B151" s="242" t="s">
        <v>124</v>
      </c>
      <c r="C151" s="242" t="s">
        <v>226</v>
      </c>
      <c r="D151" s="242" t="s">
        <v>215</v>
      </c>
      <c r="E151" s="242" t="s">
        <v>217</v>
      </c>
    </row>
    <row r="152" spans="2:5">
      <c r="B152" s="241" t="s">
        <v>128</v>
      </c>
      <c r="C152" s="241" t="s">
        <v>212</v>
      </c>
      <c r="D152" s="241" t="s">
        <v>233</v>
      </c>
      <c r="E152" s="241" t="s">
        <v>218</v>
      </c>
    </row>
    <row r="153" spans="2:5">
      <c r="B153" s="242" t="s">
        <v>32</v>
      </c>
      <c r="C153" s="242" t="s">
        <v>234</v>
      </c>
      <c r="D153" s="242" t="s">
        <v>215</v>
      </c>
      <c r="E153" s="242" t="s">
        <v>213</v>
      </c>
    </row>
    <row r="156" spans="2:5">
      <c r="B156" s="218" t="s">
        <v>235</v>
      </c>
    </row>
    <row r="157" spans="2:5">
      <c r="B157" s="212"/>
    </row>
    <row r="158" spans="2:5">
      <c r="B158" s="212" t="s">
        <v>236</v>
      </c>
    </row>
    <row r="159" spans="2:5">
      <c r="B159" s="212" t="s">
        <v>237</v>
      </c>
    </row>
    <row r="162" spans="2:15">
      <c r="B162" s="243"/>
      <c r="C162" s="243"/>
      <c r="D162" s="243"/>
      <c r="E162" s="243"/>
      <c r="F162" s="243"/>
      <c r="G162" s="243"/>
      <c r="H162" s="243"/>
      <c r="I162" s="243"/>
      <c r="J162" s="243"/>
      <c r="K162" s="243"/>
      <c r="L162" s="244"/>
      <c r="M162" s="243"/>
      <c r="N162" s="243"/>
      <c r="O162" s="243"/>
    </row>
    <row r="165" spans="2:15">
      <c r="B165" s="218" t="s">
        <v>238</v>
      </c>
    </row>
    <row r="167" spans="2:15">
      <c r="B167" s="206" t="s">
        <v>202</v>
      </c>
      <c r="C167" s="206" t="s">
        <v>203</v>
      </c>
      <c r="D167" s="218" t="s">
        <v>239</v>
      </c>
    </row>
    <row r="168" spans="2:15">
      <c r="B168" s="206" t="s">
        <v>204</v>
      </c>
      <c r="C168" s="206" t="s">
        <v>203</v>
      </c>
      <c r="D168" s="218" t="s">
        <v>240</v>
      </c>
    </row>
    <row r="171" spans="2:15">
      <c r="B171" s="218" t="s">
        <v>241</v>
      </c>
    </row>
    <row r="173" spans="2:15">
      <c r="B173" s="240" t="s">
        <v>207</v>
      </c>
      <c r="C173" s="240" t="s">
        <v>208</v>
      </c>
      <c r="D173" s="240" t="s">
        <v>209</v>
      </c>
      <c r="E173" s="240" t="s">
        <v>210</v>
      </c>
    </row>
    <row r="174" spans="2:15">
      <c r="B174" s="241" t="s">
        <v>239</v>
      </c>
      <c r="C174" s="241" t="s">
        <v>234</v>
      </c>
      <c r="D174" s="241" t="s">
        <v>217</v>
      </c>
      <c r="E174" s="241" t="s">
        <v>226</v>
      </c>
    </row>
    <row r="175" spans="2:15">
      <c r="B175" s="242" t="s">
        <v>242</v>
      </c>
      <c r="C175" s="242" t="s">
        <v>212</v>
      </c>
      <c r="D175" s="242" t="s">
        <v>243</v>
      </c>
      <c r="E175" s="242" t="s">
        <v>218</v>
      </c>
    </row>
    <row r="176" spans="2:15">
      <c r="B176" s="241" t="s">
        <v>244</v>
      </c>
      <c r="C176" s="241" t="s">
        <v>213</v>
      </c>
      <c r="D176" s="241" t="s">
        <v>233</v>
      </c>
      <c r="E176" s="241" t="s">
        <v>215</v>
      </c>
    </row>
    <row r="177" spans="2:15">
      <c r="B177" s="242" t="s">
        <v>240</v>
      </c>
      <c r="C177" s="242" t="s">
        <v>234</v>
      </c>
      <c r="D177" s="242" t="s">
        <v>215</v>
      </c>
      <c r="E177" s="242" t="s">
        <v>217</v>
      </c>
    </row>
    <row r="180" spans="2:15">
      <c r="B180" s="218" t="s">
        <v>245</v>
      </c>
    </row>
    <row r="181" spans="2:15">
      <c r="B181" s="212"/>
    </row>
    <row r="182" spans="2:15">
      <c r="B182" s="212" t="s">
        <v>246</v>
      </c>
    </row>
    <row r="185" spans="2:15">
      <c r="B185" s="243"/>
      <c r="C185" s="243"/>
      <c r="D185" s="243"/>
      <c r="E185" s="243"/>
      <c r="F185" s="243"/>
      <c r="G185" s="243"/>
      <c r="H185" s="243"/>
      <c r="I185" s="243"/>
      <c r="J185" s="243"/>
      <c r="K185" s="243"/>
      <c r="L185" s="244"/>
      <c r="M185" s="243"/>
      <c r="N185" s="243"/>
      <c r="O185" s="243"/>
    </row>
    <row r="188" spans="2:15">
      <c r="B188" s="218" t="s">
        <v>247</v>
      </c>
    </row>
    <row r="190" spans="2:15">
      <c r="B190" s="206" t="s">
        <v>202</v>
      </c>
      <c r="C190" s="206" t="s">
        <v>203</v>
      </c>
      <c r="D190" s="218" t="s">
        <v>178</v>
      </c>
    </row>
    <row r="191" spans="2:15">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234</v>
      </c>
      <c r="D197" s="241" t="s">
        <v>211</v>
      </c>
      <c r="E197" s="241" t="s">
        <v>226</v>
      </c>
    </row>
    <row r="198" spans="2:5">
      <c r="B198" s="242" t="s">
        <v>250</v>
      </c>
      <c r="C198" s="242" t="s">
        <v>211</v>
      </c>
      <c r="D198" s="242" t="s">
        <v>218</v>
      </c>
      <c r="E198" s="242" t="s">
        <v>211</v>
      </c>
    </row>
    <row r="199" spans="2:5">
      <c r="B199" s="241" t="s">
        <v>251</v>
      </c>
      <c r="C199" s="241" t="s">
        <v>212</v>
      </c>
      <c r="D199" s="241" t="s">
        <v>252</v>
      </c>
      <c r="E199" s="241" t="s">
        <v>212</v>
      </c>
    </row>
    <row r="200" spans="2:5">
      <c r="B200" s="242" t="s">
        <v>248</v>
      </c>
      <c r="C200" s="242" t="s">
        <v>217</v>
      </c>
      <c r="D200" s="242" t="s">
        <v>215</v>
      </c>
      <c r="E200" s="242" t="s">
        <v>211</v>
      </c>
    </row>
    <row r="203" spans="2:5">
      <c r="B203" s="218" t="s">
        <v>253</v>
      </c>
    </row>
    <row r="204" spans="2:5">
      <c r="B204" s="212"/>
    </row>
    <row r="205" spans="2:5">
      <c r="B205" s="212" t="s">
        <v>254</v>
      </c>
    </row>
    <row r="206" spans="2:5">
      <c r="B206" s="212" t="s">
        <v>255</v>
      </c>
    </row>
    <row r="209" spans="2:15">
      <c r="B209" s="243"/>
      <c r="C209" s="243"/>
      <c r="D209" s="243"/>
      <c r="E209" s="243"/>
      <c r="F209" s="243"/>
      <c r="G209" s="243"/>
      <c r="H209" s="243"/>
      <c r="I209" s="243"/>
      <c r="J209" s="243"/>
      <c r="K209" s="243"/>
      <c r="L209" s="244"/>
      <c r="M209" s="243"/>
      <c r="N209" s="243"/>
      <c r="O209" s="243"/>
    </row>
    <row r="212" spans="2:15">
      <c r="B212" s="218" t="s">
        <v>256</v>
      </c>
    </row>
    <row r="214" spans="2:15">
      <c r="B214" s="206" t="s">
        <v>202</v>
      </c>
      <c r="C214" s="206" t="s">
        <v>203</v>
      </c>
      <c r="D214" s="218" t="s">
        <v>257</v>
      </c>
    </row>
    <row r="215" spans="2:15">
      <c r="B215" s="206" t="s">
        <v>204</v>
      </c>
      <c r="C215" s="206" t="s">
        <v>203</v>
      </c>
      <c r="D215" s="218" t="s">
        <v>182</v>
      </c>
    </row>
    <row r="218" spans="2:15">
      <c r="B218" s="218" t="s">
        <v>258</v>
      </c>
    </row>
    <row r="220" spans="2:15">
      <c r="B220" s="240" t="s">
        <v>207</v>
      </c>
      <c r="C220" s="240" t="s">
        <v>208</v>
      </c>
      <c r="D220" s="240" t="s">
        <v>209</v>
      </c>
      <c r="E220" s="240" t="s">
        <v>210</v>
      </c>
    </row>
    <row r="221" spans="2:15">
      <c r="B221" s="241" t="s">
        <v>257</v>
      </c>
      <c r="C221" s="241" t="s">
        <v>225</v>
      </c>
      <c r="D221" s="241" t="s">
        <v>211</v>
      </c>
      <c r="E221" s="241" t="s">
        <v>211</v>
      </c>
    </row>
    <row r="222" spans="2:15">
      <c r="B222" s="242" t="s">
        <v>259</v>
      </c>
      <c r="C222" s="242" t="s">
        <v>218</v>
      </c>
      <c r="D222" s="242" t="s">
        <v>243</v>
      </c>
      <c r="E222" s="242" t="s">
        <v>212</v>
      </c>
    </row>
    <row r="223" spans="2:15">
      <c r="B223" s="241" t="s">
        <v>182</v>
      </c>
      <c r="C223" s="241" t="s">
        <v>226</v>
      </c>
      <c r="D223" s="241" t="s">
        <v>213</v>
      </c>
      <c r="E223" s="241" t="s">
        <v>211</v>
      </c>
    </row>
    <row r="224" spans="2:15">
      <c r="B224" s="242" t="s">
        <v>260</v>
      </c>
      <c r="C224" s="242" t="s">
        <v>218</v>
      </c>
      <c r="D224" s="242" t="s">
        <v>233</v>
      </c>
      <c r="E224" s="242" t="s">
        <v>212</v>
      </c>
    </row>
    <row r="227" spans="2:15">
      <c r="B227" s="218" t="s">
        <v>261</v>
      </c>
    </row>
    <row r="228" spans="2:15">
      <c r="B228" s="212"/>
    </row>
    <row r="229" spans="2:15">
      <c r="B229" s="212" t="s">
        <v>262</v>
      </c>
    </row>
    <row r="230" spans="2:15">
      <c r="B230" s="212" t="s">
        <v>263</v>
      </c>
    </row>
    <row r="233" spans="2:15">
      <c r="B233" s="243"/>
      <c r="C233" s="243"/>
      <c r="D233" s="243"/>
      <c r="E233" s="243"/>
      <c r="F233" s="243"/>
      <c r="G233" s="243"/>
      <c r="H233" s="243"/>
      <c r="I233" s="243"/>
      <c r="J233" s="243"/>
      <c r="K233" s="243"/>
      <c r="L233" s="244"/>
      <c r="M233" s="243"/>
      <c r="N233" s="243"/>
      <c r="O233" s="243"/>
    </row>
    <row r="236" spans="2:15">
      <c r="B236" s="218" t="s">
        <v>264</v>
      </c>
    </row>
    <row r="238" spans="2:15">
      <c r="B238" s="206" t="s">
        <v>202</v>
      </c>
      <c r="C238" s="206" t="s">
        <v>203</v>
      </c>
      <c r="D238" s="218" t="s">
        <v>265</v>
      </c>
    </row>
    <row r="239" spans="2:15">
      <c r="B239" s="206" t="s">
        <v>204</v>
      </c>
      <c r="C239" s="206" t="s">
        <v>203</v>
      </c>
      <c r="D239" s="218" t="s">
        <v>266</v>
      </c>
    </row>
    <row r="242" spans="2:5">
      <c r="B242" s="218" t="s">
        <v>267</v>
      </c>
    </row>
    <row r="244" spans="2:5">
      <c r="B244" s="240" t="s">
        <v>207</v>
      </c>
      <c r="C244" s="240" t="s">
        <v>208</v>
      </c>
      <c r="D244" s="240" t="s">
        <v>209</v>
      </c>
      <c r="E244" s="240" t="s">
        <v>210</v>
      </c>
    </row>
    <row r="245" spans="2:5">
      <c r="B245" s="241" t="s">
        <v>268</v>
      </c>
      <c r="C245" s="241" t="s">
        <v>211</v>
      </c>
      <c r="D245" s="241" t="s">
        <v>212</v>
      </c>
      <c r="E245" s="241" t="s">
        <v>213</v>
      </c>
    </row>
    <row r="246" spans="2:5">
      <c r="B246" s="242" t="s">
        <v>265</v>
      </c>
      <c r="C246" s="242" t="s">
        <v>234</v>
      </c>
      <c r="D246" s="242" t="s">
        <v>213</v>
      </c>
      <c r="E246" s="242" t="s">
        <v>217</v>
      </c>
    </row>
    <row r="247" spans="2:5">
      <c r="B247" s="241" t="s">
        <v>266</v>
      </c>
      <c r="C247" s="241" t="s">
        <v>217</v>
      </c>
      <c r="D247" s="241" t="s">
        <v>215</v>
      </c>
      <c r="E247" s="241" t="s">
        <v>211</v>
      </c>
    </row>
    <row r="248" spans="2:5">
      <c r="B248" s="242" t="s">
        <v>269</v>
      </c>
      <c r="C248" s="242" t="s">
        <v>212</v>
      </c>
      <c r="D248" s="242" t="s">
        <v>224</v>
      </c>
      <c r="E248" s="242" t="s">
        <v>212</v>
      </c>
    </row>
    <row r="251" spans="2:5">
      <c r="B251" s="218" t="s">
        <v>270</v>
      </c>
    </row>
    <row r="252" spans="2:5">
      <c r="B252" s="212"/>
    </row>
    <row r="253" spans="2:5">
      <c r="B253" s="212" t="s">
        <v>271</v>
      </c>
    </row>
    <row r="254" spans="2:5">
      <c r="B254" s="212" t="s">
        <v>272</v>
      </c>
    </row>
    <row r="257" spans="2:15">
      <c r="B257" s="243"/>
      <c r="C257" s="243"/>
      <c r="D257" s="243"/>
      <c r="E257" s="243"/>
      <c r="F257" s="243"/>
      <c r="G257" s="243"/>
      <c r="H257" s="243"/>
      <c r="I257" s="243"/>
      <c r="J257" s="243"/>
      <c r="K257" s="243"/>
      <c r="L257" s="244"/>
      <c r="M257" s="243"/>
      <c r="N257" s="243"/>
      <c r="O257" s="243"/>
    </row>
    <row r="260" spans="2:15">
      <c r="B260" s="218" t="s">
        <v>273</v>
      </c>
    </row>
    <row r="262" spans="2:15">
      <c r="B262" s="206" t="s">
        <v>202</v>
      </c>
      <c r="C262" s="206" t="s">
        <v>203</v>
      </c>
      <c r="D262" s="218" t="s">
        <v>200</v>
      </c>
    </row>
    <row r="263" spans="2:15">
      <c r="B263" s="206" t="s">
        <v>204</v>
      </c>
      <c r="C263" s="206" t="s">
        <v>203</v>
      </c>
      <c r="D263" s="218" t="s">
        <v>274</v>
      </c>
    </row>
    <row r="266" spans="2:15">
      <c r="B266" s="218" t="s">
        <v>275</v>
      </c>
    </row>
    <row r="268" spans="2:15">
      <c r="B268" s="240" t="s">
        <v>207</v>
      </c>
      <c r="C268" s="240" t="s">
        <v>208</v>
      </c>
      <c r="D268" s="240" t="s">
        <v>209</v>
      </c>
      <c r="E268" s="240" t="s">
        <v>210</v>
      </c>
    </row>
    <row r="269" spans="2:15">
      <c r="B269" s="241" t="s">
        <v>274</v>
      </c>
      <c r="C269" s="241" t="s">
        <v>211</v>
      </c>
      <c r="D269" s="241" t="s">
        <v>212</v>
      </c>
      <c r="E269" s="241" t="s">
        <v>218</v>
      </c>
    </row>
    <row r="270" spans="2:15">
      <c r="B270" s="242" t="s">
        <v>200</v>
      </c>
      <c r="C270" s="242" t="s">
        <v>225</v>
      </c>
      <c r="D270" s="242" t="s">
        <v>217</v>
      </c>
      <c r="E270" s="242" t="s">
        <v>217</v>
      </c>
    </row>
    <row r="271" spans="2:15">
      <c r="B271" s="241" t="s">
        <v>276</v>
      </c>
      <c r="C271" s="241" t="s">
        <v>218</v>
      </c>
      <c r="D271" s="241" t="s">
        <v>233</v>
      </c>
      <c r="E271" s="241" t="s">
        <v>218</v>
      </c>
    </row>
    <row r="272" spans="2:15">
      <c r="B272" s="242" t="s">
        <v>277</v>
      </c>
      <c r="C272" s="242" t="s">
        <v>215</v>
      </c>
      <c r="D272" s="242" t="s">
        <v>227</v>
      </c>
      <c r="E272" s="242" t="s">
        <v>218</v>
      </c>
    </row>
    <row r="275" spans="2:15">
      <c r="B275" s="218" t="s">
        <v>278</v>
      </c>
    </row>
    <row r="276" spans="2:15">
      <c r="B276" s="212"/>
    </row>
    <row r="277" spans="2:15">
      <c r="B277" s="212" t="s">
        <v>279</v>
      </c>
    </row>
    <row r="278" spans="2:15">
      <c r="B278" s="212" t="s">
        <v>280</v>
      </c>
    </row>
    <row r="281" spans="2:15">
      <c r="B281" s="243"/>
      <c r="C281" s="243"/>
      <c r="D281" s="243"/>
      <c r="E281" s="243"/>
      <c r="F281" s="243"/>
      <c r="G281" s="243"/>
      <c r="H281" s="243"/>
      <c r="I281" s="243"/>
      <c r="J281" s="243"/>
      <c r="K281" s="243"/>
      <c r="L281" s="244"/>
      <c r="M281" s="243"/>
      <c r="N281" s="243"/>
      <c r="O281" s="243"/>
    </row>
    <row r="286" spans="2:15">
      <c r="B286" s="206" t="s">
        <v>281</v>
      </c>
    </row>
    <row r="288" spans="2:15">
      <c r="B288" s="245" t="s">
        <v>282</v>
      </c>
    </row>
    <row r="289" spans="2:2">
      <c r="B289" s="245"/>
    </row>
    <row r="291" spans="2:2">
      <c r="B291" s="245" t="s">
        <v>283</v>
      </c>
    </row>
    <row r="292" spans="2:2">
      <c r="B292" s="245"/>
    </row>
    <row r="294" spans="2:2">
      <c r="B294" s="212"/>
    </row>
    <row r="295" spans="2:2">
      <c r="B295" s="222" t="s">
        <v>284</v>
      </c>
    </row>
    <row r="296" spans="2:2">
      <c r="B296" s="246" t="s">
        <v>285</v>
      </c>
    </row>
    <row r="297" spans="2:2">
      <c r="B297" s="246" t="s">
        <v>286</v>
      </c>
    </row>
    <row r="298" spans="2:2">
      <c r="B298" s="246" t="s">
        <v>287</v>
      </c>
    </row>
    <row r="299" spans="2:2">
      <c r="B299" s="246" t="s">
        <v>288</v>
      </c>
    </row>
    <row r="300" spans="2:2">
      <c r="B300" s="222" t="s">
        <v>289</v>
      </c>
    </row>
    <row r="301" spans="2:2">
      <c r="B301" s="246" t="s">
        <v>290</v>
      </c>
    </row>
    <row r="302" spans="2:2">
      <c r="B302" s="246" t="s">
        <v>291</v>
      </c>
    </row>
    <row r="303" spans="2:2">
      <c r="B303" s="246" t="s">
        <v>292</v>
      </c>
    </row>
    <row r="304" spans="2:2">
      <c r="B304" s="222" t="s">
        <v>293</v>
      </c>
    </row>
    <row r="305" spans="2:2">
      <c r="B305" s="246" t="s">
        <v>294</v>
      </c>
    </row>
    <row r="306" spans="2:2">
      <c r="B306" s="246" t="s">
        <v>295</v>
      </c>
    </row>
    <row r="307" spans="2:2">
      <c r="B307" s="246" t="s">
        <v>296</v>
      </c>
    </row>
    <row r="308" spans="2:2">
      <c r="B308" s="222" t="s">
        <v>297</v>
      </c>
    </row>
    <row r="309" spans="2:2">
      <c r="B309" s="246" t="s">
        <v>298</v>
      </c>
    </row>
    <row r="311" spans="2:2">
      <c r="B311"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300</v>
      </c>
      <c r="L1" s="211"/>
      <c r="P1" s="210">
        <f>SUM(P14:P89)+E11+H11+L7+L11</f>
        <v>465</v>
      </c>
    </row>
    <row r="2" spans="1:17" s="212" customFormat="1" ht="15" customHeight="1">
      <c r="B2" s="213" t="s">
        <v>97</v>
      </c>
      <c r="G2" s="213" t="s">
        <v>98</v>
      </c>
      <c r="J2" s="213" t="s">
        <v>99</v>
      </c>
      <c r="L2" s="214"/>
    </row>
    <row r="3" spans="1:17" s="212" customFormat="1" ht="15" customHeight="1">
      <c r="B3" s="212" t="str">
        <f t="shared" ref="B3:B10" si="0">E70</f>
        <v>Zuid-Afrika</v>
      </c>
      <c r="C3" s="247">
        <f>IF(AND(ISNA(MATCH(B3,Invulblad!$F$76:$F$83,0)),ISNA(MATCH(B3,Invulblad!$J$76:$J$83,0))),0,10)</f>
        <v>0</v>
      </c>
      <c r="D3" s="212" t="str">
        <f t="shared" ref="D3:D10" si="1">G70</f>
        <v>Zuid-Korea</v>
      </c>
      <c r="E3" s="247">
        <f>IF(AND(ISNA(MATCH(D3,Invulblad!$F$76:$F$83,0)),ISNA(MATCH(D3,Invulblad!$J$76:$J$83,0))),0,10)</f>
        <v>10</v>
      </c>
      <c r="G3" s="212" t="str">
        <f>E79</f>
        <v>Nederland</v>
      </c>
      <c r="H3" s="247">
        <f>IF(AND(ISNA(MATCH(G3,Invulblad!$F$87:$F$90,0)),ISNA(MATCH(G3,Invulblad!$J$87:$J$90,0))),0,15)</f>
        <v>15</v>
      </c>
      <c r="J3" s="212" t="str">
        <f>E84</f>
        <v>Zuid-Afrika</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Ghana</v>
      </c>
      <c r="E4" s="247">
        <f>IF(AND(ISNA(MATCH(D4,Invulblad!$F$76:$F$83,0)),ISNA(MATCH(D4,Invulblad!$J$76:$J$83,0))),0,10)</f>
        <v>10</v>
      </c>
      <c r="G4" s="212" t="str">
        <f>E80</f>
        <v>Zuid-Afrika</v>
      </c>
      <c r="H4" s="247">
        <f>IF(AND(ISNA(MATCH(G4,Invulblad!$F$87:$F$90,0)),ISNA(MATCH(G4,Invulblad!$J$87:$J$90,0))),0,15)</f>
        <v>0</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Algerije</v>
      </c>
      <c r="E5" s="247">
        <f>IF(AND(ISNA(MATCH(D5,Invulblad!$F$76:$F$83,0)),ISNA(MATCH(D5,Invulblad!$J$76:$J$83,0))),0,10)</f>
        <v>0</v>
      </c>
      <c r="G5" s="212" t="str">
        <f>E81</f>
        <v>Argentinië</v>
      </c>
      <c r="H5" s="247">
        <f>IF(AND(ISNA(MATCH(G5,Invulblad!$F$87:$F$90,0)),ISNA(MATCH(G5,Invulblad!$J$87:$J$90,0))),0,15)</f>
        <v>15</v>
      </c>
      <c r="J5" s="212" t="str">
        <f>G84</f>
        <v>Nederland</v>
      </c>
      <c r="L5" s="247">
        <f>IF(AND(ISNA(MATCH(J5,Invulblad!$F$94:$F$95,0)),ISNA(MATCH(J5,Invulblad!$J$94:$J$95,0))),0,20+25)</f>
        <v>45</v>
      </c>
    </row>
    <row r="6" spans="1:17" s="212" customFormat="1" ht="15" customHeight="1">
      <c r="B6" s="212" t="str">
        <f t="shared" si="0"/>
        <v>Argentinië</v>
      </c>
      <c r="C6" s="247">
        <f>IF(AND(ISNA(MATCH(B6,Invulblad!$F$76:$F$83,0)),ISNA(MATCH(B6,Invulblad!$J$76:$J$83,0))),0,10)</f>
        <v>10</v>
      </c>
      <c r="D6" s="212" t="str">
        <f t="shared" si="1"/>
        <v>Frankrijk</v>
      </c>
      <c r="E6" s="247">
        <f>IF(AND(ISNA(MATCH(D6,Invulblad!$F$76:$F$83,0)),ISNA(MATCH(D6,Invulblad!$J$76:$J$83,0))),0,10)</f>
        <v>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90</v>
      </c>
    </row>
    <row r="8" spans="1:17" s="212" customFormat="1" ht="15" customHeight="1">
      <c r="B8" s="212" t="str">
        <f t="shared" si="0"/>
        <v>Brazilië</v>
      </c>
      <c r="C8" s="247">
        <f>IF(AND(ISNA(MATCH(B8,Invulblad!$F$76:$F$83,0)),ISNA(MATCH(B8,Invulblad!$J$76:$J$83,0))),0,10)</f>
        <v>10</v>
      </c>
      <c r="D8" s="212" t="str">
        <f t="shared" si="1"/>
        <v>Zwitserland</v>
      </c>
      <c r="E8" s="247">
        <f>IF(AND(ISNA(MATCH(D8,Invulblad!$F$76:$F$83,0)),ISNA(MATCH(D8,Invulblad!$J$76:$J$83,0))),0,10)</f>
        <v>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Nederland</v>
      </c>
      <c r="L9" s="247">
        <f>IF(AND(ISNA(MATCH(J9,Invulblad!$F$103,0)),ISNA(MATCH(J9,Invulblad!$J$103,0))),0,5)</f>
        <v>5</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Argentinië</v>
      </c>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5</v>
      </c>
    </row>
    <row r="12" spans="1:17">
      <c r="B12" s="218" t="s">
        <v>19</v>
      </c>
      <c r="C12" s="218"/>
      <c r="D12" s="218"/>
      <c r="E12" s="219" t="str">
        <f>IF(H89&gt;J89,E89,G89)</f>
        <v>Nederland</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2</v>
      </c>
      <c r="I14" s="229" t="s">
        <v>29</v>
      </c>
      <c r="J14" s="229">
        <v>1</v>
      </c>
      <c r="K14" s="235" t="str">
        <f t="shared" ref="K14:K45" si="2">IF(AND(H14="",J14=""),"",IF(OR(H14="",J14=""),"FOUT",IF(H14&gt;J14,"1",IF(H14=J14,3,2))))</f>
        <v>1</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0</v>
      </c>
      <c r="I15" s="229" t="s">
        <v>29</v>
      </c>
      <c r="J15" s="229">
        <v>0</v>
      </c>
      <c r="K15" s="235">
        <f t="shared" si="2"/>
        <v>3</v>
      </c>
      <c r="L15" s="233">
        <f>VLOOKUP($B15,Invulblad!$A$11:$S$103,13,0)</f>
        <v>3</v>
      </c>
      <c r="M15" s="234">
        <f>IF(L15&lt;&gt;"",VLOOKUP($B15,Invulblad!$A$11:$S$103,7,0),"")</f>
        <v>0</v>
      </c>
      <c r="N15" s="229" t="s">
        <v>29</v>
      </c>
      <c r="O15" s="234">
        <f>IF(L15&lt;&gt;"",VLOOKUP($B15,Invulblad!$A$11:$S$103,9,0),"")</f>
        <v>0</v>
      </c>
      <c r="P15" s="235">
        <f t="shared" si="3"/>
        <v>10</v>
      </c>
    </row>
    <row r="16" spans="1:17">
      <c r="A16" s="205">
        <v>3</v>
      </c>
      <c r="B16" s="212">
        <v>17</v>
      </c>
      <c r="C16" s="226">
        <v>40345</v>
      </c>
      <c r="D16" s="227">
        <v>0.85416666666666663</v>
      </c>
      <c r="E16" s="228" t="s">
        <v>111</v>
      </c>
      <c r="F16" s="229" t="s">
        <v>29</v>
      </c>
      <c r="G16" s="212" t="s">
        <v>112</v>
      </c>
      <c r="H16" s="229">
        <v>1</v>
      </c>
      <c r="I16" s="229" t="s">
        <v>29</v>
      </c>
      <c r="J16" s="229">
        <v>1</v>
      </c>
      <c r="K16" s="235">
        <f t="shared" si="2"/>
        <v>3</v>
      </c>
      <c r="L16" s="233">
        <f>VLOOKUP($B16,Invulblad!$A$11:$S$103,13,0)</f>
        <v>2</v>
      </c>
      <c r="M16" s="234">
        <f>IF(L16&lt;&gt;"",VLOOKUP($B16,Invulblad!$A$11:$S$103,7,0),"")</f>
        <v>0</v>
      </c>
      <c r="N16" s="229" t="s">
        <v>29</v>
      </c>
      <c r="O16" s="234">
        <f>IF(L16&lt;&gt;"",VLOOKUP($B16,Invulblad!$A$11:$S$103,9,0),"")</f>
        <v>3</v>
      </c>
      <c r="P16" s="235">
        <f t="shared" si="3"/>
        <v>0</v>
      </c>
    </row>
    <row r="17" spans="1:16">
      <c r="A17" s="205">
        <v>4</v>
      </c>
      <c r="B17" s="212">
        <v>18</v>
      </c>
      <c r="C17" s="226">
        <v>40346</v>
      </c>
      <c r="D17" s="227">
        <v>0.85416666666666663</v>
      </c>
      <c r="E17" s="228" t="s">
        <v>113</v>
      </c>
      <c r="F17" s="229" t="s">
        <v>29</v>
      </c>
      <c r="G17" s="212" t="s">
        <v>108</v>
      </c>
      <c r="H17" s="229">
        <v>2</v>
      </c>
      <c r="I17" s="229" t="s">
        <v>29</v>
      </c>
      <c r="J17" s="229">
        <v>1</v>
      </c>
      <c r="K17" s="235" t="str">
        <f t="shared" si="2"/>
        <v>1</v>
      </c>
      <c r="L17" s="233">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1</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2</v>
      </c>
      <c r="K19" s="235">
        <f t="shared" si="2"/>
        <v>3</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0</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2</v>
      </c>
      <c r="I22" s="229" t="s">
        <v>29</v>
      </c>
      <c r="J22" s="229">
        <v>1</v>
      </c>
      <c r="K22" s="235" t="str">
        <f t="shared" si="2"/>
        <v>1</v>
      </c>
      <c r="L22" s="233"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1</v>
      </c>
      <c r="I23" s="229" t="s">
        <v>29</v>
      </c>
      <c r="J23" s="229">
        <v>0</v>
      </c>
      <c r="K23" s="235" t="str">
        <f t="shared" si="2"/>
        <v>1</v>
      </c>
      <c r="L23" s="233" t="str">
        <f>VLOOKUP($B23,Invulblad!$A$11:$S$103,13,0)</f>
        <v>1</v>
      </c>
      <c r="M23" s="234">
        <f>IF(L23&lt;&gt;"",VLOOKUP($B23,Invulblad!$A$11:$S$103,7,0),"")</f>
        <v>2</v>
      </c>
      <c r="N23" s="229" t="s">
        <v>29</v>
      </c>
      <c r="O23" s="234">
        <f>IF(L23&lt;&gt;"",VLOOKUP($B23,Invulblad!$A$11:$S$103,9,0),"")</f>
        <v>1</v>
      </c>
      <c r="P23" s="235">
        <f t="shared" si="4"/>
        <v>5</v>
      </c>
    </row>
    <row r="24" spans="1:16">
      <c r="A24" s="205">
        <v>12</v>
      </c>
      <c r="B24" s="212">
        <v>20</v>
      </c>
      <c r="C24" s="226">
        <v>40346</v>
      </c>
      <c r="D24" s="227">
        <v>0.5625</v>
      </c>
      <c r="E24" s="228" t="s">
        <v>302</v>
      </c>
      <c r="F24" s="229" t="s">
        <v>29</v>
      </c>
      <c r="G24" s="212" t="s">
        <v>121</v>
      </c>
      <c r="H24" s="229">
        <v>2</v>
      </c>
      <c r="I24" s="229" t="s">
        <v>29</v>
      </c>
      <c r="J24" s="229">
        <v>1</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2</v>
      </c>
      <c r="K25" s="235">
        <f t="shared" si="2"/>
        <v>2</v>
      </c>
      <c r="L25" s="233">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1</v>
      </c>
      <c r="I26" s="229" t="s">
        <v>29</v>
      </c>
      <c r="J26" s="229">
        <v>4</v>
      </c>
      <c r="K26" s="235">
        <f t="shared" si="2"/>
        <v>2</v>
      </c>
      <c r="L26" s="233">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0</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1</v>
      </c>
      <c r="I29" s="229" t="s">
        <v>29</v>
      </c>
      <c r="J29" s="229">
        <v>0</v>
      </c>
      <c r="K29" s="235" t="str">
        <f t="shared" si="2"/>
        <v>1</v>
      </c>
      <c r="L29" s="233">
        <f>VLOOKUP($B29,Invulblad!$A$11:$S$103,13,0)</f>
        <v>2</v>
      </c>
      <c r="M29" s="234">
        <f>IF(L29&lt;&gt;"",VLOOKUP($B29,Invulblad!$A$11:$S$103,7,0),"")</f>
        <v>0</v>
      </c>
      <c r="N29" s="229" t="s">
        <v>29</v>
      </c>
      <c r="O29" s="234">
        <f>IF(L29&lt;&gt;"",VLOOKUP($B29,Invulblad!$A$11:$S$103,9,0),"")</f>
        <v>1</v>
      </c>
      <c r="P29" s="235">
        <f t="shared" si="5"/>
        <v>0</v>
      </c>
    </row>
    <row r="30" spans="1:16">
      <c r="A30" s="205">
        <v>19</v>
      </c>
      <c r="B30" s="212">
        <v>22</v>
      </c>
      <c r="C30" s="226">
        <v>40347</v>
      </c>
      <c r="D30" s="227">
        <v>0.66666666666666663</v>
      </c>
      <c r="E30" s="228" t="s">
        <v>308</v>
      </c>
      <c r="F30" s="229" t="s">
        <v>29</v>
      </c>
      <c r="G30" s="212" t="s">
        <v>125</v>
      </c>
      <c r="H30" s="229">
        <v>2</v>
      </c>
      <c r="I30" s="229" t="s">
        <v>29</v>
      </c>
      <c r="J30" s="229">
        <v>1</v>
      </c>
      <c r="K30" s="235" t="str">
        <f t="shared" si="2"/>
        <v>1</v>
      </c>
      <c r="L30" s="233">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1</v>
      </c>
      <c r="I31" s="229" t="s">
        <v>29</v>
      </c>
      <c r="J31" s="229">
        <v>1</v>
      </c>
      <c r="K31" s="235">
        <f t="shared" si="2"/>
        <v>3</v>
      </c>
      <c r="L31" s="233">
        <f>VLOOKUP($B31,Invulblad!$A$11:$S$103,13,0)</f>
        <v>3</v>
      </c>
      <c r="M31" s="234">
        <f>IF(L31&lt;&gt;"",VLOOKUP($B31,Invulblad!$A$11:$S$103,7,0),"")</f>
        <v>0</v>
      </c>
      <c r="N31" s="229" t="s">
        <v>29</v>
      </c>
      <c r="O31" s="234">
        <f>IF(L31&lt;&gt;"",VLOOKUP($B31,Invulblad!$A$11:$S$103,9,0),"")</f>
        <v>0</v>
      </c>
      <c r="P31" s="235">
        <f t="shared" si="5"/>
        <v>5</v>
      </c>
    </row>
    <row r="32" spans="1:16">
      <c r="A32" s="205">
        <v>21</v>
      </c>
      <c r="B32" s="212">
        <v>37</v>
      </c>
      <c r="C32" s="226">
        <v>40352</v>
      </c>
      <c r="D32" s="227">
        <v>0.66666666666666663</v>
      </c>
      <c r="E32" s="228" t="s">
        <v>308</v>
      </c>
      <c r="F32" s="229" t="s">
        <v>29</v>
      </c>
      <c r="G32" s="212" t="s">
        <v>130</v>
      </c>
      <c r="H32" s="229">
        <v>0</v>
      </c>
      <c r="I32" s="229" t="s">
        <v>29</v>
      </c>
      <c r="J32" s="229">
        <v>3</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1</v>
      </c>
      <c r="I33" s="229" t="s">
        <v>29</v>
      </c>
      <c r="J33" s="229">
        <v>2</v>
      </c>
      <c r="K33" s="235">
        <f t="shared" si="2"/>
        <v>2</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0</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0</v>
      </c>
      <c r="I36" s="229" t="s">
        <v>29</v>
      </c>
      <c r="J36" s="229">
        <v>1</v>
      </c>
      <c r="K36" s="235">
        <f t="shared" si="2"/>
        <v>2</v>
      </c>
      <c r="L36" s="233">
        <f>VLOOKUP($B36,Invulblad!$A$11:$S$103,13,0)</f>
        <v>2</v>
      </c>
      <c r="M36" s="234">
        <f>IF(L36&lt;&gt;"",VLOOKUP($B36,Invulblad!$A$11:$S$103,7,0),"")</f>
        <v>0</v>
      </c>
      <c r="N36" s="229" t="s">
        <v>29</v>
      </c>
      <c r="O36" s="234">
        <f>IF(L36&lt;&gt;"",VLOOKUP($B36,Invulblad!$A$11:$S$103,9,0),"")</f>
        <v>1</v>
      </c>
      <c r="P36" s="235">
        <f t="shared" si="6"/>
        <v>10</v>
      </c>
    </row>
    <row r="37" spans="1:16">
      <c r="A37" s="205">
        <v>27</v>
      </c>
      <c r="B37" s="212">
        <v>21</v>
      </c>
      <c r="C37" s="226">
        <v>40347</v>
      </c>
      <c r="D37" s="227">
        <v>0.5625</v>
      </c>
      <c r="E37" s="228" t="s">
        <v>131</v>
      </c>
      <c r="F37" s="229" t="s">
        <v>29</v>
      </c>
      <c r="G37" s="212" t="s">
        <v>135</v>
      </c>
      <c r="H37" s="229">
        <v>2</v>
      </c>
      <c r="I37" s="229" t="s">
        <v>29</v>
      </c>
      <c r="J37" s="229">
        <v>1</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1</v>
      </c>
      <c r="K38" s="235">
        <f t="shared" si="2"/>
        <v>3</v>
      </c>
      <c r="L38" s="233">
        <f>VLOOKUP($B38,Invulblad!$A$11:$S$103,13,0)</f>
        <v>3</v>
      </c>
      <c r="M38" s="234">
        <f>IF(L38&lt;&gt;"",VLOOKUP($B38,Invulblad!$A$11:$S$103,7,0),"")</f>
        <v>1</v>
      </c>
      <c r="N38" s="229" t="s">
        <v>29</v>
      </c>
      <c r="O38" s="234">
        <f>IF(L38&lt;&gt;"",VLOOKUP($B38,Invulblad!$A$11:$S$103,9,0),"")</f>
        <v>1</v>
      </c>
      <c r="P38" s="235">
        <f t="shared" si="6"/>
        <v>10</v>
      </c>
    </row>
    <row r="39" spans="1:16">
      <c r="A39" s="205">
        <v>29</v>
      </c>
      <c r="B39" s="212">
        <v>39</v>
      </c>
      <c r="C39" s="226">
        <v>40352</v>
      </c>
      <c r="D39" s="227">
        <v>0.85416666666666663</v>
      </c>
      <c r="E39" s="228" t="s">
        <v>136</v>
      </c>
      <c r="F39" s="229" t="s">
        <v>29</v>
      </c>
      <c r="G39" s="212" t="s">
        <v>137</v>
      </c>
      <c r="H39" s="229">
        <v>1</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0</v>
      </c>
      <c r="I40" s="229" t="s">
        <v>29</v>
      </c>
      <c r="J40" s="229">
        <v>3</v>
      </c>
      <c r="K40" s="235">
        <f t="shared" si="2"/>
        <v>2</v>
      </c>
      <c r="L40" s="233" t="str">
        <f>VLOOKUP($B40,Invulblad!$A$11:$S$103,13,0)</f>
        <v>1</v>
      </c>
      <c r="M40" s="234">
        <f>IF(L40&lt;&gt;"",VLOOKUP($B40,Invulblad!$A$11:$S$103,7,0),"")</f>
        <v>2</v>
      </c>
      <c r="N40" s="229" t="s">
        <v>29</v>
      </c>
      <c r="O40" s="234">
        <f>IF(L40&lt;&gt;"",VLOOKUP($B40,Invulblad!$A$11:$S$103,9,0),"")</f>
        <v>1</v>
      </c>
      <c r="P40" s="235">
        <f t="shared" si="6"/>
        <v>0</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0</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10</v>
      </c>
    </row>
    <row r="43" spans="1:16">
      <c r="A43" s="205">
        <v>34</v>
      </c>
      <c r="B43" s="212">
        <v>10</v>
      </c>
      <c r="C43" s="226">
        <v>40343</v>
      </c>
      <c r="D43" s="227">
        <v>0.66666666666666663</v>
      </c>
      <c r="E43" s="228" t="s">
        <v>141</v>
      </c>
      <c r="F43" s="229" t="s">
        <v>29</v>
      </c>
      <c r="G43" s="212" t="s">
        <v>142</v>
      </c>
      <c r="H43" s="229">
        <v>1</v>
      </c>
      <c r="I43" s="229" t="s">
        <v>29</v>
      </c>
      <c r="J43" s="229">
        <v>2</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3</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1</v>
      </c>
      <c r="I45" s="229" t="s">
        <v>29</v>
      </c>
      <c r="J45" s="229">
        <v>2</v>
      </c>
      <c r="K45" s="235">
        <f t="shared" si="2"/>
        <v>2</v>
      </c>
      <c r="L45" s="233">
        <f>VLOOKUP($B45,Invulblad!$A$11:$S$103,13,0)</f>
        <v>2</v>
      </c>
      <c r="M45" s="234">
        <f>IF(L45&lt;&gt;"",VLOOKUP($B45,Invulblad!$A$11:$S$103,7,0),"")</f>
        <v>1</v>
      </c>
      <c r="N45" s="229" t="s">
        <v>29</v>
      </c>
      <c r="O45" s="234">
        <f>IF(L45&lt;&gt;"",VLOOKUP($B45,Invulblad!$A$11:$S$103,9,0),"")</f>
        <v>2</v>
      </c>
      <c r="P45" s="235">
        <f t="shared" si="7"/>
        <v>10</v>
      </c>
    </row>
    <row r="46" spans="1:16">
      <c r="A46" s="205">
        <v>37</v>
      </c>
      <c r="B46" s="212">
        <v>43</v>
      </c>
      <c r="C46" s="226">
        <v>40353</v>
      </c>
      <c r="D46" s="227">
        <v>0.85416666666666663</v>
      </c>
      <c r="E46" s="228" t="s">
        <v>145</v>
      </c>
      <c r="F46" s="229" t="s">
        <v>29</v>
      </c>
      <c r="G46" s="212" t="s">
        <v>143</v>
      </c>
      <c r="H46" s="229">
        <v>2</v>
      </c>
      <c r="I46" s="229" t="s">
        <v>29</v>
      </c>
      <c r="J46" s="229">
        <v>0</v>
      </c>
      <c r="K46" s="235" t="str">
        <f t="shared" ref="K46:K77" si="8">IF(AND(H46="",J46=""),"",IF(OR(H46="",J46=""),"FOUT",IF(H46&gt;J46,"1",IF(H46=J46,3,2))))</f>
        <v>1</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1</v>
      </c>
      <c r="I50" s="229" t="s">
        <v>29</v>
      </c>
      <c r="J50" s="229">
        <v>2</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0</v>
      </c>
      <c r="K51" s="235" t="str">
        <f t="shared" si="8"/>
        <v>1</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3</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3</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5</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3</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10</v>
      </c>
    </row>
    <row r="59" spans="1:16">
      <c r="A59" s="205">
        <v>52</v>
      </c>
      <c r="B59" s="212">
        <v>30</v>
      </c>
      <c r="C59" s="226">
        <v>40350</v>
      </c>
      <c r="D59" s="227">
        <v>0.5625</v>
      </c>
      <c r="E59" s="228" t="s">
        <v>160</v>
      </c>
      <c r="F59" s="229" t="s">
        <v>29</v>
      </c>
      <c r="G59" s="212" t="s">
        <v>158</v>
      </c>
      <c r="H59" s="229">
        <v>2</v>
      </c>
      <c r="I59" s="229" t="s">
        <v>29</v>
      </c>
      <c r="J59" s="229">
        <v>0</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2</v>
      </c>
      <c r="K60" s="235">
        <f t="shared" si="8"/>
        <v>2</v>
      </c>
      <c r="L60" s="233">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1</v>
      </c>
      <c r="I61" s="229" t="s">
        <v>29</v>
      </c>
      <c r="J61" s="229">
        <v>1</v>
      </c>
      <c r="K61" s="235">
        <f t="shared" si="8"/>
        <v>3</v>
      </c>
      <c r="L61" s="233">
        <f>VLOOKUP($B61,Invulblad!$A$11:$S$103,13,0)</f>
        <v>2</v>
      </c>
      <c r="M61" s="234">
        <f>IF(L61&lt;&gt;"",VLOOKUP($B61,Invulblad!$A$11:$S$103,7,0),"")</f>
        <v>0</v>
      </c>
      <c r="N61" s="229" t="s">
        <v>29</v>
      </c>
      <c r="O61" s="234">
        <f>IF(L61&lt;&gt;"",VLOOKUP($B61,Invulblad!$A$11:$S$103,9,0),"")</f>
        <v>3</v>
      </c>
      <c r="P61" s="235">
        <f t="shared" si="10"/>
        <v>0</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1</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10</v>
      </c>
    </row>
    <row r="64" spans="1:16">
      <c r="A64" s="205">
        <v>58</v>
      </c>
      <c r="B64" s="212">
        <v>16</v>
      </c>
      <c r="C64" s="226">
        <v>40345</v>
      </c>
      <c r="D64" s="227">
        <v>0.66666666666666663</v>
      </c>
      <c r="E64" s="228" t="s">
        <v>165</v>
      </c>
      <c r="F64" s="229" t="s">
        <v>29</v>
      </c>
      <c r="G64" s="212" t="s">
        <v>166</v>
      </c>
      <c r="H64" s="229">
        <v>2</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1</v>
      </c>
      <c r="I65" s="229" t="s">
        <v>29</v>
      </c>
      <c r="J65" s="229">
        <v>2</v>
      </c>
      <c r="K65" s="235">
        <f t="shared" si="8"/>
        <v>2</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4</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4</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2</v>
      </c>
      <c r="I68" s="229" t="s">
        <v>29</v>
      </c>
      <c r="J68" s="229">
        <v>1</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107</v>
      </c>
      <c r="F70" s="229" t="s">
        <v>29</v>
      </c>
      <c r="G70" s="212" t="s">
        <v>118</v>
      </c>
      <c r="H70" s="229">
        <v>2</v>
      </c>
      <c r="I70" s="229" t="s">
        <v>29</v>
      </c>
      <c r="J70" s="229">
        <v>1</v>
      </c>
      <c r="K70" s="235" t="str">
        <f t="shared" si="8"/>
        <v>1</v>
      </c>
      <c r="L70" s="233" t="str">
        <f>VLOOKUP($B70,Invulblad!$A$11:$S$103,13,0)</f>
        <v>1</v>
      </c>
      <c r="M70" s="234">
        <f>IF(L70&lt;&gt;"",VLOOKUP($B70,Invulblad!$A$11:$S$103,7,0),"")</f>
        <v>2</v>
      </c>
      <c r="N70" s="229" t="s">
        <v>29</v>
      </c>
      <c r="O70" s="234">
        <f>IF(L70&lt;&gt;"",VLOOKUP($B70,Invulblad!$A$11:$S$103,9,0),"")</f>
        <v>1</v>
      </c>
      <c r="P70" s="235">
        <f t="shared" ref="P70:P77" si="12">IF(L70&lt;&gt;"",IF(AND(M70=H70,O70=J70),10,IF(K70=L70,5,0)),"")</f>
        <v>10</v>
      </c>
    </row>
    <row r="71" spans="1:16">
      <c r="A71" s="205">
        <v>66</v>
      </c>
      <c r="B71" s="212">
        <v>50</v>
      </c>
      <c r="C71" s="226">
        <v>40355</v>
      </c>
      <c r="D71" s="227">
        <v>0.85416666666666663</v>
      </c>
      <c r="E71" s="223" t="s">
        <v>124</v>
      </c>
      <c r="F71" s="229" t="s">
        <v>29</v>
      </c>
      <c r="G71" s="212" t="s">
        <v>244</v>
      </c>
      <c r="H71" s="229">
        <v>2</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126</v>
      </c>
      <c r="H72" s="229">
        <v>2</v>
      </c>
      <c r="I72" s="229" t="s">
        <v>29</v>
      </c>
      <c r="J72" s="229">
        <v>1</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205</v>
      </c>
      <c r="H73" s="229">
        <v>3</v>
      </c>
      <c r="I73" s="229" t="s">
        <v>29</v>
      </c>
      <c r="J73" s="229">
        <v>1</v>
      </c>
      <c r="K73" s="235" t="str">
        <f t="shared" si="8"/>
        <v>1</v>
      </c>
      <c r="L73" s="233" t="str">
        <f>VLOOKUP($B73,Invulblad!$A$11:$S$103,13,0)</f>
        <v>1</v>
      </c>
      <c r="M73" s="234">
        <f>IF(L73&lt;&gt;"",VLOOKUP($B73,Invulblad!$A$11:$S$103,7,0),"")</f>
        <v>3</v>
      </c>
      <c r="N73" s="229" t="s">
        <v>29</v>
      </c>
      <c r="O73" s="234">
        <f>IF(L73&lt;&gt;"",VLOOKUP($B73,Invulblad!$A$11:$S$103,9,0),"")</f>
        <v>1</v>
      </c>
      <c r="P73" s="235">
        <f t="shared" si="12"/>
        <v>10</v>
      </c>
    </row>
    <row r="74" spans="1:16">
      <c r="A74" s="205">
        <v>69</v>
      </c>
      <c r="B74" s="212">
        <v>53</v>
      </c>
      <c r="C74" s="226">
        <v>40357</v>
      </c>
      <c r="D74" s="227">
        <v>0.66666666666666663</v>
      </c>
      <c r="E74" s="223" t="s">
        <v>178</v>
      </c>
      <c r="F74" s="229" t="s">
        <v>29</v>
      </c>
      <c r="G74" s="212" t="s">
        <v>260</v>
      </c>
      <c r="H74" s="229">
        <v>4</v>
      </c>
      <c r="I74" s="229" t="s">
        <v>29</v>
      </c>
      <c r="J74" s="229">
        <v>0</v>
      </c>
      <c r="K74" s="235" t="str">
        <f t="shared" si="8"/>
        <v>1</v>
      </c>
      <c r="L74" s="233"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276</v>
      </c>
      <c r="H75" s="229">
        <v>1</v>
      </c>
      <c r="I75" s="229" t="s">
        <v>29</v>
      </c>
      <c r="J75" s="229">
        <v>1</v>
      </c>
      <c r="K75" s="235">
        <f t="shared" si="8"/>
        <v>3</v>
      </c>
      <c r="L75" s="233" t="str">
        <f>VLOOKUP($B75,Invulblad!$A$11:$S$103,13,0)</f>
        <v>1</v>
      </c>
      <c r="M75" s="234">
        <f>IF(L75&lt;&gt;"",VLOOKUP($B75,Invulblad!$A$11:$S$103,7,0),"")</f>
        <v>3</v>
      </c>
      <c r="N75" s="229" t="s">
        <v>29</v>
      </c>
      <c r="O75" s="234">
        <f>IF(L75&lt;&gt;"",VLOOKUP($B75,Invulblad!$A$11:$S$103,9,0),"")</f>
        <v>0</v>
      </c>
      <c r="P75" s="235">
        <f t="shared" si="12"/>
        <v>0</v>
      </c>
    </row>
    <row r="76" spans="1:16">
      <c r="A76" s="205">
        <v>71</v>
      </c>
      <c r="B76" s="212">
        <v>55</v>
      </c>
      <c r="C76" s="226">
        <v>40358</v>
      </c>
      <c r="D76" s="227">
        <v>0.66666666666666663</v>
      </c>
      <c r="E76" s="223" t="s">
        <v>257</v>
      </c>
      <c r="F76" s="229" t="s">
        <v>29</v>
      </c>
      <c r="G76" s="212" t="s">
        <v>250</v>
      </c>
      <c r="H76" s="229">
        <v>2</v>
      </c>
      <c r="I76" s="229" t="s">
        <v>29</v>
      </c>
      <c r="J76" s="229">
        <v>1</v>
      </c>
      <c r="K76" s="235" t="str">
        <f t="shared" si="8"/>
        <v>1</v>
      </c>
      <c r="L76" s="233">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268</v>
      </c>
      <c r="H77" s="229">
        <v>3</v>
      </c>
      <c r="I77" s="229" t="s">
        <v>29</v>
      </c>
      <c r="J77" s="229">
        <v>0</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3" t="s">
        <v>178</v>
      </c>
      <c r="F79" s="229" t="s">
        <v>29</v>
      </c>
      <c r="G79" s="212" t="s">
        <v>265</v>
      </c>
      <c r="H79" s="229">
        <v>2</v>
      </c>
      <c r="I79" s="229" t="s">
        <v>29</v>
      </c>
      <c r="J79" s="229">
        <v>2</v>
      </c>
      <c r="K79" s="235">
        <f t="shared" si="13"/>
        <v>3</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3" t="s">
        <v>107</v>
      </c>
      <c r="F80" s="229" t="s">
        <v>29</v>
      </c>
      <c r="G80" s="212" t="s">
        <v>124</v>
      </c>
      <c r="H80" s="229">
        <v>2</v>
      </c>
      <c r="I80" s="229" t="s">
        <v>29</v>
      </c>
      <c r="J80" s="229">
        <v>1</v>
      </c>
      <c r="K80" s="235" t="str">
        <f t="shared" si="13"/>
        <v>1</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0</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257</v>
      </c>
      <c r="F82" s="229" t="s">
        <v>29</v>
      </c>
      <c r="G82" s="222" t="s">
        <v>200</v>
      </c>
      <c r="H82" s="229">
        <v>0</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107</v>
      </c>
      <c r="F84" s="229" t="s">
        <v>29</v>
      </c>
      <c r="G84" s="222" t="s">
        <v>178</v>
      </c>
      <c r="H84" s="229">
        <v>1</v>
      </c>
      <c r="I84" s="229" t="s">
        <v>29</v>
      </c>
      <c r="J84" s="229">
        <v>3</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116</v>
      </c>
      <c r="F85" s="229" t="s">
        <v>29</v>
      </c>
      <c r="G85" s="212" t="s">
        <v>200</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107</v>
      </c>
      <c r="F87" s="229" t="s">
        <v>29</v>
      </c>
      <c r="G87" s="222" t="s">
        <v>200</v>
      </c>
      <c r="H87" s="229">
        <v>1</v>
      </c>
      <c r="I87" s="229" t="s">
        <v>29</v>
      </c>
      <c r="J87" s="229">
        <v>3</v>
      </c>
      <c r="K87" s="235">
        <f t="shared" si="13"/>
        <v>2</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3" t="s">
        <v>178</v>
      </c>
      <c r="F89" s="229" t="s">
        <v>29</v>
      </c>
      <c r="G89" s="212" t="s">
        <v>116</v>
      </c>
      <c r="H89" s="229">
        <v>4</v>
      </c>
      <c r="I89" s="229" t="s">
        <v>29</v>
      </c>
      <c r="J89" s="229">
        <v>3</v>
      </c>
      <c r="K89" s="235" t="str">
        <f t="shared" si="13"/>
        <v>1</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107</v>
      </c>
      <c r="M94" s="234"/>
      <c r="N94" s="229"/>
      <c r="O94" s="234"/>
    </row>
    <row r="95" spans="1:16">
      <c r="A95" s="205" t="s">
        <v>74</v>
      </c>
      <c r="B95" s="206" t="s">
        <v>204</v>
      </c>
      <c r="C95" s="206" t="s">
        <v>203</v>
      </c>
      <c r="D95" s="218" t="s">
        <v>205</v>
      </c>
    </row>
    <row r="98" spans="2:5">
      <c r="B98" s="218" t="s">
        <v>206</v>
      </c>
    </row>
    <row r="100" spans="2:5">
      <c r="B100" s="240" t="s">
        <v>207</v>
      </c>
      <c r="C100" s="240" t="s">
        <v>208</v>
      </c>
      <c r="D100" s="240" t="s">
        <v>209</v>
      </c>
      <c r="E100" s="240" t="s">
        <v>210</v>
      </c>
    </row>
    <row r="101" spans="2:5">
      <c r="B101" s="241" t="s">
        <v>205</v>
      </c>
      <c r="C101" s="241" t="s">
        <v>217</v>
      </c>
      <c r="D101" s="241" t="s">
        <v>218</v>
      </c>
      <c r="E101" s="241" t="s">
        <v>211</v>
      </c>
    </row>
    <row r="102" spans="2:5">
      <c r="B102" s="242" t="s">
        <v>214</v>
      </c>
      <c r="C102" s="242" t="s">
        <v>218</v>
      </c>
      <c r="D102" s="242" t="s">
        <v>227</v>
      </c>
      <c r="E102" s="242" t="s">
        <v>213</v>
      </c>
    </row>
    <row r="103" spans="2:5">
      <c r="B103" s="241" t="s">
        <v>109</v>
      </c>
      <c r="C103" s="241" t="s">
        <v>213</v>
      </c>
      <c r="D103" s="241" t="s">
        <v>212</v>
      </c>
      <c r="E103" s="241" t="s">
        <v>215</v>
      </c>
    </row>
    <row r="104" spans="2:5">
      <c r="B104" s="242" t="s">
        <v>107</v>
      </c>
      <c r="C104" s="242" t="s">
        <v>217</v>
      </c>
      <c r="D104" s="242" t="s">
        <v>218</v>
      </c>
      <c r="E104" s="242" t="s">
        <v>217</v>
      </c>
    </row>
    <row r="107" spans="2:5">
      <c r="B107" s="218" t="s">
        <v>219</v>
      </c>
    </row>
    <row r="108" spans="2:5">
      <c r="B108" s="212"/>
    </row>
    <row r="109" spans="2:5">
      <c r="B109" s="212" t="s">
        <v>310</v>
      </c>
    </row>
    <row r="110" spans="2:5">
      <c r="B110" s="212"/>
    </row>
    <row r="113" spans="1:15">
      <c r="B113" s="243"/>
      <c r="C113" s="243"/>
      <c r="D113" s="243"/>
      <c r="E113" s="243"/>
      <c r="F113" s="243"/>
      <c r="G113" s="243"/>
      <c r="H113" s="243"/>
      <c r="I113" s="243"/>
      <c r="J113" s="243"/>
    </row>
    <row r="114" spans="1:15">
      <c r="K114" s="243"/>
      <c r="L114" s="244"/>
      <c r="M114" s="243"/>
      <c r="N114" s="243"/>
      <c r="O114" s="243"/>
    </row>
    <row r="116" spans="1:15">
      <c r="A116" s="206"/>
      <c r="B116" s="218" t="s">
        <v>222</v>
      </c>
    </row>
    <row r="118" spans="1:15">
      <c r="A118" s="205" t="s">
        <v>75</v>
      </c>
      <c r="B118" s="206" t="s">
        <v>202</v>
      </c>
      <c r="C118" s="206" t="s">
        <v>203</v>
      </c>
      <c r="D118" s="218" t="s">
        <v>116</v>
      </c>
    </row>
    <row r="119" spans="1:15">
      <c r="A119" s="252" t="s">
        <v>76</v>
      </c>
      <c r="B119" s="206" t="s">
        <v>204</v>
      </c>
      <c r="C119" s="206" t="s">
        <v>203</v>
      </c>
      <c r="D119" s="218" t="s">
        <v>118</v>
      </c>
    </row>
    <row r="122" spans="1:15">
      <c r="B122" s="218" t="s">
        <v>223</v>
      </c>
    </row>
    <row r="124" spans="1:15">
      <c r="B124" s="240" t="s">
        <v>207</v>
      </c>
      <c r="C124" s="240" t="s">
        <v>208</v>
      </c>
      <c r="D124" s="240" t="s">
        <v>209</v>
      </c>
      <c r="E124" s="240" t="s">
        <v>210</v>
      </c>
    </row>
    <row r="125" spans="1:15">
      <c r="B125" s="241" t="s">
        <v>120</v>
      </c>
      <c r="C125" s="241" t="s">
        <v>213</v>
      </c>
      <c r="D125" s="241" t="s">
        <v>233</v>
      </c>
      <c r="E125" s="241" t="s">
        <v>213</v>
      </c>
    </row>
    <row r="126" spans="1:15">
      <c r="B126" s="242" t="s">
        <v>116</v>
      </c>
      <c r="C126" s="242" t="s">
        <v>225</v>
      </c>
      <c r="D126" s="242" t="s">
        <v>234</v>
      </c>
      <c r="E126" s="242" t="s">
        <v>225</v>
      </c>
    </row>
    <row r="127" spans="1:15">
      <c r="B127" s="241" t="s">
        <v>122</v>
      </c>
      <c r="C127" s="241" t="s">
        <v>212</v>
      </c>
      <c r="D127" s="241" t="s">
        <v>224</v>
      </c>
      <c r="E127" s="241" t="s">
        <v>218</v>
      </c>
    </row>
    <row r="128" spans="1:15">
      <c r="B128" s="242" t="s">
        <v>118</v>
      </c>
      <c r="C128" s="242" t="s">
        <v>226</v>
      </c>
      <c r="D128" s="242" t="s">
        <v>218</v>
      </c>
      <c r="E128" s="242" t="s">
        <v>217</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126</v>
      </c>
    </row>
    <row r="146" spans="2:5">
      <c r="B146" s="218" t="s">
        <v>232</v>
      </c>
    </row>
    <row r="148" spans="2:5">
      <c r="B148" s="240" t="s">
        <v>207</v>
      </c>
      <c r="C148" s="240" t="s">
        <v>208</v>
      </c>
      <c r="D148" s="240" t="s">
        <v>209</v>
      </c>
      <c r="E148" s="240" t="s">
        <v>210</v>
      </c>
    </row>
    <row r="149" spans="2:5">
      <c r="B149" s="241" t="s">
        <v>126</v>
      </c>
      <c r="C149" s="241" t="s">
        <v>234</v>
      </c>
      <c r="D149" s="241" t="s">
        <v>215</v>
      </c>
      <c r="E149" s="241" t="s">
        <v>211</v>
      </c>
    </row>
    <row r="150" spans="2:5">
      <c r="B150" s="242" t="s">
        <v>124</v>
      </c>
      <c r="C150" s="242" t="s">
        <v>234</v>
      </c>
      <c r="D150" s="242" t="s">
        <v>217</v>
      </c>
      <c r="E150" s="242" t="s">
        <v>226</v>
      </c>
    </row>
    <row r="151" spans="2:5">
      <c r="B151" s="241" t="s">
        <v>128</v>
      </c>
      <c r="C151" s="241" t="s">
        <v>213</v>
      </c>
      <c r="D151" s="241" t="s">
        <v>233</v>
      </c>
      <c r="E151" s="241" t="s">
        <v>215</v>
      </c>
    </row>
    <row r="152" spans="2:5">
      <c r="B152" s="242" t="s">
        <v>32</v>
      </c>
      <c r="C152" s="242" t="s">
        <v>212</v>
      </c>
      <c r="D152" s="242" t="s">
        <v>243</v>
      </c>
      <c r="E152" s="242" t="s">
        <v>215</v>
      </c>
    </row>
    <row r="155" spans="2:5">
      <c r="B155" s="218" t="s">
        <v>235</v>
      </c>
    </row>
    <row r="156" spans="2:5">
      <c r="B156" s="212"/>
    </row>
    <row r="157" spans="2:5">
      <c r="B157" s="212" t="s">
        <v>311</v>
      </c>
    </row>
    <row r="158" spans="2:5">
      <c r="B158" s="212"/>
    </row>
    <row r="161" spans="1:15">
      <c r="B161" s="243"/>
      <c r="C161" s="243"/>
      <c r="D161" s="243"/>
      <c r="E161" s="243"/>
      <c r="F161" s="243"/>
      <c r="G161" s="243"/>
      <c r="H161" s="243"/>
      <c r="I161" s="243"/>
      <c r="J161" s="243"/>
    </row>
    <row r="163" spans="1:15">
      <c r="K163" s="243"/>
      <c r="L163" s="244"/>
      <c r="M163" s="243"/>
      <c r="N163" s="243"/>
      <c r="O163"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244</v>
      </c>
    </row>
    <row r="170" spans="1:15">
      <c r="B170" s="218" t="s">
        <v>241</v>
      </c>
    </row>
    <row r="172" spans="1:15">
      <c r="B172" s="240" t="s">
        <v>207</v>
      </c>
      <c r="C172" s="240" t="s">
        <v>208</v>
      </c>
      <c r="D172" s="240" t="s">
        <v>209</v>
      </c>
      <c r="E172" s="240" t="s">
        <v>210</v>
      </c>
    </row>
    <row r="173" spans="1:15">
      <c r="B173" s="241" t="s">
        <v>239</v>
      </c>
      <c r="C173" s="241" t="s">
        <v>225</v>
      </c>
      <c r="D173" s="241" t="s">
        <v>211</v>
      </c>
      <c r="E173" s="241" t="s">
        <v>226</v>
      </c>
    </row>
    <row r="174" spans="1:15">
      <c r="B174" s="242" t="s">
        <v>242</v>
      </c>
      <c r="C174" s="242" t="s">
        <v>218</v>
      </c>
      <c r="D174" s="242" t="s">
        <v>224</v>
      </c>
      <c r="E174" s="242" t="s">
        <v>218</v>
      </c>
    </row>
    <row r="175" spans="1:15">
      <c r="B175" s="241" t="s">
        <v>244</v>
      </c>
      <c r="C175" s="241" t="s">
        <v>211</v>
      </c>
      <c r="D175" s="241" t="s">
        <v>212</v>
      </c>
      <c r="E175" s="241" t="s">
        <v>213</v>
      </c>
    </row>
    <row r="176" spans="1:15">
      <c r="B176" s="242" t="s">
        <v>240</v>
      </c>
      <c r="C176" s="242" t="s">
        <v>213</v>
      </c>
      <c r="D176" s="242" t="s">
        <v>218</v>
      </c>
      <c r="E176" s="242" t="s">
        <v>211</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row>
    <row r="186" spans="1:15">
      <c r="K186" s="243"/>
      <c r="L186" s="244"/>
      <c r="M186" s="243"/>
      <c r="N186" s="243"/>
      <c r="O186"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5">
      <c r="B194" s="218" t="s">
        <v>249</v>
      </c>
    </row>
    <row r="196" spans="2:5">
      <c r="B196" s="240" t="s">
        <v>207</v>
      </c>
      <c r="C196" s="240" t="s">
        <v>208</v>
      </c>
      <c r="D196" s="240" t="s">
        <v>209</v>
      </c>
      <c r="E196" s="240" t="s">
        <v>210</v>
      </c>
    </row>
    <row r="197" spans="2:5">
      <c r="B197" s="241" t="s">
        <v>178</v>
      </c>
      <c r="C197" s="241" t="s">
        <v>225</v>
      </c>
      <c r="D197" s="241" t="s">
        <v>226</v>
      </c>
      <c r="E197" s="241" t="s">
        <v>234</v>
      </c>
    </row>
    <row r="198" spans="2:5">
      <c r="B198" s="242" t="s">
        <v>250</v>
      </c>
      <c r="C198" s="242" t="s">
        <v>226</v>
      </c>
      <c r="D198" s="242" t="s">
        <v>218</v>
      </c>
      <c r="E198" s="242" t="s">
        <v>211</v>
      </c>
    </row>
    <row r="199" spans="2:5">
      <c r="B199" s="241" t="s">
        <v>251</v>
      </c>
      <c r="C199" s="241" t="s">
        <v>212</v>
      </c>
      <c r="D199" s="241" t="s">
        <v>314</v>
      </c>
      <c r="E199" s="241" t="s">
        <v>218</v>
      </c>
    </row>
    <row r="200" spans="2:5">
      <c r="B200" s="242" t="s">
        <v>248</v>
      </c>
      <c r="C200" s="242" t="s">
        <v>213</v>
      </c>
      <c r="D200" s="242" t="s">
        <v>216</v>
      </c>
      <c r="E200" s="242" t="s">
        <v>211</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row>
    <row r="210" spans="1:15">
      <c r="K210" s="243"/>
      <c r="L210" s="244"/>
      <c r="M210" s="243"/>
      <c r="N210" s="243"/>
      <c r="O210" s="243"/>
    </row>
    <row r="212" spans="1:15">
      <c r="B212" s="218" t="s">
        <v>256</v>
      </c>
    </row>
    <row r="214" spans="1:15">
      <c r="A214" s="205" t="s">
        <v>83</v>
      </c>
      <c r="B214" s="206" t="s">
        <v>202</v>
      </c>
      <c r="C214" s="206" t="s">
        <v>203</v>
      </c>
      <c r="D214" s="218" t="s">
        <v>257</v>
      </c>
    </row>
    <row r="215" spans="1:15">
      <c r="A215" s="205" t="s">
        <v>84</v>
      </c>
      <c r="B215" s="206" t="s">
        <v>204</v>
      </c>
      <c r="C215" s="206" t="s">
        <v>203</v>
      </c>
      <c r="D215" s="218" t="s">
        <v>260</v>
      </c>
    </row>
    <row r="218" spans="1:15">
      <c r="B218" s="218" t="s">
        <v>258</v>
      </c>
    </row>
    <row r="220" spans="1:15">
      <c r="B220" s="240" t="s">
        <v>207</v>
      </c>
      <c r="C220" s="240" t="s">
        <v>208</v>
      </c>
      <c r="D220" s="240" t="s">
        <v>209</v>
      </c>
      <c r="E220" s="240" t="s">
        <v>210</v>
      </c>
    </row>
    <row r="221" spans="1:15">
      <c r="B221" s="241" t="s">
        <v>257</v>
      </c>
      <c r="C221" s="241" t="s">
        <v>234</v>
      </c>
      <c r="D221" s="241" t="s">
        <v>211</v>
      </c>
      <c r="E221" s="241" t="s">
        <v>217</v>
      </c>
    </row>
    <row r="222" spans="1:15">
      <c r="B222" s="242" t="s">
        <v>259</v>
      </c>
      <c r="C222" s="242" t="s">
        <v>212</v>
      </c>
      <c r="D222" s="242" t="s">
        <v>224</v>
      </c>
      <c r="E222" s="242" t="s">
        <v>218</v>
      </c>
    </row>
    <row r="223" spans="1:15">
      <c r="B223" s="241" t="s">
        <v>182</v>
      </c>
      <c r="C223" s="241" t="s">
        <v>213</v>
      </c>
      <c r="D223" s="241" t="s">
        <v>216</v>
      </c>
      <c r="E223" s="241" t="s">
        <v>218</v>
      </c>
    </row>
    <row r="224" spans="1:15">
      <c r="B224" s="242" t="s">
        <v>260</v>
      </c>
      <c r="C224" s="242" t="s">
        <v>234</v>
      </c>
      <c r="D224" s="242" t="s">
        <v>215</v>
      </c>
      <c r="E224" s="242" t="s">
        <v>211</v>
      </c>
    </row>
    <row r="227" spans="1:15">
      <c r="B227" s="218" t="s">
        <v>261</v>
      </c>
    </row>
    <row r="228" spans="1:15">
      <c r="B228" s="212"/>
    </row>
    <row r="229" spans="1:15">
      <c r="B229" s="212" t="s">
        <v>315</v>
      </c>
    </row>
    <row r="230" spans="1:15">
      <c r="B230" s="212"/>
    </row>
    <row r="233" spans="1:15">
      <c r="B233" s="243"/>
      <c r="C233" s="243"/>
      <c r="D233" s="243"/>
      <c r="E233" s="243"/>
      <c r="F233" s="243"/>
      <c r="G233" s="243"/>
      <c r="H233" s="243"/>
      <c r="I233" s="243"/>
      <c r="J233" s="243"/>
    </row>
    <row r="235" spans="1:15">
      <c r="K235" s="243"/>
      <c r="L235" s="244"/>
      <c r="M235" s="243"/>
      <c r="N235" s="243"/>
      <c r="O235"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226</v>
      </c>
      <c r="D245" s="241" t="s">
        <v>213</v>
      </c>
      <c r="E245" s="241" t="s">
        <v>226</v>
      </c>
    </row>
    <row r="246" spans="2:10">
      <c r="B246" s="242" t="s">
        <v>265</v>
      </c>
      <c r="C246" s="242" t="s">
        <v>225</v>
      </c>
      <c r="D246" s="242" t="s">
        <v>316</v>
      </c>
      <c r="E246" s="242" t="s">
        <v>317</v>
      </c>
    </row>
    <row r="247" spans="2:10">
      <c r="B247" s="241" t="s">
        <v>266</v>
      </c>
      <c r="C247" s="241" t="s">
        <v>218</v>
      </c>
      <c r="D247" s="241" t="s">
        <v>243</v>
      </c>
      <c r="E247" s="241" t="s">
        <v>213</v>
      </c>
    </row>
    <row r="248" spans="2:10">
      <c r="B248" s="242" t="s">
        <v>269</v>
      </c>
      <c r="C248" s="242" t="s">
        <v>218</v>
      </c>
      <c r="D248" s="242" t="s">
        <v>252</v>
      </c>
      <c r="E248" s="242" t="s">
        <v>218</v>
      </c>
    </row>
    <row r="251" spans="2:10">
      <c r="B251" s="218" t="s">
        <v>270</v>
      </c>
    </row>
    <row r="252" spans="2:10">
      <c r="B252" s="212"/>
    </row>
    <row r="253" spans="2:10">
      <c r="B253" s="212" t="s">
        <v>271</v>
      </c>
    </row>
    <row r="254" spans="2:10">
      <c r="B254" s="212" t="s">
        <v>272</v>
      </c>
    </row>
    <row r="256" spans="2:10">
      <c r="B256" s="243"/>
      <c r="C256" s="243"/>
      <c r="D256" s="243"/>
      <c r="E256" s="243"/>
      <c r="F256" s="243"/>
      <c r="G256" s="243"/>
      <c r="H256" s="243"/>
      <c r="I256" s="243"/>
      <c r="J256" s="243"/>
    </row>
    <row r="258" spans="1:15">
      <c r="K258" s="243"/>
      <c r="L258" s="244"/>
      <c r="M258" s="243"/>
      <c r="N258" s="243"/>
      <c r="O258"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276</v>
      </c>
    </row>
    <row r="263" spans="1:15">
      <c r="A263" s="205" t="s">
        <v>87</v>
      </c>
    </row>
    <row r="264" spans="1:15">
      <c r="A264" s="205" t="s">
        <v>88</v>
      </c>
    </row>
    <row r="265" spans="1:15">
      <c r="B265" s="218" t="s">
        <v>275</v>
      </c>
    </row>
    <row r="267" spans="1:15">
      <c r="B267" s="240" t="s">
        <v>207</v>
      </c>
      <c r="C267" s="240" t="s">
        <v>208</v>
      </c>
      <c r="D267" s="240" t="s">
        <v>209</v>
      </c>
      <c r="E267" s="240" t="s">
        <v>210</v>
      </c>
    </row>
    <row r="268" spans="1:15">
      <c r="B268" s="241" t="s">
        <v>274</v>
      </c>
      <c r="C268" s="241" t="s">
        <v>213</v>
      </c>
      <c r="D268" s="241" t="s">
        <v>243</v>
      </c>
      <c r="E268" s="241" t="s">
        <v>215</v>
      </c>
    </row>
    <row r="269" spans="1:15">
      <c r="B269" s="242" t="s">
        <v>200</v>
      </c>
      <c r="C269" s="242" t="s">
        <v>225</v>
      </c>
      <c r="D269" s="242" t="s">
        <v>225</v>
      </c>
      <c r="E269" s="242" t="s">
        <v>317</v>
      </c>
    </row>
    <row r="270" spans="1:15">
      <c r="B270" s="241" t="s">
        <v>276</v>
      </c>
      <c r="C270" s="241" t="s">
        <v>226</v>
      </c>
      <c r="D270" s="241" t="s">
        <v>218</v>
      </c>
      <c r="E270" s="241" t="s">
        <v>217</v>
      </c>
    </row>
    <row r="271" spans="1:15">
      <c r="B271" s="242" t="s">
        <v>277</v>
      </c>
      <c r="C271" s="242" t="s">
        <v>212</v>
      </c>
      <c r="D271" s="242" t="s">
        <v>314</v>
      </c>
      <c r="E271" s="242" t="s">
        <v>218</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row>
    <row r="282" spans="2:15">
      <c r="K282" s="243"/>
      <c r="L282" s="244"/>
      <c r="M282" s="243"/>
      <c r="N282" s="243"/>
      <c r="O282"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5.5703125" style="253" customWidth="1"/>
    <col min="12" max="12" width="3.28515625" style="254" customWidth="1"/>
    <col min="13" max="13" width="3.7109375" style="206" customWidth="1"/>
    <col min="14" max="14" width="2" style="206" customWidth="1"/>
    <col min="15" max="15" width="3.42578125" style="206" customWidth="1"/>
    <col min="16" max="16" width="7.42578125" style="206" customWidth="1"/>
    <col min="17" max="16384" width="9.140625" style="206"/>
  </cols>
  <sheetData>
    <row r="1" spans="1:17" s="210" customFormat="1" ht="21">
      <c r="A1" s="208"/>
      <c r="B1" s="209" t="s">
        <v>329</v>
      </c>
      <c r="K1" s="255"/>
      <c r="L1" s="256"/>
      <c r="P1" s="210">
        <f>SUM(P14:P89)+E11+H11+L7+L11</f>
        <v>435</v>
      </c>
    </row>
    <row r="2" spans="1:17" s="212" customFormat="1" ht="15" customHeight="1">
      <c r="B2" s="213" t="s">
        <v>97</v>
      </c>
      <c r="G2" s="213" t="s">
        <v>98</v>
      </c>
      <c r="J2" s="213" t="s">
        <v>99</v>
      </c>
      <c r="K2" s="257"/>
      <c r="L2" s="258"/>
    </row>
    <row r="3" spans="1:17" s="212" customFormat="1" ht="15" customHeight="1">
      <c r="B3" s="212" t="str">
        <f t="shared" ref="B3:B10" si="0">E70</f>
        <v>Frankrijk</v>
      </c>
      <c r="C3" s="247">
        <f>IF(AND(ISNA(MATCH(B3,Invulblad!$F$76:$F$83,0)),ISNA(MATCH(B3,Invulblad!$J$76:$J$83,0))),0,10)</f>
        <v>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USA</v>
      </c>
      <c r="K3" s="257"/>
      <c r="L3" s="247">
        <f>IF(AND(ISNA(MATCH(J3,Invulblad!$F$94:$F$95,0)),ISNA(MATCH(J3,Invulblad!$J$94:$J$95,0))),0,20+25)</f>
        <v>0</v>
      </c>
      <c r="Q3" s="248"/>
    </row>
    <row r="4" spans="1:17" s="212" customFormat="1" ht="15" customHeight="1">
      <c r="B4" s="212" t="str">
        <f t="shared" si="0"/>
        <v>USA</v>
      </c>
      <c r="C4" s="247">
        <f>IF(AND(ISNA(MATCH(B4,Invulblad!$F$76:$F$83,0)),ISNA(MATCH(B4,Invulblad!$J$76:$J$83,0))),0,10)</f>
        <v>10</v>
      </c>
      <c r="D4" s="212" t="str">
        <f t="shared" si="1"/>
        <v>Ghana</v>
      </c>
      <c r="E4" s="247">
        <f>IF(AND(ISNA(MATCH(D4,Invulblad!$F$76:$F$83,0)),ISNA(MATCH(D4,Invulblad!$J$76:$J$83,0))),0,10)</f>
        <v>10</v>
      </c>
      <c r="G4" s="212" t="str">
        <f>E80</f>
        <v>Frankrijk</v>
      </c>
      <c r="H4" s="247">
        <f>IF(AND(ISNA(MATCH(G4,Invulblad!$F$87:$F$90,0)),ISNA(MATCH(G4,Invulblad!$J$87:$J$90,0))),0,15)</f>
        <v>0</v>
      </c>
      <c r="J4" s="212" t="str">
        <f>E85</f>
        <v>Argentinië</v>
      </c>
      <c r="K4" s="257"/>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Engeland</v>
      </c>
      <c r="E5" s="247">
        <f>IF(AND(ISNA(MATCH(D5,Invulblad!$F$76:$F$83,0)),ISNA(MATCH(D5,Invulblad!$J$76:$J$83,0))),0,10)</f>
        <v>10</v>
      </c>
      <c r="G5" s="212" t="str">
        <f>E81</f>
        <v>Argentinië</v>
      </c>
      <c r="H5" s="247">
        <f>IF(AND(ISNA(MATCH(G5,Invulblad!$F$87:$F$90,0)),ISNA(MATCH(G5,Invulblad!$J$87:$J$90,0))),0,15)</f>
        <v>15</v>
      </c>
      <c r="J5" s="212" t="str">
        <f>G84</f>
        <v>Brazilië</v>
      </c>
      <c r="K5" s="257"/>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Kameroen</v>
      </c>
      <c r="H6" s="247">
        <f>IF(AND(ISNA(MATCH(G6,Invulblad!$F$87:$F$90,0)),ISNA(MATCH(G6,Invulblad!$J$87:$J$90,0))),0,15)</f>
        <v>0</v>
      </c>
      <c r="J6" s="212" t="str">
        <f>G85</f>
        <v>Spanje</v>
      </c>
      <c r="K6" s="257"/>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Paraguay</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Honduras</v>
      </c>
      <c r="E8" s="247">
        <f>IF(AND(ISNA(MATCH(D8,Invulblad!$F$76:$F$83,0)),ISNA(MATCH(D8,Invulblad!$J$76:$J$83,0))),0,10)</f>
        <v>0</v>
      </c>
      <c r="G8" s="212" t="str">
        <f>G80</f>
        <v>USA</v>
      </c>
      <c r="H8" s="247">
        <f>IF(AND(ISNA(MATCH(G8,Invulblad!$F$87:$F$90,0)),ISNA(MATCH(G8,Invulblad!$J$87:$J$90,0))),0,15)</f>
        <v>0</v>
      </c>
      <c r="J8" s="213" t="s">
        <v>49</v>
      </c>
      <c r="K8" s="257"/>
      <c r="L8" s="258"/>
    </row>
    <row r="9" spans="1:17" s="212" customFormat="1" ht="15" customHeight="1">
      <c r="B9" s="212" t="str">
        <f t="shared" si="0"/>
        <v>Italië</v>
      </c>
      <c r="C9" s="247">
        <f>IF(AND(ISNA(MATCH(B9,Invulblad!$F$76:$F$83,0)),ISNA(MATCH(B9,Invulblad!$J$76:$J$83,0))),0,10)</f>
        <v>0</v>
      </c>
      <c r="D9" s="212" t="str">
        <f t="shared" si="1"/>
        <v>Kameroen</v>
      </c>
      <c r="E9" s="247">
        <f>IF(AND(ISNA(MATCH(D9,Invulblad!$F$76:$F$83,0)),ISNA(MATCH(D9,Invulblad!$J$76:$J$83,0))),0,10)</f>
        <v>0</v>
      </c>
      <c r="G9" s="212" t="str">
        <f>G81</f>
        <v>Duitsland</v>
      </c>
      <c r="H9" s="247">
        <f>IF(AND(ISNA(MATCH(G9,Invulblad!$F$87:$F$90,0)),ISNA(MATCH(G9,Invulblad!$J$87:$J$90,0))),0,15)</f>
        <v>15</v>
      </c>
      <c r="J9" s="212" t="str">
        <f>E89</f>
        <v>Brazilië</v>
      </c>
      <c r="K9" s="257"/>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Ivoorkust</v>
      </c>
      <c r="E10" s="247">
        <f>IF(AND(ISNA(MATCH(D10,Invulblad!$F$76:$F$83,0)),ISNA(MATCH(D10,Invulblad!$J$76:$J$83,0))),0,10)</f>
        <v>0</v>
      </c>
      <c r="G10" s="212" t="str">
        <f>G82</f>
        <v>Spanje</v>
      </c>
      <c r="H10" s="247">
        <f>IF(AND(ISNA(MATCH(G10,Invulblad!$F$87:$F$90,0)),ISNA(MATCH(G10,Invulblad!$J$87:$J$90,0))),0,15)</f>
        <v>15</v>
      </c>
      <c r="J10" s="212" t="str">
        <f>G89</f>
        <v>Spanje</v>
      </c>
      <c r="K10" s="257"/>
      <c r="L10" s="247">
        <f>IF(AND(ISNA(MATCH(J10,Invulblad!$F$103,0)),ISNA(MATCH(J10,Invulblad!$J$103,0))),0,5)</f>
        <v>0</v>
      </c>
    </row>
    <row r="11" spans="1:17" s="212" customFormat="1" ht="15" customHeight="1">
      <c r="D11" s="215" t="s">
        <v>100</v>
      </c>
      <c r="E11" s="250">
        <f>SUM(C3:E10)</f>
        <v>100</v>
      </c>
      <c r="G11" s="215" t="s">
        <v>92</v>
      </c>
      <c r="H11" s="250">
        <f>SUM(H3:H10)</f>
        <v>75</v>
      </c>
      <c r="J11" s="215" t="s">
        <v>101</v>
      </c>
      <c r="K11" s="216"/>
      <c r="L11" s="250">
        <f>SUM(L9:L10)</f>
        <v>0</v>
      </c>
    </row>
    <row r="12" spans="1:17">
      <c r="B12" s="218" t="s">
        <v>19</v>
      </c>
      <c r="C12" s="218"/>
      <c r="D12" s="218"/>
      <c r="E12" s="219" t="str">
        <f>IF(H89&gt;J89,E89,G89)</f>
        <v>Spanje</v>
      </c>
      <c r="F12" s="251">
        <f>IF(ISNA(MATCH(E12,Invulblad!F104,0)),0,50)</f>
        <v>0</v>
      </c>
      <c r="G12" s="218"/>
      <c r="H12" s="218"/>
      <c r="I12" s="218"/>
      <c r="J12" s="218"/>
      <c r="K12" s="259"/>
      <c r="L12" s="260"/>
      <c r="M12" s="218"/>
      <c r="N12" s="218"/>
      <c r="O12" s="218"/>
    </row>
    <row r="13" spans="1:17">
      <c r="A13" s="205" t="s">
        <v>102</v>
      </c>
      <c r="B13" s="222" t="s">
        <v>103</v>
      </c>
      <c r="C13" s="222"/>
      <c r="D13" s="222"/>
      <c r="E13" s="223"/>
      <c r="F13" s="224"/>
      <c r="G13" s="222"/>
      <c r="H13" s="222" t="s">
        <v>104</v>
      </c>
      <c r="I13" s="224"/>
      <c r="J13" s="224"/>
      <c r="K13" s="261" t="s">
        <v>20</v>
      </c>
      <c r="L13" s="262"/>
      <c r="M13" s="222" t="s">
        <v>105</v>
      </c>
      <c r="N13" s="224"/>
      <c r="O13" s="224"/>
      <c r="P13" s="218" t="s">
        <v>106</v>
      </c>
    </row>
    <row r="14" spans="1:17">
      <c r="A14" s="205">
        <v>1</v>
      </c>
      <c r="B14" s="212">
        <v>1</v>
      </c>
      <c r="C14" s="226">
        <v>40340</v>
      </c>
      <c r="D14" s="227">
        <v>0.66666666666666663</v>
      </c>
      <c r="E14" s="228" t="s">
        <v>111</v>
      </c>
      <c r="F14" s="229" t="s">
        <v>29</v>
      </c>
      <c r="G14" s="212" t="s">
        <v>108</v>
      </c>
      <c r="H14" s="229">
        <v>0</v>
      </c>
      <c r="I14" s="229" t="s">
        <v>29</v>
      </c>
      <c r="J14" s="229">
        <v>4</v>
      </c>
      <c r="K14" s="263">
        <f t="shared" ref="K14:K45" si="2">IF(AND(H14="",J14=""),"",IF(OR(H14="",J14=""),"FOUT",IF(H14&gt;J14,"1",IF(H14=J14,3,2))))</f>
        <v>2</v>
      </c>
      <c r="L14" s="264">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1</v>
      </c>
      <c r="I15" s="229" t="s">
        <v>29</v>
      </c>
      <c r="J15" s="229">
        <v>3</v>
      </c>
      <c r="K15" s="263">
        <f t="shared" si="2"/>
        <v>2</v>
      </c>
      <c r="L15" s="264">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0</v>
      </c>
      <c r="I16" s="229" t="s">
        <v>29</v>
      </c>
      <c r="J16" s="229">
        <v>3</v>
      </c>
      <c r="K16" s="263">
        <f t="shared" si="2"/>
        <v>2</v>
      </c>
      <c r="L16" s="264">
        <f>VLOOKUP($B16,Invulblad!$A$11:$S$103,13,0)</f>
        <v>2</v>
      </c>
      <c r="M16" s="234">
        <f>IF(L16&lt;&gt;"",VLOOKUP($B16,Invulblad!$A$11:$S$103,7,0),"")</f>
        <v>0</v>
      </c>
      <c r="N16" s="229" t="s">
        <v>29</v>
      </c>
      <c r="O16" s="234">
        <f>IF(L16&lt;&gt;"",VLOOKUP($B16,Invulblad!$A$11:$S$103,9,0),"")</f>
        <v>3</v>
      </c>
      <c r="P16" s="235">
        <f t="shared" si="3"/>
        <v>10</v>
      </c>
    </row>
    <row r="17" spans="1:16">
      <c r="A17" s="205">
        <v>4</v>
      </c>
      <c r="B17" s="212">
        <v>18</v>
      </c>
      <c r="C17" s="226">
        <v>40346</v>
      </c>
      <c r="D17" s="227">
        <v>0.85416666666666663</v>
      </c>
      <c r="E17" s="228" t="s">
        <v>113</v>
      </c>
      <c r="F17" s="229" t="s">
        <v>29</v>
      </c>
      <c r="G17" s="212" t="s">
        <v>108</v>
      </c>
      <c r="H17" s="229">
        <v>3</v>
      </c>
      <c r="I17" s="229" t="s">
        <v>29</v>
      </c>
      <c r="J17" s="229">
        <v>1</v>
      </c>
      <c r="K17" s="263" t="str">
        <f t="shared" si="2"/>
        <v>1</v>
      </c>
      <c r="L17" s="264">
        <f>VLOOKUP($B17,Invulblad!$A$11:$S$103,13,0)</f>
        <v>2</v>
      </c>
      <c r="M17" s="234">
        <f>IF(L17&lt;&gt;"",VLOOKUP($B17,Invulblad!$A$11:$S$103,7,0),"")</f>
        <v>0</v>
      </c>
      <c r="N17" s="229" t="s">
        <v>29</v>
      </c>
      <c r="O17" s="234">
        <f>IF(L17&lt;&gt;"",VLOOKUP($B17,Invulblad!$A$11:$S$103,9,0),"")</f>
        <v>2</v>
      </c>
      <c r="P17" s="235">
        <f t="shared" si="3"/>
        <v>0</v>
      </c>
    </row>
    <row r="18" spans="1:16">
      <c r="A18" s="205">
        <v>5</v>
      </c>
      <c r="B18" s="212">
        <v>33</v>
      </c>
      <c r="C18" s="226">
        <v>40351</v>
      </c>
      <c r="D18" s="227">
        <v>0.66666666666666663</v>
      </c>
      <c r="E18" s="228" t="s">
        <v>114</v>
      </c>
      <c r="F18" s="229" t="s">
        <v>29</v>
      </c>
      <c r="G18" s="212" t="s">
        <v>112</v>
      </c>
      <c r="H18" s="229">
        <v>1</v>
      </c>
      <c r="I18" s="229" t="s">
        <v>29</v>
      </c>
      <c r="J18" s="229">
        <v>1</v>
      </c>
      <c r="K18" s="263">
        <f t="shared" si="2"/>
        <v>3</v>
      </c>
      <c r="L18" s="264">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5</v>
      </c>
      <c r="I19" s="229" t="s">
        <v>29</v>
      </c>
      <c r="J19" s="229">
        <v>1</v>
      </c>
      <c r="K19" s="263" t="str">
        <f t="shared" si="2"/>
        <v>1</v>
      </c>
      <c r="L19" s="264">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65" t="str">
        <f t="shared" si="2"/>
        <v/>
      </c>
      <c r="L20" s="264"/>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1</v>
      </c>
      <c r="K21" s="263" t="str">
        <f t="shared" si="2"/>
        <v>1</v>
      </c>
      <c r="L21" s="264"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3</v>
      </c>
      <c r="I22" s="229" t="s">
        <v>29</v>
      </c>
      <c r="J22" s="229">
        <v>1</v>
      </c>
      <c r="K22" s="263" t="str">
        <f t="shared" si="2"/>
        <v>1</v>
      </c>
      <c r="L22" s="264" t="str">
        <f>VLOOKUP($B22,Invulblad!$A$11:$S$103,13,0)</f>
        <v>1</v>
      </c>
      <c r="M22" s="234">
        <f>IF(L22&lt;&gt;"",VLOOKUP($B22,Invulblad!$A$11:$S$103,7,0),"")</f>
        <v>2</v>
      </c>
      <c r="N22" s="229" t="s">
        <v>29</v>
      </c>
      <c r="O22" s="234">
        <f>IF(L22&lt;&gt;"",VLOOKUP($B22,Invulblad!$A$11:$S$103,9,0),"")</f>
        <v>0</v>
      </c>
      <c r="P22" s="235">
        <f t="shared" si="4"/>
        <v>5</v>
      </c>
    </row>
    <row r="23" spans="1:16">
      <c r="A23" s="205">
        <v>11</v>
      </c>
      <c r="B23" s="212">
        <v>19</v>
      </c>
      <c r="C23" s="226">
        <v>40346</v>
      </c>
      <c r="D23" s="227">
        <v>0.66666666666666663</v>
      </c>
      <c r="E23" s="228" t="s">
        <v>304</v>
      </c>
      <c r="F23" s="229" t="s">
        <v>29</v>
      </c>
      <c r="G23" s="212" t="s">
        <v>117</v>
      </c>
      <c r="H23" s="229">
        <v>2</v>
      </c>
      <c r="I23" s="229" t="s">
        <v>29</v>
      </c>
      <c r="J23" s="229">
        <v>2</v>
      </c>
      <c r="K23" s="263">
        <f t="shared" si="2"/>
        <v>3</v>
      </c>
      <c r="L23" s="264"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2</v>
      </c>
      <c r="I24" s="229" t="s">
        <v>29</v>
      </c>
      <c r="J24" s="229">
        <v>1</v>
      </c>
      <c r="K24" s="263" t="str">
        <f t="shared" si="2"/>
        <v>1</v>
      </c>
      <c r="L24" s="264"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3</v>
      </c>
      <c r="I25" s="229" t="s">
        <v>29</v>
      </c>
      <c r="J25" s="229">
        <v>0</v>
      </c>
      <c r="K25" s="263" t="str">
        <f t="shared" si="2"/>
        <v>1</v>
      </c>
      <c r="L25" s="264">
        <f>VLOOKUP($B25,Invulblad!$A$11:$S$103,13,0)</f>
        <v>3</v>
      </c>
      <c r="M25" s="234">
        <f>IF(L25&lt;&gt;"",VLOOKUP($B25,Invulblad!$A$11:$S$103,7,0),"")</f>
        <v>2</v>
      </c>
      <c r="N25" s="229" t="s">
        <v>29</v>
      </c>
      <c r="O25" s="234">
        <f>IF(L25&lt;&gt;"",VLOOKUP($B25,Invulblad!$A$11:$S$103,9,0),"")</f>
        <v>2</v>
      </c>
      <c r="P25" s="235">
        <f t="shared" si="4"/>
        <v>0</v>
      </c>
    </row>
    <row r="26" spans="1:16">
      <c r="A26" s="205">
        <v>14</v>
      </c>
      <c r="B26" s="212">
        <v>36</v>
      </c>
      <c r="C26" s="226">
        <v>40351</v>
      </c>
      <c r="D26" s="227">
        <v>0.85416666666666663</v>
      </c>
      <c r="E26" s="228" t="s">
        <v>304</v>
      </c>
      <c r="F26" s="229" t="s">
        <v>29</v>
      </c>
      <c r="G26" s="212" t="s">
        <v>123</v>
      </c>
      <c r="H26" s="229">
        <v>1</v>
      </c>
      <c r="I26" s="229" t="s">
        <v>29</v>
      </c>
      <c r="J26" s="229">
        <v>2</v>
      </c>
      <c r="K26" s="263">
        <f t="shared" si="2"/>
        <v>2</v>
      </c>
      <c r="L26" s="264">
        <f>VLOOKUP($B26,Invulblad!$A$11:$S$103,13,0)</f>
        <v>2</v>
      </c>
      <c r="M26" s="234">
        <f>IF(L26&lt;&gt;"",VLOOKUP($B26,Invulblad!$A$11:$S$103,7,0),"")</f>
        <v>0</v>
      </c>
      <c r="N26" s="229" t="s">
        <v>29</v>
      </c>
      <c r="O26" s="234">
        <f>IF(L26&lt;&gt;"",VLOOKUP($B26,Invulblad!$A$11:$S$103,9,0),"")</f>
        <v>2</v>
      </c>
      <c r="P26" s="235">
        <f t="shared" si="4"/>
        <v>5</v>
      </c>
    </row>
    <row r="27" spans="1:16">
      <c r="A27" s="205">
        <v>15</v>
      </c>
      <c r="B27" s="218" t="s">
        <v>31</v>
      </c>
      <c r="C27" s="218"/>
      <c r="D27" s="218"/>
      <c r="E27" s="218"/>
      <c r="F27" s="218"/>
      <c r="G27" s="218"/>
      <c r="H27" s="218"/>
      <c r="I27" s="218"/>
      <c r="J27" s="218"/>
      <c r="K27" s="265" t="str">
        <f t="shared" si="2"/>
        <v/>
      </c>
      <c r="L27" s="264"/>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1</v>
      </c>
      <c r="I28" s="229" t="s">
        <v>29</v>
      </c>
      <c r="J28" s="229">
        <v>1</v>
      </c>
      <c r="K28" s="263">
        <f t="shared" si="2"/>
        <v>3</v>
      </c>
      <c r="L28" s="264">
        <f>VLOOKUP($B28,Invulblad!$A$11:$S$103,13,0)</f>
        <v>3</v>
      </c>
      <c r="M28" s="234">
        <f>IF(L28&lt;&gt;"",VLOOKUP($B28,Invulblad!$A$11:$S$103,7,0),"")</f>
        <v>1</v>
      </c>
      <c r="N28" s="229" t="s">
        <v>29</v>
      </c>
      <c r="O28" s="234">
        <f>IF(L28&lt;&gt;"",VLOOKUP($B28,Invulblad!$A$11:$S$103,9,0),"")</f>
        <v>1</v>
      </c>
      <c r="P28" s="235">
        <f t="shared" ref="P28:P33" si="5">IF(L28&lt;&gt;"",IF(AND(M28=H28,O28=J28),10,IF(K28=L28,5,0)),"")</f>
        <v>10</v>
      </c>
    </row>
    <row r="29" spans="1:16">
      <c r="A29" s="205">
        <v>18</v>
      </c>
      <c r="B29" s="212">
        <v>6</v>
      </c>
      <c r="C29" s="226">
        <v>40342</v>
      </c>
      <c r="D29" s="227">
        <v>0.5625</v>
      </c>
      <c r="E29" s="228" t="s">
        <v>307</v>
      </c>
      <c r="F29" s="229" t="s">
        <v>29</v>
      </c>
      <c r="G29" s="212" t="s">
        <v>127</v>
      </c>
      <c r="H29" s="229">
        <v>0</v>
      </c>
      <c r="I29" s="229" t="s">
        <v>29</v>
      </c>
      <c r="J29" s="229">
        <v>1</v>
      </c>
      <c r="K29" s="263">
        <f t="shared" si="2"/>
        <v>2</v>
      </c>
      <c r="L29" s="264">
        <f>VLOOKUP($B29,Invulblad!$A$11:$S$103,13,0)</f>
        <v>2</v>
      </c>
      <c r="M29" s="234">
        <f>IF(L29&lt;&gt;"",VLOOKUP($B29,Invulblad!$A$11:$S$103,7,0),"")</f>
        <v>0</v>
      </c>
      <c r="N29" s="229" t="s">
        <v>29</v>
      </c>
      <c r="O29" s="234">
        <f>IF(L29&lt;&gt;"",VLOOKUP($B29,Invulblad!$A$11:$S$103,9,0),"")</f>
        <v>1</v>
      </c>
      <c r="P29" s="235">
        <f t="shared" si="5"/>
        <v>10</v>
      </c>
    </row>
    <row r="30" spans="1:16">
      <c r="A30" s="205">
        <v>19</v>
      </c>
      <c r="B30" s="212">
        <v>22</v>
      </c>
      <c r="C30" s="226">
        <v>40347</v>
      </c>
      <c r="D30" s="227">
        <v>0.66666666666666663</v>
      </c>
      <c r="E30" s="228" t="s">
        <v>308</v>
      </c>
      <c r="F30" s="229" t="s">
        <v>29</v>
      </c>
      <c r="G30" s="212" t="s">
        <v>125</v>
      </c>
      <c r="H30" s="229">
        <v>0</v>
      </c>
      <c r="I30" s="229" t="s">
        <v>29</v>
      </c>
      <c r="J30" s="229">
        <v>3</v>
      </c>
      <c r="K30" s="263">
        <f t="shared" si="2"/>
        <v>2</v>
      </c>
      <c r="L30" s="264">
        <f>VLOOKUP($B30,Invulblad!$A$11:$S$103,13,0)</f>
        <v>3</v>
      </c>
      <c r="M30" s="234">
        <f>IF(L30&lt;&gt;"",VLOOKUP($B30,Invulblad!$A$11:$S$103,7,0),"")</f>
        <v>2</v>
      </c>
      <c r="N30" s="229" t="s">
        <v>29</v>
      </c>
      <c r="O30" s="234">
        <f>IF(L30&lt;&gt;"",VLOOKUP($B30,Invulblad!$A$11:$S$103,9,0),"")</f>
        <v>2</v>
      </c>
      <c r="P30" s="235">
        <f t="shared" si="5"/>
        <v>0</v>
      </c>
    </row>
    <row r="31" spans="1:16">
      <c r="A31" s="205">
        <v>20</v>
      </c>
      <c r="B31" s="212">
        <v>23</v>
      </c>
      <c r="C31" s="226">
        <v>40347</v>
      </c>
      <c r="D31" s="227">
        <v>0.85416666666666663</v>
      </c>
      <c r="E31" s="228" t="s">
        <v>306</v>
      </c>
      <c r="F31" s="229" t="s">
        <v>29</v>
      </c>
      <c r="G31" s="212" t="s">
        <v>129</v>
      </c>
      <c r="H31" s="229">
        <v>2</v>
      </c>
      <c r="I31" s="229" t="s">
        <v>29</v>
      </c>
      <c r="J31" s="229">
        <v>0</v>
      </c>
      <c r="K31" s="263" t="str">
        <f t="shared" si="2"/>
        <v>1</v>
      </c>
      <c r="L31" s="264">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0</v>
      </c>
      <c r="I32" s="229" t="s">
        <v>29</v>
      </c>
      <c r="J32" s="229">
        <v>3</v>
      </c>
      <c r="K32" s="263">
        <f t="shared" si="2"/>
        <v>2</v>
      </c>
      <c r="L32" s="264">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3</v>
      </c>
      <c r="I33" s="229" t="s">
        <v>29</v>
      </c>
      <c r="J33" s="229">
        <v>0</v>
      </c>
      <c r="K33" s="263" t="str">
        <f t="shared" si="2"/>
        <v>1</v>
      </c>
      <c r="L33" s="264" t="str">
        <f>VLOOKUP($B33,Invulblad!$A$11:$S$103,13,0)</f>
        <v>1</v>
      </c>
      <c r="M33" s="234">
        <f>IF(L33&lt;&gt;"",VLOOKUP($B33,Invulblad!$A$11:$S$103,7,0),"")</f>
        <v>1</v>
      </c>
      <c r="N33" s="229" t="s">
        <v>29</v>
      </c>
      <c r="O33" s="234">
        <f>IF(L33&lt;&gt;"",VLOOKUP($B33,Invulblad!$A$11:$S$103,9,0),"")</f>
        <v>0</v>
      </c>
      <c r="P33" s="235">
        <f t="shared" si="5"/>
        <v>5</v>
      </c>
    </row>
    <row r="34" spans="1:16">
      <c r="A34" s="205">
        <v>23</v>
      </c>
      <c r="B34" s="218" t="s">
        <v>33</v>
      </c>
      <c r="C34" s="218"/>
      <c r="D34" s="218"/>
      <c r="E34" s="218"/>
      <c r="F34" s="218"/>
      <c r="G34" s="218"/>
      <c r="H34" s="218"/>
      <c r="I34" s="218"/>
      <c r="J34" s="218"/>
      <c r="K34" s="265" t="str">
        <f t="shared" si="2"/>
        <v/>
      </c>
      <c r="L34" s="264"/>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1</v>
      </c>
      <c r="K35" s="263" t="str">
        <f t="shared" si="2"/>
        <v>1</v>
      </c>
      <c r="L35" s="264"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3</v>
      </c>
      <c r="K36" s="263">
        <f t="shared" si="2"/>
        <v>2</v>
      </c>
      <c r="L36" s="264">
        <f>VLOOKUP($B36,Invulblad!$A$11:$S$103,13,0)</f>
        <v>2</v>
      </c>
      <c r="M36" s="234">
        <f>IF(L36&lt;&gt;"",VLOOKUP($B36,Invulblad!$A$11:$S$103,7,0),"")</f>
        <v>0</v>
      </c>
      <c r="N36" s="229" t="s">
        <v>29</v>
      </c>
      <c r="O36" s="234">
        <f>IF(L36&lt;&gt;"",VLOOKUP($B36,Invulblad!$A$11:$S$103,9,0),"")</f>
        <v>1</v>
      </c>
      <c r="P36" s="235">
        <f t="shared" si="6"/>
        <v>5</v>
      </c>
    </row>
    <row r="37" spans="1:16">
      <c r="A37" s="205">
        <v>27</v>
      </c>
      <c r="B37" s="212">
        <v>21</v>
      </c>
      <c r="C37" s="226">
        <v>40347</v>
      </c>
      <c r="D37" s="227">
        <v>0.5625</v>
      </c>
      <c r="E37" s="228" t="s">
        <v>131</v>
      </c>
      <c r="F37" s="229" t="s">
        <v>29</v>
      </c>
      <c r="G37" s="212" t="s">
        <v>135</v>
      </c>
      <c r="H37" s="229">
        <v>2</v>
      </c>
      <c r="I37" s="229" t="s">
        <v>29</v>
      </c>
      <c r="J37" s="229">
        <v>2</v>
      </c>
      <c r="K37" s="263">
        <f t="shared" si="2"/>
        <v>3</v>
      </c>
      <c r="L37" s="264">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0</v>
      </c>
      <c r="K38" s="263" t="str">
        <f t="shared" si="2"/>
        <v>1</v>
      </c>
      <c r="L38" s="264">
        <f>VLOOKUP($B38,Invulblad!$A$11:$S$103,13,0)</f>
        <v>3</v>
      </c>
      <c r="M38" s="234">
        <f>IF(L38&lt;&gt;"",VLOOKUP($B38,Invulblad!$A$11:$S$103,7,0),"")</f>
        <v>1</v>
      </c>
      <c r="N38" s="229" t="s">
        <v>29</v>
      </c>
      <c r="O38" s="234">
        <f>IF(L38&lt;&gt;"",VLOOKUP($B38,Invulblad!$A$11:$S$103,9,0),"")</f>
        <v>1</v>
      </c>
      <c r="P38" s="235">
        <f t="shared" si="6"/>
        <v>0</v>
      </c>
    </row>
    <row r="39" spans="1:16">
      <c r="A39" s="205">
        <v>29</v>
      </c>
      <c r="B39" s="212">
        <v>39</v>
      </c>
      <c r="C39" s="226">
        <v>40352</v>
      </c>
      <c r="D39" s="227">
        <v>0.85416666666666663</v>
      </c>
      <c r="E39" s="228" t="s">
        <v>136</v>
      </c>
      <c r="F39" s="229" t="s">
        <v>29</v>
      </c>
      <c r="G39" s="212" t="s">
        <v>137</v>
      </c>
      <c r="H39" s="229">
        <v>0</v>
      </c>
      <c r="I39" s="229" t="s">
        <v>29</v>
      </c>
      <c r="J39" s="229">
        <v>2</v>
      </c>
      <c r="K39" s="263">
        <f t="shared" si="2"/>
        <v>2</v>
      </c>
      <c r="L39" s="264">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0</v>
      </c>
      <c r="K40" s="263" t="str">
        <f t="shared" si="2"/>
        <v>1</v>
      </c>
      <c r="L40" s="264" t="str">
        <f>VLOOKUP($B40,Invulblad!$A$11:$S$103,13,0)</f>
        <v>1</v>
      </c>
      <c r="M40" s="234">
        <f>IF(L40&lt;&gt;"",VLOOKUP($B40,Invulblad!$A$11:$S$103,7,0),"")</f>
        <v>2</v>
      </c>
      <c r="N40" s="229" t="s">
        <v>29</v>
      </c>
      <c r="O40" s="234">
        <f>IF(L40&lt;&gt;"",VLOOKUP($B40,Invulblad!$A$11:$S$103,9,0),"")</f>
        <v>1</v>
      </c>
      <c r="P40" s="235">
        <f t="shared" si="6"/>
        <v>5</v>
      </c>
    </row>
    <row r="41" spans="1:16">
      <c r="A41" s="205">
        <v>31</v>
      </c>
      <c r="B41" s="218" t="s">
        <v>34</v>
      </c>
      <c r="C41" s="218"/>
      <c r="D41" s="218"/>
      <c r="E41" s="218"/>
      <c r="F41" s="218"/>
      <c r="G41" s="218"/>
      <c r="H41" s="218"/>
      <c r="I41" s="218"/>
      <c r="J41" s="218"/>
      <c r="K41" s="265" t="str">
        <f t="shared" si="2"/>
        <v/>
      </c>
      <c r="L41" s="264"/>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2</v>
      </c>
      <c r="I42" s="229" t="s">
        <v>29</v>
      </c>
      <c r="J42" s="229">
        <v>0</v>
      </c>
      <c r="K42" s="263" t="str">
        <f t="shared" si="2"/>
        <v>1</v>
      </c>
      <c r="L42" s="264" t="str">
        <f>VLOOKUP($B42,Invulblad!$A$11:$S$103,13,0)</f>
        <v>1</v>
      </c>
      <c r="M42" s="234">
        <f>IF(L42&lt;&gt;"",VLOOKUP($B42,Invulblad!$A$11:$S$103,7,0),"")</f>
        <v>2</v>
      </c>
      <c r="N42" s="229" t="s">
        <v>29</v>
      </c>
      <c r="O42" s="234">
        <f>IF(L42&lt;&gt;"",VLOOKUP($B42,Invulblad!$A$11:$S$103,9,0),"")</f>
        <v>0</v>
      </c>
      <c r="P42" s="235">
        <f t="shared" ref="P42:P47" si="7">IF(L42&lt;&gt;"",IF(AND(M42=H42,O42=J42),10,IF(K42=L42,5,0)),"")</f>
        <v>10</v>
      </c>
    </row>
    <row r="43" spans="1:16">
      <c r="A43" s="205">
        <v>34</v>
      </c>
      <c r="B43" s="212">
        <v>10</v>
      </c>
      <c r="C43" s="226">
        <v>40343</v>
      </c>
      <c r="D43" s="227">
        <v>0.66666666666666663</v>
      </c>
      <c r="E43" s="228" t="s">
        <v>141</v>
      </c>
      <c r="F43" s="229" t="s">
        <v>29</v>
      </c>
      <c r="G43" s="212" t="s">
        <v>142</v>
      </c>
      <c r="H43" s="229">
        <v>1</v>
      </c>
      <c r="I43" s="229" t="s">
        <v>29</v>
      </c>
      <c r="J43" s="229">
        <v>1</v>
      </c>
      <c r="K43" s="263">
        <f t="shared" si="2"/>
        <v>3</v>
      </c>
      <c r="L43" s="264"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1</v>
      </c>
      <c r="K44" s="263" t="str">
        <f t="shared" si="2"/>
        <v>1</v>
      </c>
      <c r="L44" s="264"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2</v>
      </c>
      <c r="I45" s="229" t="s">
        <v>29</v>
      </c>
      <c r="J45" s="229">
        <v>1</v>
      </c>
      <c r="K45" s="263" t="str">
        <f t="shared" si="2"/>
        <v>1</v>
      </c>
      <c r="L45" s="264">
        <f>VLOOKUP($B45,Invulblad!$A$11:$S$103,13,0)</f>
        <v>2</v>
      </c>
      <c r="M45" s="234">
        <f>IF(L45&lt;&gt;"",VLOOKUP($B45,Invulblad!$A$11:$S$103,7,0),"")</f>
        <v>1</v>
      </c>
      <c r="N45" s="229" t="s">
        <v>29</v>
      </c>
      <c r="O45" s="234">
        <f>IF(L45&lt;&gt;"",VLOOKUP($B45,Invulblad!$A$11:$S$103,9,0),"")</f>
        <v>2</v>
      </c>
      <c r="P45" s="235">
        <f t="shared" si="7"/>
        <v>0</v>
      </c>
    </row>
    <row r="46" spans="1:16">
      <c r="A46" s="205">
        <v>37</v>
      </c>
      <c r="B46" s="212">
        <v>43</v>
      </c>
      <c r="C46" s="226">
        <v>40353</v>
      </c>
      <c r="D46" s="227">
        <v>0.85416666666666663</v>
      </c>
      <c r="E46" s="228" t="s">
        <v>145</v>
      </c>
      <c r="F46" s="229" t="s">
        <v>29</v>
      </c>
      <c r="G46" s="212" t="s">
        <v>143</v>
      </c>
      <c r="H46" s="229">
        <v>2</v>
      </c>
      <c r="I46" s="229" t="s">
        <v>29</v>
      </c>
      <c r="J46" s="229">
        <v>0</v>
      </c>
      <c r="K46" s="263" t="str">
        <f t="shared" ref="K46:K77" si="8">IF(AND(H46="",J46=""),"",IF(OR(H46="",J46=""),"FOUT",IF(H46&gt;J46,"1",IF(H46=J46,3,2))))</f>
        <v>1</v>
      </c>
      <c r="L46" s="264">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3</v>
      </c>
      <c r="K47" s="263">
        <f t="shared" si="8"/>
        <v>2</v>
      </c>
      <c r="L47" s="264">
        <f>VLOOKUP($B47,Invulblad!$A$11:$S$103,13,0)</f>
        <v>2</v>
      </c>
      <c r="M47" s="234">
        <f>IF(L47&lt;&gt;"",VLOOKUP($B47,Invulblad!$A$11:$S$103,7,0),"")</f>
        <v>1</v>
      </c>
      <c r="N47" s="229" t="s">
        <v>29</v>
      </c>
      <c r="O47" s="234">
        <f>IF(L47&lt;&gt;"",VLOOKUP($B47,Invulblad!$A$11:$S$103,9,0),"")</f>
        <v>2</v>
      </c>
      <c r="P47" s="235">
        <f t="shared" si="7"/>
        <v>5</v>
      </c>
    </row>
    <row r="48" spans="1:16">
      <c r="A48" s="205">
        <v>39</v>
      </c>
      <c r="B48" s="218" t="s">
        <v>35</v>
      </c>
      <c r="C48" s="218"/>
      <c r="D48" s="218"/>
      <c r="E48" s="218"/>
      <c r="F48" s="218"/>
      <c r="G48" s="218"/>
      <c r="H48" s="218"/>
      <c r="I48" s="218"/>
      <c r="J48" s="218"/>
      <c r="K48" s="265" t="str">
        <f t="shared" si="8"/>
        <v/>
      </c>
      <c r="L48" s="264"/>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63" t="str">
        <f t="shared" si="8"/>
        <v>1</v>
      </c>
      <c r="L49" s="264">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2</v>
      </c>
      <c r="K50" s="263">
        <f t="shared" si="8"/>
        <v>2</v>
      </c>
      <c r="L50" s="264">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2</v>
      </c>
      <c r="K51" s="263">
        <f t="shared" si="8"/>
        <v>2</v>
      </c>
      <c r="L51" s="264">
        <f>VLOOKUP($B51,Invulblad!$A$11:$S$103,13,0)</f>
        <v>2</v>
      </c>
      <c r="M51" s="234">
        <f>IF(L51&lt;&gt;"",VLOOKUP($B51,Invulblad!$A$11:$S$103,7,0),"")</f>
        <v>0</v>
      </c>
      <c r="N51" s="229" t="s">
        <v>29</v>
      </c>
      <c r="O51" s="234">
        <f>IF(L51&lt;&gt;"",VLOOKUP($B51,Invulblad!$A$11:$S$103,9,0),"")</f>
        <v>2</v>
      </c>
      <c r="P51" s="235">
        <f t="shared" si="9"/>
        <v>5</v>
      </c>
    </row>
    <row r="52" spans="1:16">
      <c r="A52" s="205">
        <v>44</v>
      </c>
      <c r="B52" s="212">
        <v>28</v>
      </c>
      <c r="C52" s="226">
        <v>40349</v>
      </c>
      <c r="D52" s="227">
        <v>0.66666666666666663</v>
      </c>
      <c r="E52" s="228" t="s">
        <v>147</v>
      </c>
      <c r="F52" s="229" t="s">
        <v>29</v>
      </c>
      <c r="G52" s="212" t="s">
        <v>152</v>
      </c>
      <c r="H52" s="229">
        <v>2</v>
      </c>
      <c r="I52" s="229" t="s">
        <v>29</v>
      </c>
      <c r="J52" s="229">
        <v>0</v>
      </c>
      <c r="K52" s="263" t="str">
        <f t="shared" si="8"/>
        <v>1</v>
      </c>
      <c r="L52" s="264">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0</v>
      </c>
      <c r="I53" s="229" t="s">
        <v>29</v>
      </c>
      <c r="J53" s="229">
        <v>1</v>
      </c>
      <c r="K53" s="263">
        <f t="shared" si="8"/>
        <v>2</v>
      </c>
      <c r="L53" s="264"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1</v>
      </c>
      <c r="I54" s="229" t="s">
        <v>29</v>
      </c>
      <c r="J54" s="229">
        <v>0</v>
      </c>
      <c r="K54" s="263" t="str">
        <f t="shared" si="8"/>
        <v>1</v>
      </c>
      <c r="L54" s="264">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65" t="str">
        <f t="shared" si="8"/>
        <v/>
      </c>
      <c r="L55" s="264"/>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3</v>
      </c>
      <c r="I56" s="229" t="s">
        <v>29</v>
      </c>
      <c r="J56" s="229">
        <v>1</v>
      </c>
      <c r="K56" s="263" t="str">
        <f t="shared" si="8"/>
        <v>1</v>
      </c>
      <c r="L56" s="264">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5</v>
      </c>
      <c r="I57" s="229" t="s">
        <v>29</v>
      </c>
      <c r="J57" s="229">
        <v>0</v>
      </c>
      <c r="K57" s="263" t="str">
        <f t="shared" si="8"/>
        <v>1</v>
      </c>
      <c r="L57" s="264"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3</v>
      </c>
      <c r="I58" s="229" t="s">
        <v>29</v>
      </c>
      <c r="J58" s="229">
        <v>1</v>
      </c>
      <c r="K58" s="263" t="str">
        <f t="shared" si="8"/>
        <v>1</v>
      </c>
      <c r="L58" s="264" t="str">
        <f>VLOOKUP($B58,Invulblad!$A$11:$S$103,13,0)</f>
        <v>1</v>
      </c>
      <c r="M58" s="234">
        <f>IF(L58&lt;&gt;"",VLOOKUP($B58,Invulblad!$A$11:$S$103,7,0),"")</f>
        <v>3</v>
      </c>
      <c r="N58" s="229" t="s">
        <v>29</v>
      </c>
      <c r="O58" s="234">
        <f>IF(L58&lt;&gt;"",VLOOKUP($B58,Invulblad!$A$11:$S$103,9,0),"")</f>
        <v>1</v>
      </c>
      <c r="P58" s="235">
        <f t="shared" si="10"/>
        <v>10</v>
      </c>
    </row>
    <row r="59" spans="1:16">
      <c r="A59" s="205">
        <v>52</v>
      </c>
      <c r="B59" s="212">
        <v>30</v>
      </c>
      <c r="C59" s="226">
        <v>40350</v>
      </c>
      <c r="D59" s="227">
        <v>0.5625</v>
      </c>
      <c r="E59" s="228" t="s">
        <v>160</v>
      </c>
      <c r="F59" s="229" t="s">
        <v>29</v>
      </c>
      <c r="G59" s="212" t="s">
        <v>158</v>
      </c>
      <c r="H59" s="229">
        <v>2</v>
      </c>
      <c r="I59" s="229" t="s">
        <v>29</v>
      </c>
      <c r="J59" s="229">
        <v>0</v>
      </c>
      <c r="K59" s="263" t="str">
        <f t="shared" si="8"/>
        <v>1</v>
      </c>
      <c r="L59" s="264"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1</v>
      </c>
      <c r="I60" s="229" t="s">
        <v>29</v>
      </c>
      <c r="J60" s="229">
        <v>4</v>
      </c>
      <c r="K60" s="263">
        <f t="shared" si="8"/>
        <v>2</v>
      </c>
      <c r="L60" s="264">
        <f>VLOOKUP($B60,Invulblad!$A$11:$S$103,13,0)</f>
        <v>3</v>
      </c>
      <c r="M60" s="234">
        <f>IF(L60&lt;&gt;"",VLOOKUP($B60,Invulblad!$A$11:$S$103,7,0),"")</f>
        <v>0</v>
      </c>
      <c r="N60" s="229" t="s">
        <v>29</v>
      </c>
      <c r="O60" s="234">
        <f>IF(L60&lt;&gt;"",VLOOKUP($B60,Invulblad!$A$11:$S$103,9,0),"")</f>
        <v>0</v>
      </c>
      <c r="P60" s="235">
        <f t="shared" si="10"/>
        <v>0</v>
      </c>
    </row>
    <row r="61" spans="1:16">
      <c r="A61" s="205">
        <v>54</v>
      </c>
      <c r="B61" s="212">
        <v>46</v>
      </c>
      <c r="C61" s="226">
        <v>40354</v>
      </c>
      <c r="D61" s="227">
        <v>0.66666666666666663</v>
      </c>
      <c r="E61" s="228" t="s">
        <v>162</v>
      </c>
      <c r="F61" s="229" t="s">
        <v>29</v>
      </c>
      <c r="G61" s="212" t="s">
        <v>159</v>
      </c>
      <c r="H61" s="229">
        <v>0</v>
      </c>
      <c r="I61" s="229" t="s">
        <v>29</v>
      </c>
      <c r="J61" s="229">
        <v>3</v>
      </c>
      <c r="K61" s="263">
        <f t="shared" si="8"/>
        <v>2</v>
      </c>
      <c r="L61" s="264">
        <f>VLOOKUP($B61,Invulblad!$A$11:$S$103,13,0)</f>
        <v>2</v>
      </c>
      <c r="M61" s="234">
        <f>IF(L61&lt;&gt;"",VLOOKUP($B61,Invulblad!$A$11:$S$103,7,0),"")</f>
        <v>0</v>
      </c>
      <c r="N61" s="229" t="s">
        <v>29</v>
      </c>
      <c r="O61" s="234">
        <f>IF(L61&lt;&gt;"",VLOOKUP($B61,Invulblad!$A$11:$S$103,9,0),"")</f>
        <v>3</v>
      </c>
      <c r="P61" s="235">
        <f t="shared" si="10"/>
        <v>10</v>
      </c>
    </row>
    <row r="62" spans="1:16">
      <c r="A62" s="205">
        <v>55</v>
      </c>
      <c r="B62" s="218" t="s">
        <v>37</v>
      </c>
      <c r="C62" s="218"/>
      <c r="D62" s="218"/>
      <c r="E62" s="218"/>
      <c r="F62" s="218"/>
      <c r="G62" s="218"/>
      <c r="H62" s="218"/>
      <c r="I62" s="218"/>
      <c r="J62" s="218"/>
      <c r="K62" s="265" t="str">
        <f t="shared" si="8"/>
        <v/>
      </c>
      <c r="L62" s="264"/>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1</v>
      </c>
      <c r="I63" s="229" t="s">
        <v>29</v>
      </c>
      <c r="J63" s="229">
        <v>0</v>
      </c>
      <c r="K63" s="263" t="str">
        <f t="shared" si="8"/>
        <v>1</v>
      </c>
      <c r="L63" s="264">
        <f>VLOOKUP($B63,Invulblad!$A$11:$S$103,13,0)</f>
        <v>2</v>
      </c>
      <c r="M63" s="234">
        <f>IF(L63&lt;&gt;"",VLOOKUP($B63,Invulblad!$A$11:$S$103,7,0),"")</f>
        <v>0</v>
      </c>
      <c r="N63" s="229" t="s">
        <v>29</v>
      </c>
      <c r="O63" s="234">
        <f>IF(L63&lt;&gt;"",VLOOKUP($B63,Invulblad!$A$11:$S$103,9,0),"")</f>
        <v>1</v>
      </c>
      <c r="P63" s="235">
        <f t="shared" ref="P63:P68" si="11">IF(L63&lt;&gt;"",IF(AND(M63=H63,O63=J63),10,IF(K63=L63,5,0)),"")</f>
        <v>0</v>
      </c>
    </row>
    <row r="64" spans="1:16">
      <c r="A64" s="205">
        <v>58</v>
      </c>
      <c r="B64" s="212">
        <v>16</v>
      </c>
      <c r="C64" s="226">
        <v>40345</v>
      </c>
      <c r="D64" s="227">
        <v>0.66666666666666663</v>
      </c>
      <c r="E64" s="228" t="s">
        <v>165</v>
      </c>
      <c r="F64" s="229" t="s">
        <v>29</v>
      </c>
      <c r="G64" s="212" t="s">
        <v>166</v>
      </c>
      <c r="H64" s="229">
        <v>3</v>
      </c>
      <c r="I64" s="229" t="s">
        <v>29</v>
      </c>
      <c r="J64" s="229">
        <v>1</v>
      </c>
      <c r="K64" s="263" t="str">
        <f t="shared" si="8"/>
        <v>1</v>
      </c>
      <c r="L64" s="264">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2</v>
      </c>
      <c r="I65" s="229" t="s">
        <v>29</v>
      </c>
      <c r="J65" s="229">
        <v>0</v>
      </c>
      <c r="K65" s="263" t="str">
        <f t="shared" si="8"/>
        <v>1</v>
      </c>
      <c r="L65" s="264" t="str">
        <f>VLOOKUP($B65,Invulblad!$A$11:$S$103,13,0)</f>
        <v>1</v>
      </c>
      <c r="M65" s="234">
        <f>IF(L65&lt;&gt;"",VLOOKUP($B65,Invulblad!$A$11:$S$103,7,0),"")</f>
        <v>1</v>
      </c>
      <c r="N65" s="229" t="s">
        <v>29</v>
      </c>
      <c r="O65" s="234">
        <f>IF(L65&lt;&gt;"",VLOOKUP($B65,Invulblad!$A$11:$S$103,9,0),"")</f>
        <v>0</v>
      </c>
      <c r="P65" s="235">
        <f t="shared" si="11"/>
        <v>5</v>
      </c>
    </row>
    <row r="66" spans="1:16">
      <c r="A66" s="205">
        <v>60</v>
      </c>
      <c r="B66" s="212">
        <v>32</v>
      </c>
      <c r="C66" s="226">
        <v>40350</v>
      </c>
      <c r="D66" s="227">
        <v>0.85416666666666663</v>
      </c>
      <c r="E66" s="228" t="s">
        <v>165</v>
      </c>
      <c r="F66" s="229" t="s">
        <v>29</v>
      </c>
      <c r="G66" s="212" t="s">
        <v>168</v>
      </c>
      <c r="H66" s="229">
        <v>1</v>
      </c>
      <c r="I66" s="229" t="s">
        <v>29</v>
      </c>
      <c r="J66" s="229">
        <v>0</v>
      </c>
      <c r="K66" s="263" t="str">
        <f t="shared" si="8"/>
        <v>1</v>
      </c>
      <c r="L66" s="264"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1</v>
      </c>
      <c r="I67" s="229" t="s">
        <v>29</v>
      </c>
      <c r="J67" s="229">
        <v>2</v>
      </c>
      <c r="K67" s="263">
        <f t="shared" si="8"/>
        <v>2</v>
      </c>
      <c r="L67" s="264">
        <f>VLOOKUP($B67,Invulblad!$A$11:$S$103,13,0)</f>
        <v>2</v>
      </c>
      <c r="M67" s="234">
        <f>IF(L67&lt;&gt;"",VLOOKUP($B67,Invulblad!$A$11:$S$103,7,0),"")</f>
        <v>1</v>
      </c>
      <c r="N67" s="229" t="s">
        <v>29</v>
      </c>
      <c r="O67" s="234">
        <f>IF(L67&lt;&gt;"",VLOOKUP($B67,Invulblad!$A$11:$S$103,9,0),"")</f>
        <v>2</v>
      </c>
      <c r="P67" s="235">
        <f t="shared" si="11"/>
        <v>10</v>
      </c>
    </row>
    <row r="68" spans="1:16">
      <c r="A68" s="205">
        <v>62</v>
      </c>
      <c r="B68" s="212">
        <v>48</v>
      </c>
      <c r="C68" s="226">
        <v>40354</v>
      </c>
      <c r="D68" s="227">
        <v>0.85416666666666663</v>
      </c>
      <c r="E68" s="228" t="s">
        <v>170</v>
      </c>
      <c r="F68" s="229" t="s">
        <v>29</v>
      </c>
      <c r="G68" s="212" t="s">
        <v>168</v>
      </c>
      <c r="H68" s="229">
        <v>0</v>
      </c>
      <c r="I68" s="229" t="s">
        <v>29</v>
      </c>
      <c r="J68" s="229">
        <v>0</v>
      </c>
      <c r="K68" s="263">
        <f t="shared" si="8"/>
        <v>3</v>
      </c>
      <c r="L68" s="264">
        <f>VLOOKUP($B68,Invulblad!$A$11:$S$103,13,0)</f>
        <v>3</v>
      </c>
      <c r="M68" s="234">
        <f>IF(L68&lt;&gt;"",VLOOKUP($B68,Invulblad!$A$11:$S$103,7,0),"")</f>
        <v>0</v>
      </c>
      <c r="N68" s="229" t="s">
        <v>29</v>
      </c>
      <c r="O68" s="234">
        <f>IF(L68&lt;&gt;"",VLOOKUP($B68,Invulblad!$A$11:$S$103,9,0),"")</f>
        <v>0</v>
      </c>
      <c r="P68" s="235">
        <f t="shared" si="11"/>
        <v>10</v>
      </c>
    </row>
    <row r="69" spans="1:16">
      <c r="A69" s="205">
        <v>63</v>
      </c>
      <c r="B69" s="218" t="s">
        <v>97</v>
      </c>
      <c r="C69" s="218"/>
      <c r="D69" s="218"/>
      <c r="E69" s="218"/>
      <c r="F69" s="218"/>
      <c r="G69" s="218"/>
      <c r="H69" s="218"/>
      <c r="I69" s="218"/>
      <c r="J69" s="218"/>
      <c r="K69" s="265" t="str">
        <f t="shared" si="8"/>
        <v/>
      </c>
      <c r="L69" s="264"/>
      <c r="M69" s="234" t="str">
        <f>IF(L69&lt;&gt;"",VLOOKUP($B69,Invulblad!$A$11:$S$103,7,0),"")</f>
        <v/>
      </c>
      <c r="N69" s="229"/>
      <c r="O69" s="234" t="str">
        <f>IF(L69&lt;&gt;"",VLOOKUP($B69,Invulblad!$A$11:$S$103,9,0),"")</f>
        <v/>
      </c>
    </row>
    <row r="70" spans="1:16">
      <c r="A70" s="205">
        <v>65</v>
      </c>
      <c r="B70" s="212">
        <v>49</v>
      </c>
      <c r="C70" s="226">
        <v>40355</v>
      </c>
      <c r="D70" s="227">
        <v>0.66666666666666663</v>
      </c>
      <c r="E70" s="223" t="s">
        <v>205</v>
      </c>
      <c r="F70" s="229" t="s">
        <v>29</v>
      </c>
      <c r="G70" s="212" t="s">
        <v>122</v>
      </c>
      <c r="H70" s="229">
        <v>2</v>
      </c>
      <c r="I70" s="229" t="s">
        <v>29</v>
      </c>
      <c r="J70" s="229">
        <v>1</v>
      </c>
      <c r="K70" s="263" t="str">
        <f t="shared" si="8"/>
        <v>1</v>
      </c>
      <c r="L70" s="264" t="str">
        <f>VLOOKUP($B70,Invulblad!$A$11:$S$103,13,0)</f>
        <v>1</v>
      </c>
      <c r="M70" s="234">
        <f>IF(L70&lt;&gt;"",VLOOKUP($B70,Invulblad!$A$11:$S$103,7,0),"")</f>
        <v>2</v>
      </c>
      <c r="N70" s="229" t="s">
        <v>29</v>
      </c>
      <c r="O70" s="234">
        <f>IF(L70&lt;&gt;"",VLOOKUP($B70,Invulblad!$A$11:$S$103,9,0),"")</f>
        <v>1</v>
      </c>
      <c r="P70" s="235">
        <f t="shared" ref="P70:P77" si="12">IF(L70&lt;&gt;"",IF(AND(M70=H70,O70=J70),10,IF(K70=L70,5,0)),"")</f>
        <v>10</v>
      </c>
    </row>
    <row r="71" spans="1:16">
      <c r="A71" s="205">
        <v>66</v>
      </c>
      <c r="B71" s="212">
        <v>50</v>
      </c>
      <c r="C71" s="226">
        <v>40355</v>
      </c>
      <c r="D71" s="227">
        <v>0.85416666666666663</v>
      </c>
      <c r="E71" s="223" t="s">
        <v>32</v>
      </c>
      <c r="F71" s="229" t="s">
        <v>29</v>
      </c>
      <c r="G71" s="212" t="s">
        <v>244</v>
      </c>
      <c r="H71" s="229">
        <v>3</v>
      </c>
      <c r="I71" s="229" t="s">
        <v>29</v>
      </c>
      <c r="J71" s="229">
        <v>1</v>
      </c>
      <c r="K71" s="263" t="str">
        <f t="shared" si="8"/>
        <v>1</v>
      </c>
      <c r="L71" s="264">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124</v>
      </c>
      <c r="H72" s="229">
        <v>2</v>
      </c>
      <c r="I72" s="229" t="s">
        <v>29</v>
      </c>
      <c r="J72" s="229">
        <v>1</v>
      </c>
      <c r="K72" s="263" t="str">
        <f t="shared" si="8"/>
        <v>1</v>
      </c>
      <c r="L72" s="264"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2</v>
      </c>
      <c r="I73" s="229" t="s">
        <v>29</v>
      </c>
      <c r="J73" s="229">
        <v>0</v>
      </c>
      <c r="K73" s="263" t="str">
        <f t="shared" si="8"/>
        <v>1</v>
      </c>
      <c r="L73" s="264"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182</v>
      </c>
      <c r="H74" s="229">
        <v>3</v>
      </c>
      <c r="I74" s="229" t="s">
        <v>29</v>
      </c>
      <c r="J74" s="229">
        <v>1</v>
      </c>
      <c r="K74" s="263" t="str">
        <f t="shared" si="8"/>
        <v>1</v>
      </c>
      <c r="L74" s="264" t="str">
        <f>VLOOKUP($B74,Invulblad!$A$11:$S$103,13,0)</f>
        <v>1</v>
      </c>
      <c r="M74" s="234">
        <f>IF(L74&lt;&gt;"",VLOOKUP($B74,Invulblad!$A$11:$S$103,7,0),"")</f>
        <v>2</v>
      </c>
      <c r="N74" s="229" t="s">
        <v>29</v>
      </c>
      <c r="O74" s="234">
        <f>IF(L74&lt;&gt;"",VLOOKUP($B74,Invulblad!$A$11:$S$103,9,0),"")</f>
        <v>1</v>
      </c>
      <c r="P74" s="235">
        <f t="shared" si="12"/>
        <v>5</v>
      </c>
    </row>
    <row r="75" spans="1:16">
      <c r="A75" s="205">
        <v>70</v>
      </c>
      <c r="B75" s="212">
        <v>54</v>
      </c>
      <c r="C75" s="226">
        <v>40357</v>
      </c>
      <c r="D75" s="227">
        <v>0.85416666666666663</v>
      </c>
      <c r="E75" s="223" t="s">
        <v>265</v>
      </c>
      <c r="F75" s="229" t="s">
        <v>29</v>
      </c>
      <c r="G75" s="212" t="s">
        <v>277</v>
      </c>
      <c r="H75" s="229">
        <v>4</v>
      </c>
      <c r="I75" s="229" t="s">
        <v>29</v>
      </c>
      <c r="J75" s="229">
        <v>0</v>
      </c>
      <c r="K75" s="263" t="str">
        <f t="shared" si="8"/>
        <v>1</v>
      </c>
      <c r="L75" s="264"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8" t="s">
        <v>257</v>
      </c>
      <c r="F76" s="229" t="s">
        <v>29</v>
      </c>
      <c r="G76" s="222" t="s">
        <v>248</v>
      </c>
      <c r="H76" s="229">
        <v>0</v>
      </c>
      <c r="I76" s="229" t="s">
        <v>29</v>
      </c>
      <c r="J76" s="229">
        <v>1</v>
      </c>
      <c r="K76" s="263">
        <f t="shared" si="8"/>
        <v>2</v>
      </c>
      <c r="L76" s="264">
        <f>VLOOKUP($B76,Invulblad!$A$11:$S$103,13,0)</f>
        <v>3</v>
      </c>
      <c r="M76" s="234">
        <f>IF(L76&lt;&gt;"",VLOOKUP($B76,Invulblad!$A$11:$S$103,7,0),"")</f>
        <v>0</v>
      </c>
      <c r="N76" s="229" t="s">
        <v>29</v>
      </c>
      <c r="O76" s="234">
        <f>IF(L76&lt;&gt;"",VLOOKUP($B76,Invulblad!$A$11:$S$103,9,0),"")</f>
        <v>0</v>
      </c>
      <c r="P76" s="235">
        <f t="shared" si="12"/>
        <v>0</v>
      </c>
    </row>
    <row r="77" spans="1:16">
      <c r="A77" s="205">
        <v>72</v>
      </c>
      <c r="B77" s="212">
        <v>56</v>
      </c>
      <c r="C77" s="226">
        <v>40358</v>
      </c>
      <c r="D77" s="227">
        <v>0.85416666666666663</v>
      </c>
      <c r="E77" s="223" t="s">
        <v>200</v>
      </c>
      <c r="F77" s="229" t="s">
        <v>29</v>
      </c>
      <c r="G77" s="212" t="s">
        <v>266</v>
      </c>
      <c r="H77" s="229">
        <v>2</v>
      </c>
      <c r="I77" s="229" t="s">
        <v>29</v>
      </c>
      <c r="J77" s="229">
        <v>1</v>
      </c>
      <c r="K77" s="263" t="str">
        <f t="shared" si="8"/>
        <v>1</v>
      </c>
      <c r="L77" s="264"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65" t="str">
        <f t="shared" ref="K78:K89" si="13">IF(AND(H78="",J78=""),"",IF(OR(H78="",J78=""),"FOUT",IF(H78&gt;J78,"1",IF(H78=J78,3,2))))</f>
        <v/>
      </c>
      <c r="L78" s="264"/>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1</v>
      </c>
      <c r="I79" s="229" t="s">
        <v>29</v>
      </c>
      <c r="J79" s="229">
        <v>2</v>
      </c>
      <c r="K79" s="263">
        <f t="shared" si="13"/>
        <v>2</v>
      </c>
      <c r="L79" s="264"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205</v>
      </c>
      <c r="F80" s="229" t="s">
        <v>29</v>
      </c>
      <c r="G80" s="222" t="s">
        <v>32</v>
      </c>
      <c r="H80" s="229">
        <v>0</v>
      </c>
      <c r="I80" s="229" t="s">
        <v>29</v>
      </c>
      <c r="J80" s="229">
        <v>2</v>
      </c>
      <c r="K80" s="263">
        <f t="shared" si="13"/>
        <v>2</v>
      </c>
      <c r="L80" s="264">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0</v>
      </c>
      <c r="K81" s="263" t="str">
        <f t="shared" si="13"/>
        <v>1</v>
      </c>
      <c r="L81" s="264">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248</v>
      </c>
      <c r="F82" s="229" t="s">
        <v>29</v>
      </c>
      <c r="G82" s="222" t="s">
        <v>200</v>
      </c>
      <c r="H82" s="229">
        <v>1</v>
      </c>
      <c r="I82" s="229" t="s">
        <v>29</v>
      </c>
      <c r="J82" s="229">
        <v>2</v>
      </c>
      <c r="K82" s="263">
        <f t="shared" si="13"/>
        <v>2</v>
      </c>
      <c r="L82" s="264">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65" t="str">
        <f t="shared" si="13"/>
        <v/>
      </c>
      <c r="L83" s="264"/>
      <c r="M83" s="234" t="str">
        <f>IF(L83&lt;&gt;"",VLOOKUP($B83,Invulblad!$A$11:$S$103,7,0),"")</f>
        <v/>
      </c>
      <c r="O83" s="234" t="str">
        <f>IF(L83&lt;&gt;"",VLOOKUP($B83,Invulblad!$A$11:$S$103,9,0),"")</f>
        <v/>
      </c>
    </row>
    <row r="84" spans="1:16">
      <c r="A84" s="205">
        <v>81</v>
      </c>
      <c r="B84" s="212">
        <v>61</v>
      </c>
      <c r="C84" s="226">
        <v>40365</v>
      </c>
      <c r="D84" s="227">
        <v>0.85416666666666663</v>
      </c>
      <c r="E84" s="228" t="s">
        <v>32</v>
      </c>
      <c r="F84" s="229" t="s">
        <v>29</v>
      </c>
      <c r="G84" s="222" t="s">
        <v>265</v>
      </c>
      <c r="H84" s="229">
        <v>2</v>
      </c>
      <c r="I84" s="229" t="s">
        <v>29</v>
      </c>
      <c r="J84" s="229">
        <v>3</v>
      </c>
      <c r="K84" s="263">
        <f t="shared" si="13"/>
        <v>2</v>
      </c>
      <c r="L84" s="264">
        <f>VLOOKUP($B84,Invulblad!$A$11:$S$103,13,0)</f>
        <v>2</v>
      </c>
      <c r="M84" s="234">
        <f>IF(L84&lt;&gt;"",VLOOKUP($B84,Invulblad!$A$11:$S$103,7,0),"")</f>
        <v>2</v>
      </c>
      <c r="N84" s="229" t="s">
        <v>29</v>
      </c>
      <c r="O84" s="234">
        <f>IF(L84&lt;&gt;"",VLOOKUP($B84,Invulblad!$A$11:$S$103,9,0),"")</f>
        <v>3</v>
      </c>
      <c r="P84" s="235">
        <f>IF(L84&lt;&gt;"",IF(AND(M84=H84,O84=J84),10,IF(K84=L84,5,0)),"")</f>
        <v>10</v>
      </c>
    </row>
    <row r="85" spans="1:16">
      <c r="A85" s="205">
        <v>82</v>
      </c>
      <c r="B85" s="212">
        <v>62</v>
      </c>
      <c r="C85" s="226">
        <v>40366</v>
      </c>
      <c r="D85" s="227">
        <v>0.85416666666666663</v>
      </c>
      <c r="E85" s="228" t="s">
        <v>116</v>
      </c>
      <c r="F85" s="229" t="s">
        <v>29</v>
      </c>
      <c r="G85" s="222" t="s">
        <v>200</v>
      </c>
      <c r="H85" s="229">
        <v>1</v>
      </c>
      <c r="I85" s="229" t="s">
        <v>29</v>
      </c>
      <c r="J85" s="229">
        <v>2</v>
      </c>
      <c r="K85" s="263">
        <f t="shared" si="13"/>
        <v>2</v>
      </c>
      <c r="L85" s="264"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65" t="str">
        <f t="shared" si="13"/>
        <v/>
      </c>
      <c r="L86" s="264"/>
      <c r="M86" s="234" t="str">
        <f>IF(L86&lt;&gt;"",VLOOKUP($B86,Invulblad!$A$11:$S$103,7,0),"")</f>
        <v/>
      </c>
      <c r="N86" s="229"/>
      <c r="O86" s="234" t="str">
        <f>IF(L86&lt;&gt;"",VLOOKUP($B86,Invulblad!$A$11:$S$103,9,0),"")</f>
        <v/>
      </c>
    </row>
    <row r="87" spans="1:16">
      <c r="A87" s="205">
        <v>85</v>
      </c>
      <c r="B87" s="212">
        <v>63</v>
      </c>
      <c r="C87" s="226">
        <v>40369</v>
      </c>
      <c r="D87" s="227">
        <v>0.85416666666666663</v>
      </c>
      <c r="E87" s="228" t="s">
        <v>32</v>
      </c>
      <c r="F87" s="229" t="s">
        <v>29</v>
      </c>
      <c r="G87" s="222" t="s">
        <v>116</v>
      </c>
      <c r="H87" s="229">
        <v>1</v>
      </c>
      <c r="I87" s="229" t="s">
        <v>29</v>
      </c>
      <c r="J87" s="229">
        <v>2</v>
      </c>
      <c r="K87" s="263">
        <f t="shared" si="13"/>
        <v>2</v>
      </c>
      <c r="L87" s="264"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65" t="str">
        <f t="shared" si="13"/>
        <v/>
      </c>
      <c r="L88" s="264"/>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200</v>
      </c>
      <c r="H89" s="229">
        <v>1</v>
      </c>
      <c r="I89" s="229" t="s">
        <v>29</v>
      </c>
      <c r="J89" s="229">
        <v>3</v>
      </c>
      <c r="K89" s="263">
        <f t="shared" si="13"/>
        <v>2</v>
      </c>
      <c r="L89" s="264"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66"/>
      <c r="L90" s="267"/>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205</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225</v>
      </c>
      <c r="D101" s="241" t="s">
        <v>316</v>
      </c>
      <c r="E101" s="241" t="s">
        <v>330</v>
      </c>
    </row>
    <row r="102" spans="2:5">
      <c r="B102" s="242" t="s">
        <v>214</v>
      </c>
      <c r="C102" s="242" t="s">
        <v>211</v>
      </c>
      <c r="D102" s="242" t="s">
        <v>215</v>
      </c>
      <c r="E102" s="242" t="s">
        <v>226</v>
      </c>
    </row>
    <row r="103" spans="2:5">
      <c r="B103" s="241" t="s">
        <v>109</v>
      </c>
      <c r="C103" s="241" t="s">
        <v>211</v>
      </c>
      <c r="D103" s="241" t="s">
        <v>218</v>
      </c>
      <c r="E103" s="241" t="s">
        <v>217</v>
      </c>
    </row>
    <row r="104" spans="2:5">
      <c r="B104" s="242" t="s">
        <v>107</v>
      </c>
      <c r="C104" s="242" t="s">
        <v>212</v>
      </c>
      <c r="D104" s="242" t="s">
        <v>331</v>
      </c>
      <c r="E104" s="242" t="s">
        <v>218</v>
      </c>
    </row>
    <row r="107" spans="2:5">
      <c r="B107" s="218" t="s">
        <v>219</v>
      </c>
    </row>
    <row r="108" spans="2:5">
      <c r="B108" s="212"/>
    </row>
    <row r="109" spans="2:5">
      <c r="B109" s="212" t="s">
        <v>220</v>
      </c>
    </row>
    <row r="110" spans="2:5">
      <c r="B110" s="212" t="s">
        <v>323</v>
      </c>
    </row>
    <row r="113" spans="1:15">
      <c r="B113" s="243"/>
      <c r="C113" s="243"/>
      <c r="D113" s="243"/>
      <c r="E113" s="243"/>
      <c r="F113" s="243"/>
      <c r="G113" s="243"/>
      <c r="H113" s="243"/>
      <c r="I113" s="243"/>
      <c r="J113" s="243"/>
      <c r="K113" s="268"/>
      <c r="L113" s="269"/>
      <c r="M113" s="243"/>
      <c r="N113" s="243"/>
      <c r="O113" s="243"/>
    </row>
    <row r="116" spans="1:15">
      <c r="B116" s="218" t="s">
        <v>222</v>
      </c>
    </row>
    <row r="118" spans="1:15">
      <c r="A118" s="270" t="s">
        <v>75</v>
      </c>
      <c r="B118" s="206" t="s">
        <v>202</v>
      </c>
      <c r="C118" s="206" t="s">
        <v>203</v>
      </c>
      <c r="D118" s="218" t="s">
        <v>116</v>
      </c>
    </row>
    <row r="119" spans="1:15">
      <c r="A119" s="205"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218</v>
      </c>
      <c r="D125" s="241" t="s">
        <v>233</v>
      </c>
      <c r="E125" s="241" t="s">
        <v>211</v>
      </c>
    </row>
    <row r="126" spans="1:15">
      <c r="B126" s="242" t="s">
        <v>116</v>
      </c>
      <c r="C126" s="242" t="s">
        <v>225</v>
      </c>
      <c r="D126" s="242" t="s">
        <v>211</v>
      </c>
      <c r="E126" s="242" t="s">
        <v>234</v>
      </c>
    </row>
    <row r="127" spans="1:15">
      <c r="B127" s="241" t="s">
        <v>122</v>
      </c>
      <c r="C127" s="241" t="s">
        <v>211</v>
      </c>
      <c r="D127" s="241" t="s">
        <v>218</v>
      </c>
      <c r="E127" s="241" t="s">
        <v>226</v>
      </c>
    </row>
    <row r="128" spans="1:15">
      <c r="B128" s="242" t="s">
        <v>118</v>
      </c>
      <c r="C128" s="242" t="s">
        <v>213</v>
      </c>
      <c r="D128" s="242" t="s">
        <v>227</v>
      </c>
      <c r="E128" s="242" t="s">
        <v>211</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c r="K137" s="268"/>
      <c r="L137" s="269"/>
      <c r="M137" s="243"/>
      <c r="N137" s="243"/>
      <c r="O137" s="243"/>
    </row>
    <row r="140" spans="1:15">
      <c r="B140" s="218" t="s">
        <v>231</v>
      </c>
    </row>
    <row r="142" spans="1:15">
      <c r="A142" s="205" t="s">
        <v>77</v>
      </c>
      <c r="B142" s="206" t="s">
        <v>202</v>
      </c>
      <c r="C142" s="206" t="s">
        <v>203</v>
      </c>
      <c r="D142" s="218" t="s">
        <v>32</v>
      </c>
    </row>
    <row r="143" spans="1:15">
      <c r="A143" s="205" t="s">
        <v>78</v>
      </c>
      <c r="B143" s="206" t="s">
        <v>204</v>
      </c>
      <c r="C143" s="206" t="s">
        <v>203</v>
      </c>
      <c r="D143" s="218" t="s">
        <v>124</v>
      </c>
    </row>
    <row r="146" spans="2:5">
      <c r="B146" s="218" t="s">
        <v>232</v>
      </c>
    </row>
    <row r="148" spans="2:5">
      <c r="B148" s="240" t="s">
        <v>207</v>
      </c>
      <c r="C148" s="240" t="s">
        <v>208</v>
      </c>
      <c r="D148" s="240" t="s">
        <v>209</v>
      </c>
      <c r="E148" s="240" t="s">
        <v>210</v>
      </c>
    </row>
    <row r="149" spans="2:5">
      <c r="B149" s="241" t="s">
        <v>126</v>
      </c>
      <c r="C149" s="241" t="s">
        <v>212</v>
      </c>
      <c r="D149" s="241" t="s">
        <v>314</v>
      </c>
      <c r="E149" s="241" t="s">
        <v>212</v>
      </c>
    </row>
    <row r="150" spans="2:5">
      <c r="B150" s="242" t="s">
        <v>124</v>
      </c>
      <c r="C150" s="242" t="s">
        <v>234</v>
      </c>
      <c r="D150" s="242" t="s">
        <v>217</v>
      </c>
      <c r="E150" s="242" t="s">
        <v>226</v>
      </c>
    </row>
    <row r="151" spans="2:5">
      <c r="B151" s="241" t="s">
        <v>128</v>
      </c>
      <c r="C151" s="241" t="s">
        <v>213</v>
      </c>
      <c r="D151" s="241" t="s">
        <v>224</v>
      </c>
      <c r="E151" s="241" t="s">
        <v>218</v>
      </c>
    </row>
    <row r="152" spans="2:5">
      <c r="B152" s="242" t="s">
        <v>32</v>
      </c>
      <c r="C152" s="242" t="s">
        <v>234</v>
      </c>
      <c r="D152" s="242" t="s">
        <v>226</v>
      </c>
      <c r="E152" s="242" t="s">
        <v>234</v>
      </c>
    </row>
    <row r="155" spans="2:5">
      <c r="B155" s="218" t="s">
        <v>235</v>
      </c>
    </row>
    <row r="156" spans="2:5">
      <c r="B156" s="212"/>
    </row>
    <row r="157" spans="2:5">
      <c r="B157" s="212" t="s">
        <v>311</v>
      </c>
    </row>
    <row r="158" spans="2:5">
      <c r="B158" s="212"/>
    </row>
    <row r="161" spans="1:15">
      <c r="B161" s="243"/>
      <c r="C161" s="243"/>
      <c r="D161" s="243"/>
      <c r="E161" s="243"/>
      <c r="F161" s="243"/>
      <c r="G161" s="243"/>
      <c r="H161" s="243"/>
      <c r="I161" s="243"/>
      <c r="J161" s="243"/>
    </row>
    <row r="162" spans="1:15">
      <c r="K162" s="268"/>
      <c r="L162" s="269"/>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244</v>
      </c>
    </row>
    <row r="170" spans="1:15">
      <c r="B170" s="218" t="s">
        <v>241</v>
      </c>
    </row>
    <row r="172" spans="1:15">
      <c r="B172" s="240" t="s">
        <v>207</v>
      </c>
      <c r="C172" s="240" t="s">
        <v>208</v>
      </c>
      <c r="D172" s="240" t="s">
        <v>209</v>
      </c>
      <c r="E172" s="240" t="s">
        <v>210</v>
      </c>
    </row>
    <row r="173" spans="1:15">
      <c r="B173" s="241" t="s">
        <v>239</v>
      </c>
      <c r="C173" s="241" t="s">
        <v>234</v>
      </c>
      <c r="D173" s="241" t="s">
        <v>213</v>
      </c>
      <c r="E173" s="241" t="s">
        <v>226</v>
      </c>
    </row>
    <row r="174" spans="1:15">
      <c r="B174" s="242" t="s">
        <v>242</v>
      </c>
      <c r="C174" s="242" t="s">
        <v>213</v>
      </c>
      <c r="D174" s="242" t="s">
        <v>216</v>
      </c>
      <c r="E174" s="242" t="s">
        <v>215</v>
      </c>
    </row>
    <row r="175" spans="1:15">
      <c r="B175" s="241" t="s">
        <v>244</v>
      </c>
      <c r="C175" s="241" t="s">
        <v>226</v>
      </c>
      <c r="D175" s="241" t="s">
        <v>218</v>
      </c>
      <c r="E175" s="241" t="s">
        <v>211</v>
      </c>
    </row>
    <row r="176" spans="1:15">
      <c r="B176" s="242" t="s">
        <v>240</v>
      </c>
      <c r="C176" s="242" t="s">
        <v>218</v>
      </c>
      <c r="D176" s="242" t="s">
        <v>233</v>
      </c>
      <c r="E176" s="242" t="s">
        <v>213</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68"/>
      <c r="L185" s="269"/>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248</v>
      </c>
    </row>
    <row r="194" spans="2:5">
      <c r="B194" s="218" t="s">
        <v>249</v>
      </c>
    </row>
    <row r="196" spans="2:5">
      <c r="B196" s="240" t="s">
        <v>207</v>
      </c>
      <c r="C196" s="240" t="s">
        <v>208</v>
      </c>
      <c r="D196" s="240" t="s">
        <v>209</v>
      </c>
      <c r="E196" s="240" t="s">
        <v>210</v>
      </c>
    </row>
    <row r="197" spans="2:5">
      <c r="B197" s="241" t="s">
        <v>178</v>
      </c>
      <c r="C197" s="241" t="s">
        <v>225</v>
      </c>
      <c r="D197" s="241" t="s">
        <v>217</v>
      </c>
      <c r="E197" s="241" t="s">
        <v>234</v>
      </c>
    </row>
    <row r="198" spans="2:5">
      <c r="B198" s="242" t="s">
        <v>250</v>
      </c>
      <c r="C198" s="242" t="s">
        <v>213</v>
      </c>
      <c r="D198" s="242" t="s">
        <v>216</v>
      </c>
      <c r="E198" s="242" t="s">
        <v>213</v>
      </c>
    </row>
    <row r="199" spans="2:5">
      <c r="B199" s="241" t="s">
        <v>251</v>
      </c>
      <c r="C199" s="241" t="s">
        <v>218</v>
      </c>
      <c r="D199" s="241" t="s">
        <v>233</v>
      </c>
      <c r="E199" s="241" t="s">
        <v>215</v>
      </c>
    </row>
    <row r="200" spans="2:5">
      <c r="B200" s="242" t="s">
        <v>248</v>
      </c>
      <c r="C200" s="242" t="s">
        <v>211</v>
      </c>
      <c r="D200" s="242" t="s">
        <v>216</v>
      </c>
      <c r="E200" s="242" t="s">
        <v>211</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68"/>
      <c r="L209" s="269"/>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182</v>
      </c>
    </row>
    <row r="218" spans="1:15">
      <c r="B218" s="218" t="s">
        <v>258</v>
      </c>
    </row>
    <row r="220" spans="1:15">
      <c r="B220" s="240" t="s">
        <v>207</v>
      </c>
      <c r="C220" s="240" t="s">
        <v>208</v>
      </c>
      <c r="D220" s="240" t="s">
        <v>209</v>
      </c>
      <c r="E220" s="240" t="s">
        <v>210</v>
      </c>
    </row>
    <row r="221" spans="1:15">
      <c r="B221" s="241" t="s">
        <v>257</v>
      </c>
      <c r="C221" s="241" t="s">
        <v>225</v>
      </c>
      <c r="D221" s="241" t="s">
        <v>211</v>
      </c>
      <c r="E221" s="241" t="s">
        <v>211</v>
      </c>
    </row>
    <row r="222" spans="1:15">
      <c r="B222" s="242" t="s">
        <v>259</v>
      </c>
      <c r="C222" s="242" t="s">
        <v>212</v>
      </c>
      <c r="D222" s="242" t="s">
        <v>224</v>
      </c>
      <c r="E222" s="242" t="s">
        <v>212</v>
      </c>
    </row>
    <row r="223" spans="1:15">
      <c r="B223" s="241" t="s">
        <v>182</v>
      </c>
      <c r="C223" s="241" t="s">
        <v>226</v>
      </c>
      <c r="D223" s="241" t="s">
        <v>218</v>
      </c>
      <c r="E223" s="241" t="s">
        <v>213</v>
      </c>
    </row>
    <row r="224" spans="1:15">
      <c r="B224" s="242" t="s">
        <v>260</v>
      </c>
      <c r="C224" s="242" t="s">
        <v>213</v>
      </c>
      <c r="D224" s="242" t="s">
        <v>212</v>
      </c>
      <c r="E224" s="242" t="s">
        <v>213</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68"/>
      <c r="L233" s="269"/>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266</v>
      </c>
    </row>
    <row r="242" spans="2:15">
      <c r="B242" s="218" t="s">
        <v>267</v>
      </c>
    </row>
    <row r="244" spans="2:15">
      <c r="B244" s="240" t="s">
        <v>207</v>
      </c>
      <c r="C244" s="240" t="s">
        <v>208</v>
      </c>
      <c r="D244" s="240" t="s">
        <v>209</v>
      </c>
      <c r="E244" s="240" t="s">
        <v>210</v>
      </c>
    </row>
    <row r="245" spans="2:15">
      <c r="B245" s="241" t="s">
        <v>268</v>
      </c>
      <c r="C245" s="241" t="s">
        <v>213</v>
      </c>
      <c r="D245" s="241" t="s">
        <v>233</v>
      </c>
      <c r="E245" s="241" t="s">
        <v>211</v>
      </c>
    </row>
    <row r="246" spans="2:15">
      <c r="B246" s="242" t="s">
        <v>265</v>
      </c>
      <c r="C246" s="242" t="s">
        <v>225</v>
      </c>
      <c r="D246" s="242" t="s">
        <v>317</v>
      </c>
      <c r="E246" s="242" t="s">
        <v>332</v>
      </c>
    </row>
    <row r="247" spans="2:15">
      <c r="B247" s="241" t="s">
        <v>266</v>
      </c>
      <c r="C247" s="241" t="s">
        <v>226</v>
      </c>
      <c r="D247" s="241" t="s">
        <v>213</v>
      </c>
      <c r="E247" s="241" t="s">
        <v>234</v>
      </c>
    </row>
    <row r="248" spans="2:15">
      <c r="B248" s="242" t="s">
        <v>269</v>
      </c>
      <c r="C248" s="242" t="s">
        <v>212</v>
      </c>
      <c r="D248" s="242" t="s">
        <v>333</v>
      </c>
      <c r="E248" s="242" t="s">
        <v>212</v>
      </c>
    </row>
    <row r="251" spans="2:15">
      <c r="B251" s="218" t="s">
        <v>270</v>
      </c>
    </row>
    <row r="252" spans="2:15">
      <c r="B252" s="212"/>
    </row>
    <row r="253" spans="2:15">
      <c r="B253" s="212" t="s">
        <v>271</v>
      </c>
    </row>
    <row r="254" spans="2:15">
      <c r="B254" s="212" t="s">
        <v>272</v>
      </c>
    </row>
    <row r="256" spans="2:15">
      <c r="B256" s="243"/>
      <c r="C256" s="243"/>
      <c r="D256" s="243"/>
      <c r="E256" s="243"/>
      <c r="F256" s="243"/>
      <c r="G256" s="243"/>
      <c r="H256" s="243"/>
      <c r="I256" s="243"/>
      <c r="J256" s="243"/>
      <c r="K256" s="268"/>
      <c r="L256" s="269"/>
      <c r="M256" s="243"/>
      <c r="N256" s="243"/>
      <c r="O256" s="243"/>
    </row>
    <row r="259" spans="1:5">
      <c r="B259" s="218" t="s">
        <v>273</v>
      </c>
    </row>
    <row r="261" spans="1:5">
      <c r="A261" s="205" t="s">
        <v>87</v>
      </c>
      <c r="B261" s="206" t="s">
        <v>202</v>
      </c>
      <c r="C261" s="206" t="s">
        <v>203</v>
      </c>
      <c r="D261" s="218" t="s">
        <v>200</v>
      </c>
    </row>
    <row r="262" spans="1:5">
      <c r="A262" s="205" t="s">
        <v>88</v>
      </c>
      <c r="B262" s="206" t="s">
        <v>204</v>
      </c>
      <c r="C262" s="206" t="s">
        <v>203</v>
      </c>
      <c r="D262" s="218" t="s">
        <v>277</v>
      </c>
    </row>
    <row r="265" spans="1:5">
      <c r="B265" s="218" t="s">
        <v>275</v>
      </c>
    </row>
    <row r="267" spans="1:5">
      <c r="B267" s="240" t="s">
        <v>207</v>
      </c>
      <c r="C267" s="240" t="s">
        <v>208</v>
      </c>
      <c r="D267" s="240" t="s">
        <v>209</v>
      </c>
      <c r="E267" s="240" t="s">
        <v>210</v>
      </c>
    </row>
    <row r="268" spans="1:5">
      <c r="B268" s="241" t="s">
        <v>274</v>
      </c>
      <c r="C268" s="241" t="s">
        <v>213</v>
      </c>
      <c r="D268" s="241" t="s">
        <v>212</v>
      </c>
      <c r="E268" s="241" t="s">
        <v>213</v>
      </c>
    </row>
    <row r="269" spans="1:5">
      <c r="B269" s="242" t="s">
        <v>200</v>
      </c>
      <c r="C269" s="242" t="s">
        <v>225</v>
      </c>
      <c r="D269" s="242" t="s">
        <v>211</v>
      </c>
      <c r="E269" s="242" t="s">
        <v>226</v>
      </c>
    </row>
    <row r="270" spans="1:5">
      <c r="B270" s="241" t="s">
        <v>276</v>
      </c>
      <c r="C270" s="241" t="s">
        <v>218</v>
      </c>
      <c r="D270" s="241" t="s">
        <v>243</v>
      </c>
      <c r="E270" s="241" t="s">
        <v>218</v>
      </c>
    </row>
    <row r="271" spans="1:5">
      <c r="B271" s="242" t="s">
        <v>277</v>
      </c>
      <c r="C271" s="242" t="s">
        <v>211</v>
      </c>
      <c r="D271" s="242" t="s">
        <v>212</v>
      </c>
      <c r="E271" s="242" t="s">
        <v>218</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c r="K280" s="268"/>
      <c r="L280" s="269"/>
      <c r="M280" s="243"/>
      <c r="N280" s="243"/>
      <c r="O280"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paperSize="9" firstPageNumber="0" orientation="portrait" horizontalDpi="300" verticalDpi="300"/>
  <headerFooter alignWithMargins="0"/>
</worksheet>
</file>

<file path=xl/worksheets/sheet9.xml><?xml version="1.0" encoding="utf-8"?>
<worksheet xmlns="http://schemas.openxmlformats.org/spreadsheetml/2006/main" xmlns:r="http://schemas.openxmlformats.org/officeDocument/2006/relationships">
  <dimension ref="A1:Q310"/>
  <sheetViews>
    <sheetView zoomScale="80" zoomScaleNormal="80" workbookViewId="0">
      <selection activeCell="F12" sqref="F12"/>
    </sheetView>
  </sheetViews>
  <sheetFormatPr defaultRowHeight="15"/>
  <cols>
    <col min="1" max="1" width="6.7109375" style="205" customWidth="1"/>
    <col min="2" max="4" width="9.140625" style="206"/>
    <col min="5" max="5" width="15.140625" style="206" customWidth="1"/>
    <col min="6" max="6" width="5" style="206" customWidth="1"/>
    <col min="7" max="7" width="14" style="206" customWidth="1"/>
    <col min="8" max="8" width="4.140625" style="206" customWidth="1"/>
    <col min="9" max="9" width="2.28515625" style="206" customWidth="1"/>
    <col min="10" max="10" width="5" style="206" customWidth="1"/>
    <col min="11" max="11" width="7.28515625" style="206" customWidth="1"/>
    <col min="12" max="12" width="3.28515625" style="207" customWidth="1"/>
    <col min="13" max="13" width="4.28515625" style="206" customWidth="1"/>
    <col min="14" max="14" width="2.85546875" style="206" customWidth="1"/>
    <col min="15" max="15" width="4.28515625" style="206" customWidth="1"/>
    <col min="16" max="16384" width="9.140625" style="206"/>
  </cols>
  <sheetData>
    <row r="1" spans="1:17" s="210" customFormat="1" ht="21">
      <c r="A1" s="208"/>
      <c r="B1" s="209" t="s">
        <v>318</v>
      </c>
      <c r="L1" s="211"/>
      <c r="P1" s="210">
        <f>SUM(P14:P89)+E11+H11+L7+L11</f>
        <v>440</v>
      </c>
    </row>
    <row r="2" spans="1:17" s="212" customFormat="1" ht="15" customHeight="1">
      <c r="B2" s="213" t="s">
        <v>97</v>
      </c>
      <c r="G2" s="213" t="s">
        <v>98</v>
      </c>
      <c r="J2" s="213" t="s">
        <v>99</v>
      </c>
      <c r="L2" s="214"/>
    </row>
    <row r="3" spans="1:17" s="212" customFormat="1" ht="15" customHeight="1">
      <c r="B3" s="212" t="str">
        <f t="shared" ref="B3:B10" si="0">E70</f>
        <v>Uruguay</v>
      </c>
      <c r="C3" s="247">
        <f>IF(AND(ISNA(MATCH(B3,Invulblad!$F$76:$F$83,0)),ISNA(MATCH(B3,Invulblad!$J$76:$J$83,0))),0,10)</f>
        <v>10</v>
      </c>
      <c r="D3" s="212" t="str">
        <f t="shared" ref="D3:D10" si="1">G70</f>
        <v>Nigeria</v>
      </c>
      <c r="E3" s="247">
        <f>IF(AND(ISNA(MATCH(D3,Invulblad!$F$76:$F$83,0)),ISNA(MATCH(D3,Invulblad!$J$76:$J$83,0))),0,10)</f>
        <v>0</v>
      </c>
      <c r="G3" s="212" t="str">
        <f>E79</f>
        <v>Nederland</v>
      </c>
      <c r="H3" s="247">
        <f>IF(AND(ISNA(MATCH(G3,Invulblad!$F$87:$F$90,0)),ISNA(MATCH(G3,Invulblad!$J$87:$J$90,0))),0,15)</f>
        <v>15</v>
      </c>
      <c r="J3" s="212" t="str">
        <f>E84</f>
        <v>Engeland</v>
      </c>
      <c r="L3" s="247">
        <f>IF(AND(ISNA(MATCH(J3,Invulblad!$F$94:$F$95,0)),ISNA(MATCH(J3,Invulblad!$J$94:$J$95,0))),0,20+25)</f>
        <v>0</v>
      </c>
      <c r="Q3" s="248"/>
    </row>
    <row r="4" spans="1:17" s="212" customFormat="1" ht="15" customHeight="1">
      <c r="B4" s="212" t="str">
        <f t="shared" si="0"/>
        <v>Engeland</v>
      </c>
      <c r="C4" s="247">
        <f>IF(AND(ISNA(MATCH(B4,Invulblad!$F$76:$F$83,0)),ISNA(MATCH(B4,Invulblad!$J$76:$J$83,0))),0,10)</f>
        <v>10</v>
      </c>
      <c r="D4" s="212" t="str">
        <f t="shared" si="1"/>
        <v>Australië</v>
      </c>
      <c r="E4" s="247">
        <f>IF(AND(ISNA(MATCH(D4,Invulblad!$F$76:$F$83,0)),ISNA(MATCH(D4,Invulblad!$J$76:$J$83,0))),0,10)</f>
        <v>0</v>
      </c>
      <c r="G4" s="212" t="str">
        <f>E80</f>
        <v>Uruguay</v>
      </c>
      <c r="H4" s="247">
        <f>IF(AND(ISNA(MATCH(G4,Invulblad!$F$87:$F$90,0)),ISNA(MATCH(G4,Invulblad!$J$87:$J$90,0))),0,15)</f>
        <v>15</v>
      </c>
      <c r="J4" s="212" t="str">
        <f>E85</f>
        <v>Argentinië</v>
      </c>
      <c r="L4" s="247">
        <f>IF(AND(ISNA(MATCH(J4,Invulblad!$F$94:$F$95,0)),ISNA(MATCH(J4,Invulblad!$J$94:$J$95,0))),0,20+25)</f>
        <v>0</v>
      </c>
      <c r="Q4" s="249"/>
    </row>
    <row r="5" spans="1:17" s="212" customFormat="1" ht="15" customHeight="1">
      <c r="B5" s="212" t="str">
        <f t="shared" si="0"/>
        <v>Duitsland</v>
      </c>
      <c r="C5" s="247">
        <f>IF(AND(ISNA(MATCH(B5,Invulblad!$F$76:$F$83,0)),ISNA(MATCH(B5,Invulblad!$J$76:$J$83,0))),0,10)</f>
        <v>10</v>
      </c>
      <c r="D5" s="212" t="str">
        <f t="shared" si="1"/>
        <v>Slovenië</v>
      </c>
      <c r="E5" s="247">
        <f>IF(AND(ISNA(MATCH(D5,Invulblad!$F$76:$F$83,0)),ISNA(MATCH(D5,Invulblad!$J$76:$J$83,0))),0,10)</f>
        <v>0</v>
      </c>
      <c r="G5" s="212" t="str">
        <f>E81</f>
        <v>Argentinië</v>
      </c>
      <c r="H5" s="247">
        <f>IF(AND(ISNA(MATCH(G5,Invulblad!$F$87:$F$90,0)),ISNA(MATCH(G5,Invulblad!$J$87:$J$90,0))),0,15)</f>
        <v>15</v>
      </c>
      <c r="J5" s="212" t="str">
        <f>G84</f>
        <v>Brazilië</v>
      </c>
      <c r="L5" s="247">
        <f>IF(AND(ISNA(MATCH(J5,Invulblad!$F$94:$F$95,0)),ISNA(MATCH(J5,Invulblad!$J$94:$J$95,0))),0,20+25)</f>
        <v>0</v>
      </c>
    </row>
    <row r="6" spans="1:17" s="212" customFormat="1" ht="15" customHeight="1">
      <c r="B6" s="212" t="str">
        <f t="shared" si="0"/>
        <v>Argentinië</v>
      </c>
      <c r="C6" s="247">
        <f>IF(AND(ISNA(MATCH(B6,Invulblad!$F$76:$F$83,0)),ISNA(MATCH(B6,Invulblad!$J$76:$J$83,0))),0,10)</f>
        <v>10</v>
      </c>
      <c r="D6" s="212" t="str">
        <f t="shared" si="1"/>
        <v>Mexico</v>
      </c>
      <c r="E6" s="247">
        <f>IF(AND(ISNA(MATCH(D6,Invulblad!$F$76:$F$83,0)),ISNA(MATCH(D6,Invulblad!$J$76:$J$83,0))),0,10)</f>
        <v>10</v>
      </c>
      <c r="G6" s="212" t="str">
        <f>E82</f>
        <v>Italië</v>
      </c>
      <c r="H6" s="247">
        <f>IF(AND(ISNA(MATCH(G6,Invulblad!$F$87:$F$90,0)),ISNA(MATCH(G6,Invulblad!$J$87:$J$90,0))),0,15)</f>
        <v>0</v>
      </c>
      <c r="J6" s="212" t="str">
        <f>G85</f>
        <v>Spanje</v>
      </c>
      <c r="L6" s="247">
        <f>IF(AND(ISNA(MATCH(J6,Invulblad!$F$94:$F$95,0)),ISNA(MATCH(J6,Invulblad!$J$94:$J$95,0))),0,20+25)</f>
        <v>45</v>
      </c>
    </row>
    <row r="7" spans="1:17" s="212" customFormat="1" ht="15" customHeight="1">
      <c r="B7" s="212" t="str">
        <f t="shared" si="0"/>
        <v>Nederland</v>
      </c>
      <c r="C7" s="247">
        <f>IF(AND(ISNA(MATCH(B7,Invulblad!$F$76:$F$83,0)),ISNA(MATCH(B7,Invulblad!$J$76:$J$83,0))),0,10)</f>
        <v>10</v>
      </c>
      <c r="D7" s="212" t="str">
        <f t="shared" si="1"/>
        <v>Slowakije</v>
      </c>
      <c r="E7" s="247">
        <f>IF(AND(ISNA(MATCH(D7,Invulblad!$F$76:$F$83,0)),ISNA(MATCH(D7,Invulblad!$J$76:$J$83,0))),0,10)</f>
        <v>10</v>
      </c>
      <c r="G7" s="212" t="str">
        <f>G79</f>
        <v>Brazilië</v>
      </c>
      <c r="H7" s="247">
        <f>IF(AND(ISNA(MATCH(G7,Invulblad!$F$87:$F$90,0)),ISNA(MATCH(G7,Invulblad!$J$87:$J$90,0))),0,15)</f>
        <v>15</v>
      </c>
      <c r="J7" s="215" t="s">
        <v>93</v>
      </c>
      <c r="K7" s="216"/>
      <c r="L7" s="250">
        <f>SUM(L3:L6)</f>
        <v>45</v>
      </c>
    </row>
    <row r="8" spans="1:17" s="212" customFormat="1" ht="15" customHeight="1">
      <c r="B8" s="212" t="str">
        <f t="shared" si="0"/>
        <v>Brazilië</v>
      </c>
      <c r="C8" s="247">
        <f>IF(AND(ISNA(MATCH(B8,Invulblad!$F$76:$F$83,0)),ISNA(MATCH(B8,Invulblad!$J$76:$J$83,0))),0,10)</f>
        <v>10</v>
      </c>
      <c r="D8" s="212" t="str">
        <f t="shared" si="1"/>
        <v>Zwitserland</v>
      </c>
      <c r="E8" s="247">
        <f>IF(AND(ISNA(MATCH(D8,Invulblad!$F$76:$F$83,0)),ISNA(MATCH(D8,Invulblad!$J$76:$J$83,0))),0,10)</f>
        <v>0</v>
      </c>
      <c r="G8" s="212" t="str">
        <f>G80</f>
        <v>Engeland</v>
      </c>
      <c r="H8" s="247">
        <f>IF(AND(ISNA(MATCH(G8,Invulblad!$F$87:$F$90,0)),ISNA(MATCH(G8,Invulblad!$J$87:$J$90,0))),0,15)</f>
        <v>0</v>
      </c>
      <c r="J8" s="213" t="s">
        <v>49</v>
      </c>
      <c r="L8" s="214"/>
    </row>
    <row r="9" spans="1:17" s="212" customFormat="1" ht="15" customHeight="1">
      <c r="B9" s="212" t="str">
        <f t="shared" si="0"/>
        <v>Italië</v>
      </c>
      <c r="C9" s="247">
        <f>IF(AND(ISNA(MATCH(B9,Invulblad!$F$76:$F$83,0)),ISNA(MATCH(B9,Invulblad!$J$76:$J$83,0))),0,10)</f>
        <v>0</v>
      </c>
      <c r="D9" s="212" t="str">
        <f t="shared" si="1"/>
        <v>Denemarken</v>
      </c>
      <c r="E9" s="247">
        <f>IF(AND(ISNA(MATCH(D9,Invulblad!$F$76:$F$83,0)),ISNA(MATCH(D9,Invulblad!$J$76:$J$83,0))),0,10)</f>
        <v>0</v>
      </c>
      <c r="G9" s="212" t="str">
        <f>G81</f>
        <v>Duitsland</v>
      </c>
      <c r="H9" s="247">
        <f>IF(AND(ISNA(MATCH(G9,Invulblad!$F$87:$F$90,0)),ISNA(MATCH(G9,Invulblad!$J$87:$J$90,0))),0,15)</f>
        <v>15</v>
      </c>
      <c r="J9" s="212" t="str">
        <f>E89</f>
        <v>Brazilië</v>
      </c>
      <c r="L9" s="247">
        <f>IF(AND(ISNA(MATCH(J9,Invulblad!$F$103,0)),ISNA(MATCH(J9,Invulblad!$J$103,0))),0,5)</f>
        <v>0</v>
      </c>
    </row>
    <row r="10" spans="1:17" s="212" customFormat="1" ht="15" customHeight="1">
      <c r="B10" s="212" t="str">
        <f t="shared" si="0"/>
        <v>Spanje</v>
      </c>
      <c r="C10" s="247">
        <f>IF(AND(ISNA(MATCH(B10,Invulblad!$F$76:$F$83,0)),ISNA(MATCH(B10,Invulblad!$J$76:$J$83,0))),0,10)</f>
        <v>10</v>
      </c>
      <c r="D10" s="212" t="str">
        <f t="shared" si="1"/>
        <v>Portugal</v>
      </c>
      <c r="E10" s="247">
        <f>IF(AND(ISNA(MATCH(D10,Invulblad!$F$76:$F$83,0)),ISNA(MATCH(D10,Invulblad!$J$76:$J$83,0))),0,10)</f>
        <v>10</v>
      </c>
      <c r="G10" s="212" t="str">
        <f>G82</f>
        <v>Spanje</v>
      </c>
      <c r="H10" s="247">
        <f>IF(AND(ISNA(MATCH(G10,Invulblad!$F$87:$F$90,0)),ISNA(MATCH(G10,Invulblad!$J$87:$J$90,0))),0,15)</f>
        <v>15</v>
      </c>
      <c r="J10" s="212" t="str">
        <f>G89</f>
        <v>Argentinië</v>
      </c>
      <c r="L10" s="247">
        <f>IF(AND(ISNA(MATCH(J10,Invulblad!$F$103,0)),ISNA(MATCH(J10,Invulblad!$J$103,0))),0,5)</f>
        <v>0</v>
      </c>
    </row>
    <row r="11" spans="1:17" s="212" customFormat="1" ht="15" customHeight="1">
      <c r="D11" s="215" t="s">
        <v>100</v>
      </c>
      <c r="E11" s="250">
        <f>SUM(C3:E10)</f>
        <v>100</v>
      </c>
      <c r="G11" s="215" t="s">
        <v>92</v>
      </c>
      <c r="H11" s="250">
        <f>SUM(H3:H10)</f>
        <v>90</v>
      </c>
      <c r="J11" s="215" t="s">
        <v>101</v>
      </c>
      <c r="K11" s="216"/>
      <c r="L11" s="250">
        <f>SUM(L9:L10)</f>
        <v>0</v>
      </c>
    </row>
    <row r="12" spans="1:17">
      <c r="B12" s="218" t="s">
        <v>19</v>
      </c>
      <c r="C12" s="218"/>
      <c r="D12" s="218"/>
      <c r="E12" s="219" t="str">
        <f>IF(H89&gt;J89,E89,G89)</f>
        <v>Argentinië</v>
      </c>
      <c r="F12" s="251">
        <f>IF(ISNA(MATCH(E12,Invulblad!F104,0)),0,50)</f>
        <v>0</v>
      </c>
      <c r="G12" s="218"/>
      <c r="H12" s="218"/>
      <c r="I12" s="218"/>
      <c r="J12" s="218"/>
      <c r="K12" s="218"/>
      <c r="L12" s="221"/>
      <c r="M12" s="218"/>
      <c r="N12" s="218"/>
      <c r="O12" s="218"/>
    </row>
    <row r="13" spans="1:17">
      <c r="A13" s="205" t="s">
        <v>102</v>
      </c>
      <c r="B13" s="222" t="s">
        <v>103</v>
      </c>
      <c r="C13" s="222"/>
      <c r="D13" s="222"/>
      <c r="E13" s="223"/>
      <c r="F13" s="224"/>
      <c r="G13" s="222"/>
      <c r="H13" s="222" t="s">
        <v>104</v>
      </c>
      <c r="I13" s="224"/>
      <c r="J13" s="224"/>
      <c r="K13" s="224" t="s">
        <v>20</v>
      </c>
      <c r="L13" s="225"/>
      <c r="M13" s="224" t="s">
        <v>105</v>
      </c>
      <c r="N13" s="224"/>
      <c r="O13" s="224"/>
      <c r="P13" s="218" t="s">
        <v>106</v>
      </c>
    </row>
    <row r="14" spans="1:17">
      <c r="A14" s="205">
        <v>1</v>
      </c>
      <c r="B14" s="212">
        <v>1</v>
      </c>
      <c r="C14" s="226">
        <v>40340</v>
      </c>
      <c r="D14" s="227">
        <v>0.66666666666666663</v>
      </c>
      <c r="E14" s="228" t="s">
        <v>111</v>
      </c>
      <c r="F14" s="229" t="s">
        <v>29</v>
      </c>
      <c r="G14" s="212" t="s">
        <v>108</v>
      </c>
      <c r="H14" s="229">
        <v>1</v>
      </c>
      <c r="I14" s="229" t="s">
        <v>29</v>
      </c>
      <c r="J14" s="229">
        <v>2</v>
      </c>
      <c r="K14" s="235">
        <f t="shared" ref="K14:K45" si="2">IF(AND(H14="",J14=""),"",IF(OR(H14="",J14=""),"FOUT",IF(H14&gt;J14,"1",IF(H14=J14,3,2))))</f>
        <v>2</v>
      </c>
      <c r="L14" s="233">
        <f>VLOOKUP($B14,Invulblad!$A$11:$S$103,13,0)</f>
        <v>3</v>
      </c>
      <c r="M14" s="234">
        <f>IF(L14&lt;&gt;"",VLOOKUP($B14,Invulblad!$A$11:$S$103,7,0),"")</f>
        <v>1</v>
      </c>
      <c r="N14" s="229" t="s">
        <v>29</v>
      </c>
      <c r="O14" s="234">
        <f>IF(L14&lt;&gt;"",VLOOKUP($B14,Invulblad!$A$11:$S$103,9,0),"")</f>
        <v>1</v>
      </c>
      <c r="P14" s="235">
        <f t="shared" ref="P14:P19" si="3">IF(L14&lt;&gt;"",IF(AND(M14=H14,O14=J14),10,IF(K14=L14,5,0)),"")</f>
        <v>0</v>
      </c>
    </row>
    <row r="15" spans="1:17">
      <c r="A15" s="205">
        <v>2</v>
      </c>
      <c r="B15" s="212">
        <v>2</v>
      </c>
      <c r="C15" s="226">
        <v>40340</v>
      </c>
      <c r="D15" s="227">
        <v>0.85416666666666663</v>
      </c>
      <c r="E15" s="228" t="s">
        <v>301</v>
      </c>
      <c r="F15" s="229" t="s">
        <v>29</v>
      </c>
      <c r="G15" s="212" t="s">
        <v>110</v>
      </c>
      <c r="H15" s="229">
        <v>2</v>
      </c>
      <c r="I15" s="229" t="s">
        <v>29</v>
      </c>
      <c r="J15" s="229">
        <v>0</v>
      </c>
      <c r="K15" s="235" t="str">
        <f t="shared" si="2"/>
        <v>1</v>
      </c>
      <c r="L15" s="233">
        <f>VLOOKUP($B15,Invulblad!$A$11:$S$103,13,0)</f>
        <v>3</v>
      </c>
      <c r="M15" s="234">
        <f>IF(L15&lt;&gt;"",VLOOKUP($B15,Invulblad!$A$11:$S$103,7,0),"")</f>
        <v>0</v>
      </c>
      <c r="N15" s="229" t="s">
        <v>29</v>
      </c>
      <c r="O15" s="234">
        <f>IF(L15&lt;&gt;"",VLOOKUP($B15,Invulblad!$A$11:$S$103,9,0),"")</f>
        <v>0</v>
      </c>
      <c r="P15" s="235">
        <f t="shared" si="3"/>
        <v>0</v>
      </c>
    </row>
    <row r="16" spans="1:17">
      <c r="A16" s="205">
        <v>3</v>
      </c>
      <c r="B16" s="212">
        <v>17</v>
      </c>
      <c r="C16" s="226">
        <v>40345</v>
      </c>
      <c r="D16" s="227">
        <v>0.85416666666666663</v>
      </c>
      <c r="E16" s="228" t="s">
        <v>111</v>
      </c>
      <c r="F16" s="229" t="s">
        <v>29</v>
      </c>
      <c r="G16" s="212" t="s">
        <v>112</v>
      </c>
      <c r="H16" s="229">
        <v>0</v>
      </c>
      <c r="I16" s="229" t="s">
        <v>29</v>
      </c>
      <c r="J16" s="229">
        <v>2</v>
      </c>
      <c r="K16" s="235">
        <f t="shared" si="2"/>
        <v>2</v>
      </c>
      <c r="L16" s="233">
        <f>VLOOKUP($B16,Invulblad!$A$11:$S$103,13,0)</f>
        <v>2</v>
      </c>
      <c r="M16" s="234">
        <f>IF(L16&lt;&gt;"",VLOOKUP($B16,Invulblad!$A$11:$S$103,7,0),"")</f>
        <v>0</v>
      </c>
      <c r="N16" s="229" t="s">
        <v>29</v>
      </c>
      <c r="O16" s="234">
        <f>IF(L16&lt;&gt;"",VLOOKUP($B16,Invulblad!$A$11:$S$103,9,0),"")</f>
        <v>3</v>
      </c>
      <c r="P16" s="235">
        <f t="shared" si="3"/>
        <v>5</v>
      </c>
    </row>
    <row r="17" spans="1:16">
      <c r="A17" s="205">
        <v>4</v>
      </c>
      <c r="B17" s="212">
        <v>18</v>
      </c>
      <c r="C17" s="226">
        <v>40346</v>
      </c>
      <c r="D17" s="227">
        <v>0.85416666666666663</v>
      </c>
      <c r="E17" s="228" t="s">
        <v>113</v>
      </c>
      <c r="F17" s="229" t="s">
        <v>29</v>
      </c>
      <c r="G17" s="212" t="s">
        <v>108</v>
      </c>
      <c r="H17" s="229">
        <v>1</v>
      </c>
      <c r="I17" s="229" t="s">
        <v>29</v>
      </c>
      <c r="J17" s="229">
        <v>2</v>
      </c>
      <c r="K17" s="235">
        <f t="shared" si="2"/>
        <v>2</v>
      </c>
      <c r="L17" s="233">
        <f>VLOOKUP($B17,Invulblad!$A$11:$S$103,13,0)</f>
        <v>2</v>
      </c>
      <c r="M17" s="234">
        <f>IF(L17&lt;&gt;"",VLOOKUP($B17,Invulblad!$A$11:$S$103,7,0),"")</f>
        <v>0</v>
      </c>
      <c r="N17" s="229" t="s">
        <v>29</v>
      </c>
      <c r="O17" s="234">
        <f>IF(L17&lt;&gt;"",VLOOKUP($B17,Invulblad!$A$11:$S$103,9,0),"")</f>
        <v>2</v>
      </c>
      <c r="P17" s="235">
        <f t="shared" si="3"/>
        <v>5</v>
      </c>
    </row>
    <row r="18" spans="1:16">
      <c r="A18" s="205">
        <v>5</v>
      </c>
      <c r="B18" s="212">
        <v>33</v>
      </c>
      <c r="C18" s="226">
        <v>40351</v>
      </c>
      <c r="D18" s="227">
        <v>0.66666666666666663</v>
      </c>
      <c r="E18" s="228" t="s">
        <v>114</v>
      </c>
      <c r="F18" s="229" t="s">
        <v>29</v>
      </c>
      <c r="G18" s="212" t="s">
        <v>112</v>
      </c>
      <c r="H18" s="229">
        <v>1</v>
      </c>
      <c r="I18" s="229" t="s">
        <v>29</v>
      </c>
      <c r="J18" s="229">
        <v>1</v>
      </c>
      <c r="K18" s="235">
        <f t="shared" si="2"/>
        <v>3</v>
      </c>
      <c r="L18" s="233">
        <f>VLOOKUP($B18,Invulblad!$A$11:$S$103,13,0)</f>
        <v>2</v>
      </c>
      <c r="M18" s="234">
        <f>IF(L18&lt;&gt;"",VLOOKUP($B18,Invulblad!$A$11:$S$103,7,0),"")</f>
        <v>0</v>
      </c>
      <c r="N18" s="229" t="s">
        <v>29</v>
      </c>
      <c r="O18" s="234">
        <f>IF(L18&lt;&gt;"",VLOOKUP($B18,Invulblad!$A$11:$S$103,9,0),"")</f>
        <v>1</v>
      </c>
      <c r="P18" s="235">
        <f t="shared" si="3"/>
        <v>0</v>
      </c>
    </row>
    <row r="19" spans="1:16">
      <c r="A19" s="205">
        <v>6</v>
      </c>
      <c r="B19" s="212">
        <v>34</v>
      </c>
      <c r="C19" s="226">
        <v>40351</v>
      </c>
      <c r="D19" s="227">
        <v>0.66666666666666663</v>
      </c>
      <c r="E19" s="228" t="s">
        <v>113</v>
      </c>
      <c r="F19" s="229" t="s">
        <v>29</v>
      </c>
      <c r="G19" s="212" t="s">
        <v>115</v>
      </c>
      <c r="H19" s="229">
        <v>2</v>
      </c>
      <c r="I19" s="229" t="s">
        <v>29</v>
      </c>
      <c r="J19" s="229">
        <v>0</v>
      </c>
      <c r="K19" s="235" t="str">
        <f t="shared" si="2"/>
        <v>1</v>
      </c>
      <c r="L19" s="233">
        <f>VLOOKUP($B19,Invulblad!$A$11:$S$103,13,0)</f>
        <v>2</v>
      </c>
      <c r="M19" s="234">
        <f>IF(L19&lt;&gt;"",VLOOKUP($B19,Invulblad!$A$11:$S$103,7,0),"")</f>
        <v>1</v>
      </c>
      <c r="N19" s="229" t="s">
        <v>29</v>
      </c>
      <c r="O19" s="234">
        <f>IF(L19&lt;&gt;"",VLOOKUP($B19,Invulblad!$A$11:$S$103,9,0),"")</f>
        <v>2</v>
      </c>
      <c r="P19" s="235">
        <f t="shared" si="3"/>
        <v>0</v>
      </c>
    </row>
    <row r="20" spans="1:16">
      <c r="A20" s="205">
        <v>7</v>
      </c>
      <c r="B20" s="218" t="s">
        <v>30</v>
      </c>
      <c r="C20" s="218"/>
      <c r="D20" s="218"/>
      <c r="E20" s="218"/>
      <c r="F20" s="218"/>
      <c r="G20" s="218"/>
      <c r="H20" s="218"/>
      <c r="I20" s="218"/>
      <c r="J20" s="218"/>
      <c r="K20" s="236" t="str">
        <f t="shared" si="2"/>
        <v/>
      </c>
      <c r="L20" s="233"/>
      <c r="M20" s="234" t="str">
        <f>IF(L20&lt;&gt;"",VLOOKUP($B20,Invulblad!$A$11:$S$103,7,0),"")</f>
        <v/>
      </c>
      <c r="N20" s="218"/>
      <c r="O20" s="234" t="str">
        <f>IF(L20&lt;&gt;"",VLOOKUP($B20,Invulblad!$A$11:$S$103,9,0),"")</f>
        <v/>
      </c>
    </row>
    <row r="21" spans="1:16">
      <c r="A21" s="205">
        <v>9</v>
      </c>
      <c r="B21" s="212">
        <v>3</v>
      </c>
      <c r="C21" s="226">
        <v>40341</v>
      </c>
      <c r="D21" s="227">
        <v>0.66666666666666663</v>
      </c>
      <c r="E21" s="228" t="s">
        <v>302</v>
      </c>
      <c r="F21" s="229" t="s">
        <v>29</v>
      </c>
      <c r="G21" s="212" t="s">
        <v>117</v>
      </c>
      <c r="H21" s="229">
        <v>3</v>
      </c>
      <c r="I21" s="229" t="s">
        <v>29</v>
      </c>
      <c r="J21" s="229">
        <v>1</v>
      </c>
      <c r="K21" s="235" t="str">
        <f t="shared" si="2"/>
        <v>1</v>
      </c>
      <c r="L21" s="233" t="str">
        <f>VLOOKUP($B21,Invulblad!$A$11:$S$103,13,0)</f>
        <v>1</v>
      </c>
      <c r="M21" s="234">
        <f>IF(L21&lt;&gt;"",VLOOKUP($B21,Invulblad!$A$11:$S$103,7,0),"")</f>
        <v>1</v>
      </c>
      <c r="N21" s="229" t="s">
        <v>29</v>
      </c>
      <c r="O21" s="234">
        <f>IF(L21&lt;&gt;"",VLOOKUP($B21,Invulblad!$A$11:$S$103,9,0),"")</f>
        <v>0</v>
      </c>
      <c r="P21" s="235">
        <f t="shared" ref="P21:P26" si="4">IF(L21&lt;&gt;"",IF(AND(M21=H21,O21=J21),10,IF(K21=L21,5,0)),"")</f>
        <v>5</v>
      </c>
    </row>
    <row r="22" spans="1:16">
      <c r="A22" s="205">
        <v>10</v>
      </c>
      <c r="B22" s="212">
        <v>4</v>
      </c>
      <c r="C22" s="226">
        <v>40341</v>
      </c>
      <c r="D22" s="227">
        <v>0.5625</v>
      </c>
      <c r="E22" s="228" t="s">
        <v>303</v>
      </c>
      <c r="F22" s="229" t="s">
        <v>29</v>
      </c>
      <c r="G22" s="212" t="s">
        <v>119</v>
      </c>
      <c r="H22" s="229">
        <v>1</v>
      </c>
      <c r="I22" s="229" t="s">
        <v>29</v>
      </c>
      <c r="J22" s="229">
        <v>1</v>
      </c>
      <c r="K22" s="235">
        <f t="shared" si="2"/>
        <v>3</v>
      </c>
      <c r="L22" s="233" t="str">
        <f>VLOOKUP($B22,Invulblad!$A$11:$S$103,13,0)</f>
        <v>1</v>
      </c>
      <c r="M22" s="234">
        <f>IF(L22&lt;&gt;"",VLOOKUP($B22,Invulblad!$A$11:$S$103,7,0),"")</f>
        <v>2</v>
      </c>
      <c r="N22" s="229" t="s">
        <v>29</v>
      </c>
      <c r="O22" s="234">
        <f>IF(L22&lt;&gt;"",VLOOKUP($B22,Invulblad!$A$11:$S$103,9,0),"")</f>
        <v>0</v>
      </c>
      <c r="P22" s="235">
        <f t="shared" si="4"/>
        <v>0</v>
      </c>
    </row>
    <row r="23" spans="1:16">
      <c r="A23" s="205">
        <v>11</v>
      </c>
      <c r="B23" s="212">
        <v>19</v>
      </c>
      <c r="C23" s="226">
        <v>40346</v>
      </c>
      <c r="D23" s="227">
        <v>0.66666666666666663</v>
      </c>
      <c r="E23" s="228" t="s">
        <v>304</v>
      </c>
      <c r="F23" s="229" t="s">
        <v>29</v>
      </c>
      <c r="G23" s="212" t="s">
        <v>117</v>
      </c>
      <c r="H23" s="229">
        <v>0</v>
      </c>
      <c r="I23" s="229" t="s">
        <v>29</v>
      </c>
      <c r="J23" s="229">
        <v>1</v>
      </c>
      <c r="K23" s="235">
        <f t="shared" si="2"/>
        <v>2</v>
      </c>
      <c r="L23" s="233" t="str">
        <f>VLOOKUP($B23,Invulblad!$A$11:$S$103,13,0)</f>
        <v>1</v>
      </c>
      <c r="M23" s="234">
        <f>IF(L23&lt;&gt;"",VLOOKUP($B23,Invulblad!$A$11:$S$103,7,0),"")</f>
        <v>2</v>
      </c>
      <c r="N23" s="229" t="s">
        <v>29</v>
      </c>
      <c r="O23" s="234">
        <f>IF(L23&lt;&gt;"",VLOOKUP($B23,Invulblad!$A$11:$S$103,9,0),"")</f>
        <v>1</v>
      </c>
      <c r="P23" s="235">
        <f t="shared" si="4"/>
        <v>0</v>
      </c>
    </row>
    <row r="24" spans="1:16">
      <c r="A24" s="205">
        <v>12</v>
      </c>
      <c r="B24" s="212">
        <v>20</v>
      </c>
      <c r="C24" s="226">
        <v>40346</v>
      </c>
      <c r="D24" s="227">
        <v>0.5625</v>
      </c>
      <c r="E24" s="228" t="s">
        <v>302</v>
      </c>
      <c r="F24" s="229" t="s">
        <v>29</v>
      </c>
      <c r="G24" s="212" t="s">
        <v>121</v>
      </c>
      <c r="H24" s="229">
        <v>3</v>
      </c>
      <c r="I24" s="229" t="s">
        <v>29</v>
      </c>
      <c r="J24" s="229">
        <v>0</v>
      </c>
      <c r="K24" s="235" t="str">
        <f t="shared" si="2"/>
        <v>1</v>
      </c>
      <c r="L24" s="233" t="str">
        <f>VLOOKUP($B24,Invulblad!$A$11:$S$103,13,0)</f>
        <v>1</v>
      </c>
      <c r="M24" s="234">
        <f>IF(L24&lt;&gt;"",VLOOKUP($B24,Invulblad!$A$11:$S$103,7,0),"")</f>
        <v>4</v>
      </c>
      <c r="N24" s="229" t="s">
        <v>29</v>
      </c>
      <c r="O24" s="234">
        <f>IF(L24&lt;&gt;"",VLOOKUP($B24,Invulblad!$A$11:$S$103,9,0),"")</f>
        <v>1</v>
      </c>
      <c r="P24" s="235">
        <f t="shared" si="4"/>
        <v>5</v>
      </c>
    </row>
    <row r="25" spans="1:16">
      <c r="A25" s="205">
        <v>13</v>
      </c>
      <c r="B25" s="212">
        <v>35</v>
      </c>
      <c r="C25" s="226">
        <v>40351</v>
      </c>
      <c r="D25" s="227">
        <v>0.85416666666666663</v>
      </c>
      <c r="E25" s="228" t="s">
        <v>305</v>
      </c>
      <c r="F25" s="229" t="s">
        <v>29</v>
      </c>
      <c r="G25" s="212" t="s">
        <v>121</v>
      </c>
      <c r="H25" s="229">
        <v>1</v>
      </c>
      <c r="I25" s="229" t="s">
        <v>29</v>
      </c>
      <c r="J25" s="229">
        <v>1</v>
      </c>
      <c r="K25" s="235">
        <f t="shared" si="2"/>
        <v>3</v>
      </c>
      <c r="L25" s="233">
        <f>VLOOKUP($B25,Invulblad!$A$11:$S$103,13,0)</f>
        <v>3</v>
      </c>
      <c r="M25" s="234">
        <f>IF(L25&lt;&gt;"",VLOOKUP($B25,Invulblad!$A$11:$S$103,7,0),"")</f>
        <v>2</v>
      </c>
      <c r="N25" s="229" t="s">
        <v>29</v>
      </c>
      <c r="O25" s="234">
        <f>IF(L25&lt;&gt;"",VLOOKUP($B25,Invulblad!$A$11:$S$103,9,0),"")</f>
        <v>2</v>
      </c>
      <c r="P25" s="235">
        <f t="shared" si="4"/>
        <v>5</v>
      </c>
    </row>
    <row r="26" spans="1:16">
      <c r="A26" s="205">
        <v>14</v>
      </c>
      <c r="B26" s="212">
        <v>36</v>
      </c>
      <c r="C26" s="226">
        <v>40351</v>
      </c>
      <c r="D26" s="227">
        <v>0.85416666666666663</v>
      </c>
      <c r="E26" s="228" t="s">
        <v>304</v>
      </c>
      <c r="F26" s="229" t="s">
        <v>29</v>
      </c>
      <c r="G26" s="212" t="s">
        <v>123</v>
      </c>
      <c r="H26" s="229">
        <v>0</v>
      </c>
      <c r="I26" s="229" t="s">
        <v>29</v>
      </c>
      <c r="J26" s="229">
        <v>2</v>
      </c>
      <c r="K26" s="235">
        <f t="shared" si="2"/>
        <v>2</v>
      </c>
      <c r="L26" s="233">
        <f>VLOOKUP($B26,Invulblad!$A$11:$S$103,13,0)</f>
        <v>2</v>
      </c>
      <c r="M26" s="234">
        <f>IF(L26&lt;&gt;"",VLOOKUP($B26,Invulblad!$A$11:$S$103,7,0),"")</f>
        <v>0</v>
      </c>
      <c r="N26" s="229" t="s">
        <v>29</v>
      </c>
      <c r="O26" s="234">
        <f>IF(L26&lt;&gt;"",VLOOKUP($B26,Invulblad!$A$11:$S$103,9,0),"")</f>
        <v>2</v>
      </c>
      <c r="P26" s="235">
        <f t="shared" si="4"/>
        <v>10</v>
      </c>
    </row>
    <row r="27" spans="1:16">
      <c r="A27" s="205">
        <v>15</v>
      </c>
      <c r="B27" s="218" t="s">
        <v>31</v>
      </c>
      <c r="C27" s="218"/>
      <c r="D27" s="218"/>
      <c r="E27" s="218"/>
      <c r="F27" s="218"/>
      <c r="G27" s="218"/>
      <c r="H27" s="218"/>
      <c r="I27" s="218"/>
      <c r="J27" s="218"/>
      <c r="K27" s="236" t="str">
        <f t="shared" si="2"/>
        <v/>
      </c>
      <c r="L27" s="233"/>
      <c r="M27" s="234" t="str">
        <f>IF(L27&lt;&gt;"",VLOOKUP($B27,Invulblad!$A$11:$S$103,7,0),"")</f>
        <v/>
      </c>
      <c r="N27" s="229"/>
      <c r="O27" s="234" t="str">
        <f>IF(L27&lt;&gt;"",VLOOKUP($B27,Invulblad!$A$11:$S$103,9,0),"")</f>
        <v/>
      </c>
    </row>
    <row r="28" spans="1:16">
      <c r="A28" s="205">
        <v>17</v>
      </c>
      <c r="B28" s="212">
        <v>5</v>
      </c>
      <c r="C28" s="226">
        <v>40341</v>
      </c>
      <c r="D28" s="227">
        <v>0.85416666666666663</v>
      </c>
      <c r="E28" s="228" t="s">
        <v>306</v>
      </c>
      <c r="F28" s="229" t="s">
        <v>29</v>
      </c>
      <c r="G28" s="212" t="s">
        <v>125</v>
      </c>
      <c r="H28" s="229">
        <v>2</v>
      </c>
      <c r="I28" s="229" t="s">
        <v>29</v>
      </c>
      <c r="J28" s="229">
        <v>1</v>
      </c>
      <c r="K28" s="235" t="str">
        <f t="shared" si="2"/>
        <v>1</v>
      </c>
      <c r="L28" s="233">
        <f>VLOOKUP($B28,Invulblad!$A$11:$S$103,13,0)</f>
        <v>3</v>
      </c>
      <c r="M28" s="234">
        <f>IF(L28&lt;&gt;"",VLOOKUP($B28,Invulblad!$A$11:$S$103,7,0),"")</f>
        <v>1</v>
      </c>
      <c r="N28" s="229" t="s">
        <v>29</v>
      </c>
      <c r="O28" s="234">
        <f>IF(L28&lt;&gt;"",VLOOKUP($B28,Invulblad!$A$11:$S$103,9,0),"")</f>
        <v>1</v>
      </c>
      <c r="P28" s="235">
        <f t="shared" ref="P28:P33" si="5">IF(L28&lt;&gt;"",IF(AND(M28=H28,O28=J28),10,IF(K28=L28,5,0)),"")</f>
        <v>0</v>
      </c>
    </row>
    <row r="29" spans="1:16">
      <c r="A29" s="205">
        <v>18</v>
      </c>
      <c r="B29" s="212">
        <v>6</v>
      </c>
      <c r="C29" s="226">
        <v>40342</v>
      </c>
      <c r="D29" s="227">
        <v>0.5625</v>
      </c>
      <c r="E29" s="228" t="s">
        <v>307</v>
      </c>
      <c r="F29" s="229" t="s">
        <v>29</v>
      </c>
      <c r="G29" s="212" t="s">
        <v>127</v>
      </c>
      <c r="H29" s="229">
        <v>0</v>
      </c>
      <c r="I29" s="229" t="s">
        <v>29</v>
      </c>
      <c r="J29" s="229">
        <v>1</v>
      </c>
      <c r="K29" s="235">
        <f t="shared" si="2"/>
        <v>2</v>
      </c>
      <c r="L29" s="233">
        <f>VLOOKUP($B29,Invulblad!$A$11:$S$103,13,0)</f>
        <v>2</v>
      </c>
      <c r="M29" s="234">
        <f>IF(L29&lt;&gt;"",VLOOKUP($B29,Invulblad!$A$11:$S$103,7,0),"")</f>
        <v>0</v>
      </c>
      <c r="N29" s="229" t="s">
        <v>29</v>
      </c>
      <c r="O29" s="234">
        <f>IF(L29&lt;&gt;"",VLOOKUP($B29,Invulblad!$A$11:$S$103,9,0),"")</f>
        <v>1</v>
      </c>
      <c r="P29" s="235">
        <f t="shared" si="5"/>
        <v>10</v>
      </c>
    </row>
    <row r="30" spans="1:16">
      <c r="A30" s="205">
        <v>19</v>
      </c>
      <c r="B30" s="212">
        <v>22</v>
      </c>
      <c r="C30" s="226">
        <v>40347</v>
      </c>
      <c r="D30" s="227">
        <v>0.66666666666666663</v>
      </c>
      <c r="E30" s="228" t="s">
        <v>308</v>
      </c>
      <c r="F30" s="229" t="s">
        <v>29</v>
      </c>
      <c r="G30" s="212" t="s">
        <v>125</v>
      </c>
      <c r="H30" s="229">
        <v>1</v>
      </c>
      <c r="I30" s="229" t="s">
        <v>29</v>
      </c>
      <c r="J30" s="229">
        <v>1</v>
      </c>
      <c r="K30" s="235">
        <f t="shared" si="2"/>
        <v>3</v>
      </c>
      <c r="L30" s="233">
        <f>VLOOKUP($B30,Invulblad!$A$11:$S$103,13,0)</f>
        <v>3</v>
      </c>
      <c r="M30" s="234">
        <f>IF(L30&lt;&gt;"",VLOOKUP($B30,Invulblad!$A$11:$S$103,7,0),"")</f>
        <v>2</v>
      </c>
      <c r="N30" s="229" t="s">
        <v>29</v>
      </c>
      <c r="O30" s="234">
        <f>IF(L30&lt;&gt;"",VLOOKUP($B30,Invulblad!$A$11:$S$103,9,0),"")</f>
        <v>2</v>
      </c>
      <c r="P30" s="235">
        <f t="shared" si="5"/>
        <v>5</v>
      </c>
    </row>
    <row r="31" spans="1:16">
      <c r="A31" s="205">
        <v>20</v>
      </c>
      <c r="B31" s="212">
        <v>23</v>
      </c>
      <c r="C31" s="226">
        <v>40347</v>
      </c>
      <c r="D31" s="227">
        <v>0.85416666666666663</v>
      </c>
      <c r="E31" s="228" t="s">
        <v>306</v>
      </c>
      <c r="F31" s="229" t="s">
        <v>29</v>
      </c>
      <c r="G31" s="212" t="s">
        <v>129</v>
      </c>
      <c r="H31" s="229">
        <v>3</v>
      </c>
      <c r="I31" s="229" t="s">
        <v>29</v>
      </c>
      <c r="J31" s="229">
        <v>1</v>
      </c>
      <c r="K31" s="235" t="str">
        <f t="shared" si="2"/>
        <v>1</v>
      </c>
      <c r="L31" s="233">
        <f>VLOOKUP($B31,Invulblad!$A$11:$S$103,13,0)</f>
        <v>3</v>
      </c>
      <c r="M31" s="234">
        <f>IF(L31&lt;&gt;"",VLOOKUP($B31,Invulblad!$A$11:$S$103,7,0),"")</f>
        <v>0</v>
      </c>
      <c r="N31" s="229" t="s">
        <v>29</v>
      </c>
      <c r="O31" s="234">
        <f>IF(L31&lt;&gt;"",VLOOKUP($B31,Invulblad!$A$11:$S$103,9,0),"")</f>
        <v>0</v>
      </c>
      <c r="P31" s="235">
        <f t="shared" si="5"/>
        <v>0</v>
      </c>
    </row>
    <row r="32" spans="1:16">
      <c r="A32" s="205">
        <v>21</v>
      </c>
      <c r="B32" s="212">
        <v>37</v>
      </c>
      <c r="C32" s="226">
        <v>40352</v>
      </c>
      <c r="D32" s="227">
        <v>0.66666666666666663</v>
      </c>
      <c r="E32" s="228" t="s">
        <v>308</v>
      </c>
      <c r="F32" s="229" t="s">
        <v>29</v>
      </c>
      <c r="G32" s="212" t="s">
        <v>130</v>
      </c>
      <c r="H32" s="229">
        <v>0</v>
      </c>
      <c r="I32" s="229" t="s">
        <v>29</v>
      </c>
      <c r="J32" s="229">
        <v>2</v>
      </c>
      <c r="K32" s="235">
        <f t="shared" si="2"/>
        <v>2</v>
      </c>
      <c r="L32" s="233">
        <f>VLOOKUP($B32,Invulblad!$A$11:$S$103,13,0)</f>
        <v>2</v>
      </c>
      <c r="M32" s="234">
        <f>IF(L32&lt;&gt;"",VLOOKUP($B32,Invulblad!$A$11:$S$103,7,0),"")</f>
        <v>0</v>
      </c>
      <c r="N32" s="229" t="s">
        <v>29</v>
      </c>
      <c r="O32" s="234">
        <f>IF(L32&lt;&gt;"",VLOOKUP($B32,Invulblad!$A$11:$S$103,9,0),"")</f>
        <v>1</v>
      </c>
      <c r="P32" s="235">
        <f t="shared" si="5"/>
        <v>5</v>
      </c>
    </row>
    <row r="33" spans="1:16">
      <c r="A33" s="205">
        <v>22</v>
      </c>
      <c r="B33" s="212">
        <v>38</v>
      </c>
      <c r="C33" s="226">
        <v>40352</v>
      </c>
      <c r="D33" s="227">
        <v>0.66666666666666663</v>
      </c>
      <c r="E33" s="228" t="s">
        <v>309</v>
      </c>
      <c r="F33" s="229" t="s">
        <v>29</v>
      </c>
      <c r="G33" s="212" t="s">
        <v>129</v>
      </c>
      <c r="H33" s="229">
        <v>2</v>
      </c>
      <c r="I33" s="229" t="s">
        <v>29</v>
      </c>
      <c r="J33" s="229">
        <v>2</v>
      </c>
      <c r="K33" s="235">
        <f t="shared" si="2"/>
        <v>3</v>
      </c>
      <c r="L33" s="233" t="str">
        <f>VLOOKUP($B33,Invulblad!$A$11:$S$103,13,0)</f>
        <v>1</v>
      </c>
      <c r="M33" s="234">
        <f>IF(L33&lt;&gt;"",VLOOKUP($B33,Invulblad!$A$11:$S$103,7,0),"")</f>
        <v>1</v>
      </c>
      <c r="N33" s="229" t="s">
        <v>29</v>
      </c>
      <c r="O33" s="234">
        <f>IF(L33&lt;&gt;"",VLOOKUP($B33,Invulblad!$A$11:$S$103,9,0),"")</f>
        <v>0</v>
      </c>
      <c r="P33" s="235">
        <f t="shared" si="5"/>
        <v>0</v>
      </c>
    </row>
    <row r="34" spans="1:16">
      <c r="A34" s="205">
        <v>23</v>
      </c>
      <c r="B34" s="218" t="s">
        <v>33</v>
      </c>
      <c r="C34" s="218"/>
      <c r="D34" s="218"/>
      <c r="E34" s="218"/>
      <c r="F34" s="218"/>
      <c r="G34" s="218"/>
      <c r="H34" s="218"/>
      <c r="I34" s="218"/>
      <c r="J34" s="218"/>
      <c r="K34" s="236" t="str">
        <f t="shared" si="2"/>
        <v/>
      </c>
      <c r="L34" s="233"/>
      <c r="M34" s="234" t="str">
        <f>IF(L34&lt;&gt;"",VLOOKUP($B34,Invulblad!$A$11:$S$103,7,0),"")</f>
        <v/>
      </c>
      <c r="N34" s="229"/>
      <c r="O34" s="234" t="str">
        <f>IF(L34&lt;&gt;"",VLOOKUP($B34,Invulblad!$A$11:$S$103,9,0),"")</f>
        <v/>
      </c>
    </row>
    <row r="35" spans="1:16">
      <c r="A35" s="205">
        <v>25</v>
      </c>
      <c r="B35" s="212">
        <v>7</v>
      </c>
      <c r="C35" s="226">
        <v>40342</v>
      </c>
      <c r="D35" s="227">
        <v>0.85416666666666663</v>
      </c>
      <c r="E35" s="228" t="s">
        <v>131</v>
      </c>
      <c r="F35" s="229" t="s">
        <v>29</v>
      </c>
      <c r="G35" s="212" t="s">
        <v>132</v>
      </c>
      <c r="H35" s="229">
        <v>2</v>
      </c>
      <c r="I35" s="229" t="s">
        <v>29</v>
      </c>
      <c r="J35" s="229">
        <v>1</v>
      </c>
      <c r="K35" s="235" t="str">
        <f t="shared" si="2"/>
        <v>1</v>
      </c>
      <c r="L35" s="233" t="str">
        <f>VLOOKUP($B35,Invulblad!$A$11:$S$103,13,0)</f>
        <v>1</v>
      </c>
      <c r="M35" s="234">
        <f>IF(L35&lt;&gt;"",VLOOKUP($B35,Invulblad!$A$11:$S$103,7,0),"")</f>
        <v>4</v>
      </c>
      <c r="N35" s="229" t="s">
        <v>29</v>
      </c>
      <c r="O35" s="234">
        <f>IF(L35&lt;&gt;"",VLOOKUP($B35,Invulblad!$A$11:$S$103,9,0),"")</f>
        <v>0</v>
      </c>
      <c r="P35" s="235">
        <f t="shared" ref="P35:P40" si="6">IF(L35&lt;&gt;"",IF(AND(M35=H35,O35=J35),10,IF(K35=L35,5,0)),"")</f>
        <v>5</v>
      </c>
    </row>
    <row r="36" spans="1:16">
      <c r="A36" s="205">
        <v>26</v>
      </c>
      <c r="B36" s="212">
        <v>8</v>
      </c>
      <c r="C36" s="226">
        <v>40342</v>
      </c>
      <c r="D36" s="227">
        <v>0.66666666666666663</v>
      </c>
      <c r="E36" s="228" t="s">
        <v>133</v>
      </c>
      <c r="F36" s="229" t="s">
        <v>29</v>
      </c>
      <c r="G36" s="212" t="s">
        <v>134</v>
      </c>
      <c r="H36" s="229">
        <v>1</v>
      </c>
      <c r="I36" s="229" t="s">
        <v>29</v>
      </c>
      <c r="J36" s="229">
        <v>1</v>
      </c>
      <c r="K36" s="235">
        <f t="shared" si="2"/>
        <v>3</v>
      </c>
      <c r="L36" s="233">
        <f>VLOOKUP($B36,Invulblad!$A$11:$S$103,13,0)</f>
        <v>2</v>
      </c>
      <c r="M36" s="234">
        <f>IF(L36&lt;&gt;"",VLOOKUP($B36,Invulblad!$A$11:$S$103,7,0),"")</f>
        <v>0</v>
      </c>
      <c r="N36" s="229" t="s">
        <v>29</v>
      </c>
      <c r="O36" s="234">
        <f>IF(L36&lt;&gt;"",VLOOKUP($B36,Invulblad!$A$11:$S$103,9,0),"")</f>
        <v>1</v>
      </c>
      <c r="P36" s="235">
        <f t="shared" si="6"/>
        <v>0</v>
      </c>
    </row>
    <row r="37" spans="1:16">
      <c r="A37" s="205">
        <v>27</v>
      </c>
      <c r="B37" s="212">
        <v>21</v>
      </c>
      <c r="C37" s="226">
        <v>40347</v>
      </c>
      <c r="D37" s="227">
        <v>0.5625</v>
      </c>
      <c r="E37" s="228" t="s">
        <v>131</v>
      </c>
      <c r="F37" s="229" t="s">
        <v>29</v>
      </c>
      <c r="G37" s="212" t="s">
        <v>135</v>
      </c>
      <c r="H37" s="229">
        <v>1</v>
      </c>
      <c r="I37" s="229" t="s">
        <v>29</v>
      </c>
      <c r="J37" s="229">
        <v>0</v>
      </c>
      <c r="K37" s="235" t="str">
        <f t="shared" si="2"/>
        <v>1</v>
      </c>
      <c r="L37" s="233">
        <f>VLOOKUP($B37,Invulblad!$A$11:$S$103,13,0)</f>
        <v>2</v>
      </c>
      <c r="M37" s="234">
        <f>IF(L37&lt;&gt;"",VLOOKUP($B37,Invulblad!$A$11:$S$103,7,0),"")</f>
        <v>0</v>
      </c>
      <c r="N37" s="229" t="s">
        <v>29</v>
      </c>
      <c r="O37" s="234">
        <f>IF(L37&lt;&gt;"",VLOOKUP($B37,Invulblad!$A$11:$S$103,9,0),"")</f>
        <v>1</v>
      </c>
      <c r="P37" s="235">
        <f t="shared" si="6"/>
        <v>0</v>
      </c>
    </row>
    <row r="38" spans="1:16">
      <c r="A38" s="205">
        <v>28</v>
      </c>
      <c r="B38" s="212">
        <v>24</v>
      </c>
      <c r="C38" s="226">
        <v>40348</v>
      </c>
      <c r="D38" s="227">
        <v>0.66666666666666663</v>
      </c>
      <c r="E38" s="228" t="s">
        <v>136</v>
      </c>
      <c r="F38" s="229" t="s">
        <v>29</v>
      </c>
      <c r="G38" s="212" t="s">
        <v>132</v>
      </c>
      <c r="H38" s="229">
        <v>1</v>
      </c>
      <c r="I38" s="229" t="s">
        <v>29</v>
      </c>
      <c r="J38" s="229">
        <v>1</v>
      </c>
      <c r="K38" s="235">
        <f t="shared" si="2"/>
        <v>3</v>
      </c>
      <c r="L38" s="233">
        <f>VLOOKUP($B38,Invulblad!$A$11:$S$103,13,0)</f>
        <v>3</v>
      </c>
      <c r="M38" s="234">
        <f>IF(L38&lt;&gt;"",VLOOKUP($B38,Invulblad!$A$11:$S$103,7,0),"")</f>
        <v>1</v>
      </c>
      <c r="N38" s="229" t="s">
        <v>29</v>
      </c>
      <c r="O38" s="234">
        <f>IF(L38&lt;&gt;"",VLOOKUP($B38,Invulblad!$A$11:$S$103,9,0),"")</f>
        <v>1</v>
      </c>
      <c r="P38" s="235">
        <f t="shared" si="6"/>
        <v>10</v>
      </c>
    </row>
    <row r="39" spans="1:16">
      <c r="A39" s="205">
        <v>29</v>
      </c>
      <c r="B39" s="212">
        <v>39</v>
      </c>
      <c r="C39" s="226">
        <v>40352</v>
      </c>
      <c r="D39" s="227">
        <v>0.85416666666666663</v>
      </c>
      <c r="E39" s="228" t="s">
        <v>136</v>
      </c>
      <c r="F39" s="229" t="s">
        <v>29</v>
      </c>
      <c r="G39" s="212" t="s">
        <v>137</v>
      </c>
      <c r="H39" s="229">
        <v>0</v>
      </c>
      <c r="I39" s="229" t="s">
        <v>29</v>
      </c>
      <c r="J39" s="229">
        <v>2</v>
      </c>
      <c r="K39" s="235">
        <f t="shared" si="2"/>
        <v>2</v>
      </c>
      <c r="L39" s="233">
        <f>VLOOKUP($B39,Invulblad!$A$11:$S$103,13,0)</f>
        <v>2</v>
      </c>
      <c r="M39" s="234">
        <f>IF(L39&lt;&gt;"",VLOOKUP($B39,Invulblad!$A$11:$S$103,7,0),"")</f>
        <v>0</v>
      </c>
      <c r="N39" s="229" t="s">
        <v>29</v>
      </c>
      <c r="O39" s="234">
        <f>IF(L39&lt;&gt;"",VLOOKUP($B39,Invulblad!$A$11:$S$103,9,0),"")</f>
        <v>1</v>
      </c>
      <c r="P39" s="235">
        <f t="shared" si="6"/>
        <v>5</v>
      </c>
    </row>
    <row r="40" spans="1:16">
      <c r="A40" s="205">
        <v>30</v>
      </c>
      <c r="B40" s="212">
        <v>40</v>
      </c>
      <c r="C40" s="226">
        <v>40352</v>
      </c>
      <c r="D40" s="227">
        <v>0.85416666666666663</v>
      </c>
      <c r="E40" s="228" t="s">
        <v>138</v>
      </c>
      <c r="F40" s="229" t="s">
        <v>29</v>
      </c>
      <c r="G40" s="212" t="s">
        <v>135</v>
      </c>
      <c r="H40" s="229">
        <v>1</v>
      </c>
      <c r="I40" s="229" t="s">
        <v>29</v>
      </c>
      <c r="J40" s="229">
        <v>0</v>
      </c>
      <c r="K40" s="235" t="str">
        <f t="shared" si="2"/>
        <v>1</v>
      </c>
      <c r="L40" s="233" t="str">
        <f>VLOOKUP($B40,Invulblad!$A$11:$S$103,13,0)</f>
        <v>1</v>
      </c>
      <c r="M40" s="234">
        <f>IF(L40&lt;&gt;"",VLOOKUP($B40,Invulblad!$A$11:$S$103,7,0),"")</f>
        <v>2</v>
      </c>
      <c r="N40" s="229" t="s">
        <v>29</v>
      </c>
      <c r="O40" s="234">
        <f>IF(L40&lt;&gt;"",VLOOKUP($B40,Invulblad!$A$11:$S$103,9,0),"")</f>
        <v>1</v>
      </c>
      <c r="P40" s="235">
        <f t="shared" si="6"/>
        <v>5</v>
      </c>
    </row>
    <row r="41" spans="1:16">
      <c r="A41" s="205">
        <v>31</v>
      </c>
      <c r="B41" s="218" t="s">
        <v>34</v>
      </c>
      <c r="C41" s="218"/>
      <c r="D41" s="218"/>
      <c r="E41" s="218"/>
      <c r="F41" s="218"/>
      <c r="G41" s="218"/>
      <c r="H41" s="218"/>
      <c r="I41" s="218"/>
      <c r="J41" s="218"/>
      <c r="K41" s="236" t="str">
        <f t="shared" si="2"/>
        <v/>
      </c>
      <c r="L41" s="233"/>
      <c r="M41" s="234" t="str">
        <f>IF(L41&lt;&gt;"",VLOOKUP($B41,Invulblad!$A$11:$S$103,7,0),"")</f>
        <v/>
      </c>
      <c r="N41" s="229"/>
      <c r="O41" s="234" t="str">
        <f>IF(L41&lt;&gt;"",VLOOKUP($B41,Invulblad!$A$11:$S$103,9,0),"")</f>
        <v/>
      </c>
    </row>
    <row r="42" spans="1:16">
      <c r="A42" s="205">
        <v>33</v>
      </c>
      <c r="B42" s="212">
        <v>9</v>
      </c>
      <c r="C42" s="226">
        <v>40343</v>
      </c>
      <c r="D42" s="227">
        <v>0.5625</v>
      </c>
      <c r="E42" s="228" t="s">
        <v>139</v>
      </c>
      <c r="F42" s="229" t="s">
        <v>29</v>
      </c>
      <c r="G42" s="212" t="s">
        <v>140</v>
      </c>
      <c r="H42" s="229">
        <v>3</v>
      </c>
      <c r="I42" s="229" t="s">
        <v>29</v>
      </c>
      <c r="J42" s="229">
        <v>1</v>
      </c>
      <c r="K42" s="235" t="str">
        <f t="shared" si="2"/>
        <v>1</v>
      </c>
      <c r="L42" s="233" t="str">
        <f>VLOOKUP($B42,Invulblad!$A$11:$S$103,13,0)</f>
        <v>1</v>
      </c>
      <c r="M42" s="234">
        <f>IF(L42&lt;&gt;"",VLOOKUP($B42,Invulblad!$A$11:$S$103,7,0),"")</f>
        <v>2</v>
      </c>
      <c r="N42" s="229" t="s">
        <v>29</v>
      </c>
      <c r="O42" s="234">
        <f>IF(L42&lt;&gt;"",VLOOKUP($B42,Invulblad!$A$11:$S$103,9,0),"")</f>
        <v>0</v>
      </c>
      <c r="P42" s="235">
        <f t="shared" ref="P42:P47" si="7">IF(L42&lt;&gt;"",IF(AND(M42=H42,O42=J42),10,IF(K42=L42,5,0)),"")</f>
        <v>5</v>
      </c>
    </row>
    <row r="43" spans="1:16">
      <c r="A43" s="205">
        <v>34</v>
      </c>
      <c r="B43" s="212">
        <v>10</v>
      </c>
      <c r="C43" s="226">
        <v>40343</v>
      </c>
      <c r="D43" s="227">
        <v>0.66666666666666663</v>
      </c>
      <c r="E43" s="228" t="s">
        <v>141</v>
      </c>
      <c r="F43" s="229" t="s">
        <v>29</v>
      </c>
      <c r="G43" s="212" t="s">
        <v>142</v>
      </c>
      <c r="H43" s="229">
        <v>0</v>
      </c>
      <c r="I43" s="229" t="s">
        <v>29</v>
      </c>
      <c r="J43" s="229">
        <v>1</v>
      </c>
      <c r="K43" s="235">
        <f t="shared" si="2"/>
        <v>2</v>
      </c>
      <c r="L43" s="233" t="str">
        <f>VLOOKUP($B43,Invulblad!$A$11:$S$103,13,0)</f>
        <v>1</v>
      </c>
      <c r="M43" s="234">
        <f>IF(L43&lt;&gt;"",VLOOKUP($B43,Invulblad!$A$11:$S$103,7,0),"")</f>
        <v>1</v>
      </c>
      <c r="N43" s="229" t="s">
        <v>29</v>
      </c>
      <c r="O43" s="234">
        <f>IF(L43&lt;&gt;"",VLOOKUP($B43,Invulblad!$A$11:$S$103,9,0),"")</f>
        <v>0</v>
      </c>
      <c r="P43" s="235">
        <f t="shared" si="7"/>
        <v>0</v>
      </c>
    </row>
    <row r="44" spans="1:16">
      <c r="A44" s="205">
        <v>35</v>
      </c>
      <c r="B44" s="212">
        <v>25</v>
      </c>
      <c r="C44" s="226">
        <v>40348</v>
      </c>
      <c r="D44" s="227">
        <v>0.5625</v>
      </c>
      <c r="E44" s="228" t="s">
        <v>139</v>
      </c>
      <c r="F44" s="229" t="s">
        <v>29</v>
      </c>
      <c r="G44" s="212" t="s">
        <v>143</v>
      </c>
      <c r="H44" s="229">
        <v>2</v>
      </c>
      <c r="I44" s="229" t="s">
        <v>29</v>
      </c>
      <c r="J44" s="229">
        <v>0</v>
      </c>
      <c r="K44" s="235" t="str">
        <f t="shared" si="2"/>
        <v>1</v>
      </c>
      <c r="L44" s="233" t="str">
        <f>VLOOKUP($B44,Invulblad!$A$11:$S$103,13,0)</f>
        <v>1</v>
      </c>
      <c r="M44" s="234">
        <f>IF(L44&lt;&gt;"",VLOOKUP($B44,Invulblad!$A$11:$S$103,7,0),"")</f>
        <v>1</v>
      </c>
      <c r="N44" s="229" t="s">
        <v>29</v>
      </c>
      <c r="O44" s="234">
        <f>IF(L44&lt;&gt;"",VLOOKUP($B44,Invulblad!$A$11:$S$103,9,0),"")</f>
        <v>0</v>
      </c>
      <c r="P44" s="235">
        <f t="shared" si="7"/>
        <v>5</v>
      </c>
    </row>
    <row r="45" spans="1:16">
      <c r="A45" s="205">
        <v>36</v>
      </c>
      <c r="B45" s="212">
        <v>26</v>
      </c>
      <c r="C45" s="226">
        <v>40348</v>
      </c>
      <c r="D45" s="227">
        <v>0.85416666666666663</v>
      </c>
      <c r="E45" s="228" t="s">
        <v>144</v>
      </c>
      <c r="F45" s="229" t="s">
        <v>29</v>
      </c>
      <c r="G45" s="212" t="s">
        <v>140</v>
      </c>
      <c r="H45" s="229">
        <v>0</v>
      </c>
      <c r="I45" s="229" t="s">
        <v>29</v>
      </c>
      <c r="J45" s="229">
        <v>1</v>
      </c>
      <c r="K45" s="235">
        <f t="shared" si="2"/>
        <v>2</v>
      </c>
      <c r="L45" s="233">
        <f>VLOOKUP($B45,Invulblad!$A$11:$S$103,13,0)</f>
        <v>2</v>
      </c>
      <c r="M45" s="234">
        <f>IF(L45&lt;&gt;"",VLOOKUP($B45,Invulblad!$A$11:$S$103,7,0),"")</f>
        <v>1</v>
      </c>
      <c r="N45" s="229" t="s">
        <v>29</v>
      </c>
      <c r="O45" s="234">
        <f>IF(L45&lt;&gt;"",VLOOKUP($B45,Invulblad!$A$11:$S$103,9,0),"")</f>
        <v>2</v>
      </c>
      <c r="P45" s="235">
        <f t="shared" si="7"/>
        <v>5</v>
      </c>
    </row>
    <row r="46" spans="1:16">
      <c r="A46" s="205">
        <v>37</v>
      </c>
      <c r="B46" s="212">
        <v>43</v>
      </c>
      <c r="C46" s="226">
        <v>40353</v>
      </c>
      <c r="D46" s="227">
        <v>0.85416666666666663</v>
      </c>
      <c r="E46" s="228" t="s">
        <v>145</v>
      </c>
      <c r="F46" s="229" t="s">
        <v>29</v>
      </c>
      <c r="G46" s="212" t="s">
        <v>143</v>
      </c>
      <c r="H46" s="229">
        <v>1</v>
      </c>
      <c r="I46" s="229" t="s">
        <v>29</v>
      </c>
      <c r="J46" s="229">
        <v>1</v>
      </c>
      <c r="K46" s="235">
        <f t="shared" ref="K46:K77" si="8">IF(AND(H46="",J46=""),"",IF(OR(H46="",J46=""),"FOUT",IF(H46&gt;J46,"1",IF(H46=J46,3,2))))</f>
        <v>3</v>
      </c>
      <c r="L46" s="233">
        <f>VLOOKUP($B46,Invulblad!$A$11:$S$103,13,0)</f>
        <v>2</v>
      </c>
      <c r="M46" s="234">
        <f>IF(L46&lt;&gt;"",VLOOKUP($B46,Invulblad!$A$11:$S$103,7,0),"")</f>
        <v>1</v>
      </c>
      <c r="N46" s="229" t="s">
        <v>29</v>
      </c>
      <c r="O46" s="234">
        <f>IF(L46&lt;&gt;"",VLOOKUP($B46,Invulblad!$A$11:$S$103,9,0),"")</f>
        <v>3</v>
      </c>
      <c r="P46" s="235">
        <f t="shared" si="7"/>
        <v>0</v>
      </c>
    </row>
    <row r="47" spans="1:16">
      <c r="A47" s="205">
        <v>38</v>
      </c>
      <c r="B47" s="212">
        <v>44</v>
      </c>
      <c r="C47" s="226">
        <v>40353</v>
      </c>
      <c r="D47" s="227">
        <v>0.85416666666666663</v>
      </c>
      <c r="E47" s="228" t="s">
        <v>144</v>
      </c>
      <c r="F47" s="229" t="s">
        <v>29</v>
      </c>
      <c r="G47" s="212" t="s">
        <v>146</v>
      </c>
      <c r="H47" s="229">
        <v>1</v>
      </c>
      <c r="I47" s="229" t="s">
        <v>29</v>
      </c>
      <c r="J47" s="229">
        <v>2</v>
      </c>
      <c r="K47" s="235">
        <f t="shared" si="8"/>
        <v>2</v>
      </c>
      <c r="L47" s="233">
        <f>VLOOKUP($B47,Invulblad!$A$11:$S$103,13,0)</f>
        <v>2</v>
      </c>
      <c r="M47" s="234">
        <f>IF(L47&lt;&gt;"",VLOOKUP($B47,Invulblad!$A$11:$S$103,7,0),"")</f>
        <v>1</v>
      </c>
      <c r="N47" s="229" t="s">
        <v>29</v>
      </c>
      <c r="O47" s="234">
        <f>IF(L47&lt;&gt;"",VLOOKUP($B47,Invulblad!$A$11:$S$103,9,0),"")</f>
        <v>2</v>
      </c>
      <c r="P47" s="235">
        <f t="shared" si="7"/>
        <v>10</v>
      </c>
    </row>
    <row r="48" spans="1:16">
      <c r="A48" s="205">
        <v>39</v>
      </c>
      <c r="B48" s="218" t="s">
        <v>35</v>
      </c>
      <c r="C48" s="218"/>
      <c r="D48" s="218"/>
      <c r="E48" s="218"/>
      <c r="F48" s="218"/>
      <c r="G48" s="218"/>
      <c r="H48" s="218"/>
      <c r="I48" s="218"/>
      <c r="J48" s="218"/>
      <c r="K48" s="236" t="str">
        <f t="shared" si="8"/>
        <v/>
      </c>
      <c r="L48" s="233"/>
      <c r="M48" s="234" t="str">
        <f>IF(L48&lt;&gt;"",VLOOKUP($B48,Invulblad!$A$11:$S$103,7,0),"")</f>
        <v/>
      </c>
      <c r="N48" s="229"/>
      <c r="O48" s="234" t="str">
        <f>IF(L48&lt;&gt;"",VLOOKUP($B48,Invulblad!$A$11:$S$103,9,0),"")</f>
        <v/>
      </c>
    </row>
    <row r="49" spans="1:16">
      <c r="A49" s="205">
        <v>41</v>
      </c>
      <c r="B49" s="212">
        <v>11</v>
      </c>
      <c r="C49" s="226">
        <v>40343</v>
      </c>
      <c r="D49" s="227">
        <v>0.85416666666666663</v>
      </c>
      <c r="E49" s="228" t="s">
        <v>147</v>
      </c>
      <c r="F49" s="229" t="s">
        <v>29</v>
      </c>
      <c r="G49" s="212" t="s">
        <v>148</v>
      </c>
      <c r="H49" s="229">
        <v>1</v>
      </c>
      <c r="I49" s="229" t="s">
        <v>29</v>
      </c>
      <c r="J49" s="229">
        <v>0</v>
      </c>
      <c r="K49" s="235" t="str">
        <f t="shared" si="8"/>
        <v>1</v>
      </c>
      <c r="L49" s="233">
        <f>VLOOKUP($B49,Invulblad!$A$11:$S$103,13,0)</f>
        <v>3</v>
      </c>
      <c r="M49" s="234">
        <f>IF(L49&lt;&gt;"",VLOOKUP($B49,Invulblad!$A$11:$S$103,7,0),"")</f>
        <v>1</v>
      </c>
      <c r="N49" s="229" t="s">
        <v>29</v>
      </c>
      <c r="O49" s="234">
        <f>IF(L49&lt;&gt;"",VLOOKUP($B49,Invulblad!$A$11:$S$103,9,0),"")</f>
        <v>1</v>
      </c>
      <c r="P49" s="235">
        <f t="shared" ref="P49:P54" si="9">IF(L49&lt;&gt;"",IF(AND(M49=H49,O49=J49),10,IF(K49=L49,5,0)),"")</f>
        <v>0</v>
      </c>
    </row>
    <row r="50" spans="1:16">
      <c r="A50" s="205">
        <v>42</v>
      </c>
      <c r="B50" s="212">
        <v>12</v>
      </c>
      <c r="C50" s="226">
        <v>40344</v>
      </c>
      <c r="D50" s="227">
        <v>0.5625</v>
      </c>
      <c r="E50" s="228" t="s">
        <v>149</v>
      </c>
      <c r="F50" s="229" t="s">
        <v>29</v>
      </c>
      <c r="G50" s="212" t="s">
        <v>150</v>
      </c>
      <c r="H50" s="229">
        <v>0</v>
      </c>
      <c r="I50" s="229" t="s">
        <v>29</v>
      </c>
      <c r="J50" s="229">
        <v>3</v>
      </c>
      <c r="K50" s="235">
        <f t="shared" si="8"/>
        <v>2</v>
      </c>
      <c r="L50" s="233">
        <f>VLOOKUP($B50,Invulblad!$A$11:$S$103,13,0)</f>
        <v>3</v>
      </c>
      <c r="M50" s="234">
        <f>IF(L50&lt;&gt;"",VLOOKUP($B50,Invulblad!$A$11:$S$103,7,0),"")</f>
        <v>1</v>
      </c>
      <c r="N50" s="229" t="s">
        <v>29</v>
      </c>
      <c r="O50" s="234">
        <f>IF(L50&lt;&gt;"",VLOOKUP($B50,Invulblad!$A$11:$S$103,9,0),"")</f>
        <v>1</v>
      </c>
      <c r="P50" s="235">
        <f t="shared" si="9"/>
        <v>0</v>
      </c>
    </row>
    <row r="51" spans="1:16">
      <c r="A51" s="205">
        <v>43</v>
      </c>
      <c r="B51" s="212">
        <v>27</v>
      </c>
      <c r="C51" s="226">
        <v>40349</v>
      </c>
      <c r="D51" s="227">
        <v>0.5625</v>
      </c>
      <c r="E51" s="228" t="s">
        <v>151</v>
      </c>
      <c r="F51" s="229" t="s">
        <v>29</v>
      </c>
      <c r="G51" s="212" t="s">
        <v>148</v>
      </c>
      <c r="H51" s="229">
        <v>1</v>
      </c>
      <c r="I51" s="229" t="s">
        <v>29</v>
      </c>
      <c r="J51" s="229">
        <v>1</v>
      </c>
      <c r="K51" s="235">
        <f t="shared" si="8"/>
        <v>3</v>
      </c>
      <c r="L51" s="233">
        <f>VLOOKUP($B51,Invulblad!$A$11:$S$103,13,0)</f>
        <v>2</v>
      </c>
      <c r="M51" s="234">
        <f>IF(L51&lt;&gt;"",VLOOKUP($B51,Invulblad!$A$11:$S$103,7,0),"")</f>
        <v>0</v>
      </c>
      <c r="N51" s="229" t="s">
        <v>29</v>
      </c>
      <c r="O51" s="234">
        <f>IF(L51&lt;&gt;"",VLOOKUP($B51,Invulblad!$A$11:$S$103,9,0),"")</f>
        <v>2</v>
      </c>
      <c r="P51" s="235">
        <f t="shared" si="9"/>
        <v>0</v>
      </c>
    </row>
    <row r="52" spans="1:16">
      <c r="A52" s="205">
        <v>44</v>
      </c>
      <c r="B52" s="212">
        <v>28</v>
      </c>
      <c r="C52" s="226">
        <v>40349</v>
      </c>
      <c r="D52" s="227">
        <v>0.66666666666666663</v>
      </c>
      <c r="E52" s="228" t="s">
        <v>147</v>
      </c>
      <c r="F52" s="229" t="s">
        <v>29</v>
      </c>
      <c r="G52" s="212" t="s">
        <v>152</v>
      </c>
      <c r="H52" s="229">
        <v>3</v>
      </c>
      <c r="I52" s="229" t="s">
        <v>29</v>
      </c>
      <c r="J52" s="229">
        <v>0</v>
      </c>
      <c r="K52" s="235" t="str">
        <f t="shared" si="8"/>
        <v>1</v>
      </c>
      <c r="L52" s="233">
        <f>VLOOKUP($B52,Invulblad!$A$11:$S$103,13,0)</f>
        <v>3</v>
      </c>
      <c r="M52" s="234">
        <f>IF(L52&lt;&gt;"",VLOOKUP($B52,Invulblad!$A$11:$S$103,7,0),"")</f>
        <v>1</v>
      </c>
      <c r="N52" s="229" t="s">
        <v>29</v>
      </c>
      <c r="O52" s="234">
        <f>IF(L52&lt;&gt;"",VLOOKUP($B52,Invulblad!$A$11:$S$103,9,0),"")</f>
        <v>1</v>
      </c>
      <c r="P52" s="235">
        <f t="shared" si="9"/>
        <v>0</v>
      </c>
    </row>
    <row r="53" spans="1:16">
      <c r="A53" s="205">
        <v>45</v>
      </c>
      <c r="B53" s="212">
        <v>41</v>
      </c>
      <c r="C53" s="226">
        <v>40353</v>
      </c>
      <c r="D53" s="227">
        <v>0.66666666666666663</v>
      </c>
      <c r="E53" s="228" t="s">
        <v>151</v>
      </c>
      <c r="F53" s="229" t="s">
        <v>29</v>
      </c>
      <c r="G53" s="212" t="s">
        <v>153</v>
      </c>
      <c r="H53" s="229">
        <v>1</v>
      </c>
      <c r="I53" s="229" t="s">
        <v>29</v>
      </c>
      <c r="J53" s="229">
        <v>1</v>
      </c>
      <c r="K53" s="235">
        <f t="shared" si="8"/>
        <v>3</v>
      </c>
      <c r="L53" s="233" t="str">
        <f>VLOOKUP($B53,Invulblad!$A$11:$S$103,13,0)</f>
        <v>1</v>
      </c>
      <c r="M53" s="234">
        <f>IF(L53&lt;&gt;"",VLOOKUP($B53,Invulblad!$A$11:$S$103,7,0),"")</f>
        <v>3</v>
      </c>
      <c r="N53" s="229" t="s">
        <v>29</v>
      </c>
      <c r="O53" s="234">
        <f>IF(L53&lt;&gt;"",VLOOKUP($B53,Invulblad!$A$11:$S$103,9,0),"")</f>
        <v>2</v>
      </c>
      <c r="P53" s="235">
        <f t="shared" si="9"/>
        <v>0</v>
      </c>
    </row>
    <row r="54" spans="1:16">
      <c r="A54" s="205">
        <v>46</v>
      </c>
      <c r="B54" s="212">
        <v>42</v>
      </c>
      <c r="C54" s="226">
        <v>40353</v>
      </c>
      <c r="D54" s="227">
        <v>0.66666666666666663</v>
      </c>
      <c r="E54" s="228" t="s">
        <v>154</v>
      </c>
      <c r="F54" s="229" t="s">
        <v>29</v>
      </c>
      <c r="G54" s="212" t="s">
        <v>152</v>
      </c>
      <c r="H54" s="229">
        <v>2</v>
      </c>
      <c r="I54" s="229" t="s">
        <v>29</v>
      </c>
      <c r="J54" s="229">
        <v>0</v>
      </c>
      <c r="K54" s="235" t="str">
        <f t="shared" si="8"/>
        <v>1</v>
      </c>
      <c r="L54" s="233">
        <f>VLOOKUP($B54,Invulblad!$A$11:$S$103,13,0)</f>
        <v>3</v>
      </c>
      <c r="M54" s="234">
        <f>IF(L54&lt;&gt;"",VLOOKUP($B54,Invulblad!$A$11:$S$103,7,0),"")</f>
        <v>0</v>
      </c>
      <c r="N54" s="229" t="s">
        <v>29</v>
      </c>
      <c r="O54" s="234">
        <f>IF(L54&lt;&gt;"",VLOOKUP($B54,Invulblad!$A$11:$S$103,9,0),"")</f>
        <v>0</v>
      </c>
      <c r="P54" s="235">
        <f t="shared" si="9"/>
        <v>0</v>
      </c>
    </row>
    <row r="55" spans="1:16">
      <c r="A55" s="205">
        <v>47</v>
      </c>
      <c r="B55" s="218" t="s">
        <v>36</v>
      </c>
      <c r="C55" s="218"/>
      <c r="D55" s="218"/>
      <c r="E55" s="218"/>
      <c r="F55" s="218"/>
      <c r="G55" s="218"/>
      <c r="H55" s="218"/>
      <c r="I55" s="218"/>
      <c r="J55" s="218"/>
      <c r="K55" s="236" t="str">
        <f t="shared" si="8"/>
        <v/>
      </c>
      <c r="L55" s="233"/>
      <c r="M55" s="234" t="str">
        <f>IF(L55&lt;&gt;"",VLOOKUP($B55,Invulblad!$A$11:$S$103,7,0),"")</f>
        <v/>
      </c>
      <c r="N55" s="229"/>
      <c r="O55" s="234" t="str">
        <f>IF(L55&lt;&gt;"",VLOOKUP($B55,Invulblad!$A$11:$S$103,9,0),"")</f>
        <v/>
      </c>
    </row>
    <row r="56" spans="1:16">
      <c r="A56" s="205">
        <v>49</v>
      </c>
      <c r="B56" s="212">
        <v>13</v>
      </c>
      <c r="C56" s="226">
        <v>40344</v>
      </c>
      <c r="D56" s="227">
        <v>0.66666666666666663</v>
      </c>
      <c r="E56" s="228" t="s">
        <v>155</v>
      </c>
      <c r="F56" s="229" t="s">
        <v>29</v>
      </c>
      <c r="G56" s="212" t="s">
        <v>156</v>
      </c>
      <c r="H56" s="229">
        <v>1</v>
      </c>
      <c r="I56" s="229" t="s">
        <v>29</v>
      </c>
      <c r="J56" s="229">
        <v>2</v>
      </c>
      <c r="K56" s="235">
        <f t="shared" si="8"/>
        <v>2</v>
      </c>
      <c r="L56" s="233">
        <f>VLOOKUP($B56,Invulblad!$A$11:$S$103,13,0)</f>
        <v>3</v>
      </c>
      <c r="M56" s="234">
        <f>IF(L56&lt;&gt;"",VLOOKUP($B56,Invulblad!$A$11:$S$103,7,0),"")</f>
        <v>0</v>
      </c>
      <c r="N56" s="229" t="s">
        <v>29</v>
      </c>
      <c r="O56" s="234">
        <f>IF(L56&lt;&gt;"",VLOOKUP($B56,Invulblad!$A$11:$S$103,9,0),"")</f>
        <v>0</v>
      </c>
      <c r="P56" s="235">
        <f t="shared" ref="P56:P61" si="10">IF(L56&lt;&gt;"",IF(AND(M56=H56,O56=J56),10,IF(K56=L56,5,0)),"")</f>
        <v>0</v>
      </c>
    </row>
    <row r="57" spans="1:16">
      <c r="A57" s="205">
        <v>50</v>
      </c>
      <c r="B57" s="212">
        <v>14</v>
      </c>
      <c r="C57" s="226">
        <v>40344</v>
      </c>
      <c r="D57" s="227">
        <v>0.85416666666666663</v>
      </c>
      <c r="E57" s="228" t="s">
        <v>157</v>
      </c>
      <c r="F57" s="229" t="s">
        <v>29</v>
      </c>
      <c r="G57" s="212" t="s">
        <v>158</v>
      </c>
      <c r="H57" s="229">
        <v>4</v>
      </c>
      <c r="I57" s="229" t="s">
        <v>29</v>
      </c>
      <c r="J57" s="229">
        <v>0</v>
      </c>
      <c r="K57" s="235" t="str">
        <f t="shared" si="8"/>
        <v>1</v>
      </c>
      <c r="L57" s="233" t="str">
        <f>VLOOKUP($B57,Invulblad!$A$11:$S$103,13,0)</f>
        <v>1</v>
      </c>
      <c r="M57" s="234">
        <f>IF(L57&lt;&gt;"",VLOOKUP($B57,Invulblad!$A$11:$S$103,7,0),"")</f>
        <v>2</v>
      </c>
      <c r="N57" s="229" t="s">
        <v>29</v>
      </c>
      <c r="O57" s="234">
        <f>IF(L57&lt;&gt;"",VLOOKUP($B57,Invulblad!$A$11:$S$103,9,0),"")</f>
        <v>1</v>
      </c>
      <c r="P57" s="235">
        <f t="shared" si="10"/>
        <v>5</v>
      </c>
    </row>
    <row r="58" spans="1:16">
      <c r="A58" s="205">
        <v>51</v>
      </c>
      <c r="B58" s="212">
        <v>29</v>
      </c>
      <c r="C58" s="226">
        <v>40349</v>
      </c>
      <c r="D58" s="227">
        <v>0.85416666666666663</v>
      </c>
      <c r="E58" s="228" t="s">
        <v>157</v>
      </c>
      <c r="F58" s="229" t="s">
        <v>29</v>
      </c>
      <c r="G58" s="212" t="s">
        <v>159</v>
      </c>
      <c r="H58" s="229">
        <v>3</v>
      </c>
      <c r="I58" s="229" t="s">
        <v>29</v>
      </c>
      <c r="J58" s="229">
        <v>1</v>
      </c>
      <c r="K58" s="235" t="str">
        <f t="shared" si="8"/>
        <v>1</v>
      </c>
      <c r="L58" s="233" t="str">
        <f>VLOOKUP($B58,Invulblad!$A$11:$S$103,13,0)</f>
        <v>1</v>
      </c>
      <c r="M58" s="234">
        <f>IF(L58&lt;&gt;"",VLOOKUP($B58,Invulblad!$A$11:$S$103,7,0),"")</f>
        <v>3</v>
      </c>
      <c r="N58" s="229" t="s">
        <v>29</v>
      </c>
      <c r="O58" s="234">
        <f>IF(L58&lt;&gt;"",VLOOKUP($B58,Invulblad!$A$11:$S$103,9,0),"")</f>
        <v>1</v>
      </c>
      <c r="P58" s="235">
        <f t="shared" si="10"/>
        <v>10</v>
      </c>
    </row>
    <row r="59" spans="1:16">
      <c r="A59" s="205">
        <v>52</v>
      </c>
      <c r="B59" s="212">
        <v>30</v>
      </c>
      <c r="C59" s="226">
        <v>40350</v>
      </c>
      <c r="D59" s="227">
        <v>0.5625</v>
      </c>
      <c r="E59" s="228" t="s">
        <v>160</v>
      </c>
      <c r="F59" s="229" t="s">
        <v>29</v>
      </c>
      <c r="G59" s="212" t="s">
        <v>158</v>
      </c>
      <c r="H59" s="229">
        <v>2</v>
      </c>
      <c r="I59" s="229" t="s">
        <v>29</v>
      </c>
      <c r="J59" s="229">
        <v>1</v>
      </c>
      <c r="K59" s="235" t="str">
        <f t="shared" si="8"/>
        <v>1</v>
      </c>
      <c r="L59" s="233" t="str">
        <f>VLOOKUP($B59,Invulblad!$A$11:$S$103,13,0)</f>
        <v>1</v>
      </c>
      <c r="M59" s="234">
        <f>IF(L59&lt;&gt;"",VLOOKUP($B59,Invulblad!$A$11:$S$103,7,0),"")</f>
        <v>7</v>
      </c>
      <c r="N59" s="229" t="s">
        <v>29</v>
      </c>
      <c r="O59" s="234">
        <f>IF(L59&lt;&gt;"",VLOOKUP($B59,Invulblad!$A$11:$S$103,9,0),"")</f>
        <v>0</v>
      </c>
      <c r="P59" s="235">
        <f t="shared" si="10"/>
        <v>5</v>
      </c>
    </row>
    <row r="60" spans="1:16">
      <c r="A60" s="205">
        <v>53</v>
      </c>
      <c r="B60" s="212">
        <v>45</v>
      </c>
      <c r="C60" s="226">
        <v>40354</v>
      </c>
      <c r="D60" s="227">
        <v>0.66666666666666663</v>
      </c>
      <c r="E60" s="228" t="s">
        <v>160</v>
      </c>
      <c r="F60" s="229" t="s">
        <v>29</v>
      </c>
      <c r="G60" s="212" t="s">
        <v>161</v>
      </c>
      <c r="H60" s="229">
        <v>2</v>
      </c>
      <c r="I60" s="229" t="s">
        <v>29</v>
      </c>
      <c r="J60" s="229">
        <v>2</v>
      </c>
      <c r="K60" s="235">
        <f t="shared" si="8"/>
        <v>3</v>
      </c>
      <c r="L60" s="233">
        <f>VLOOKUP($B60,Invulblad!$A$11:$S$103,13,0)</f>
        <v>3</v>
      </c>
      <c r="M60" s="234">
        <f>IF(L60&lt;&gt;"",VLOOKUP($B60,Invulblad!$A$11:$S$103,7,0),"")</f>
        <v>0</v>
      </c>
      <c r="N60" s="229" t="s">
        <v>29</v>
      </c>
      <c r="O60" s="234">
        <f>IF(L60&lt;&gt;"",VLOOKUP($B60,Invulblad!$A$11:$S$103,9,0),"")</f>
        <v>0</v>
      </c>
      <c r="P60" s="235">
        <f t="shared" si="10"/>
        <v>5</v>
      </c>
    </row>
    <row r="61" spans="1:16">
      <c r="A61" s="205">
        <v>54</v>
      </c>
      <c r="B61" s="212">
        <v>46</v>
      </c>
      <c r="C61" s="226">
        <v>40354</v>
      </c>
      <c r="D61" s="227">
        <v>0.66666666666666663</v>
      </c>
      <c r="E61" s="228" t="s">
        <v>162</v>
      </c>
      <c r="F61" s="229" t="s">
        <v>29</v>
      </c>
      <c r="G61" s="212" t="s">
        <v>159</v>
      </c>
      <c r="H61" s="229">
        <v>0</v>
      </c>
      <c r="I61" s="229" t="s">
        <v>29</v>
      </c>
      <c r="J61" s="229">
        <v>2</v>
      </c>
      <c r="K61" s="235">
        <f t="shared" si="8"/>
        <v>2</v>
      </c>
      <c r="L61" s="233">
        <f>VLOOKUP($B61,Invulblad!$A$11:$S$103,13,0)</f>
        <v>2</v>
      </c>
      <c r="M61" s="234">
        <f>IF(L61&lt;&gt;"",VLOOKUP($B61,Invulblad!$A$11:$S$103,7,0),"")</f>
        <v>0</v>
      </c>
      <c r="N61" s="229" t="s">
        <v>29</v>
      </c>
      <c r="O61" s="234">
        <f>IF(L61&lt;&gt;"",VLOOKUP($B61,Invulblad!$A$11:$S$103,9,0),"")</f>
        <v>3</v>
      </c>
      <c r="P61" s="235">
        <f t="shared" si="10"/>
        <v>5</v>
      </c>
    </row>
    <row r="62" spans="1:16">
      <c r="A62" s="205">
        <v>55</v>
      </c>
      <c r="B62" s="218" t="s">
        <v>37</v>
      </c>
      <c r="C62" s="218"/>
      <c r="D62" s="218"/>
      <c r="E62" s="218"/>
      <c r="F62" s="218"/>
      <c r="G62" s="218"/>
      <c r="H62" s="218"/>
      <c r="I62" s="218"/>
      <c r="J62" s="218"/>
      <c r="K62" s="236" t="str">
        <f t="shared" si="8"/>
        <v/>
      </c>
      <c r="L62" s="233"/>
      <c r="M62" s="234" t="str">
        <f>IF(L62&lt;&gt;"",VLOOKUP($B62,Invulblad!$A$11:$S$103,7,0),"")</f>
        <v/>
      </c>
      <c r="N62" s="229"/>
      <c r="O62" s="234" t="str">
        <f>IF(L62&lt;&gt;"",VLOOKUP($B62,Invulblad!$A$11:$S$103,9,0),"")</f>
        <v/>
      </c>
    </row>
    <row r="63" spans="1:16">
      <c r="A63" s="205">
        <v>57</v>
      </c>
      <c r="B63" s="212">
        <v>15</v>
      </c>
      <c r="C63" s="226">
        <v>40345</v>
      </c>
      <c r="D63" s="227">
        <v>0.5625</v>
      </c>
      <c r="E63" s="228" t="s">
        <v>163</v>
      </c>
      <c r="F63" s="229" t="s">
        <v>29</v>
      </c>
      <c r="G63" s="212" t="s">
        <v>164</v>
      </c>
      <c r="H63" s="229">
        <v>0</v>
      </c>
      <c r="I63" s="229" t="s">
        <v>29</v>
      </c>
      <c r="J63" s="229">
        <v>1</v>
      </c>
      <c r="K63" s="235">
        <f t="shared" si="8"/>
        <v>2</v>
      </c>
      <c r="L63" s="233">
        <f>VLOOKUP($B63,Invulblad!$A$11:$S$103,13,0)</f>
        <v>2</v>
      </c>
      <c r="M63" s="234">
        <f>IF(L63&lt;&gt;"",VLOOKUP($B63,Invulblad!$A$11:$S$103,7,0),"")</f>
        <v>0</v>
      </c>
      <c r="N63" s="229" t="s">
        <v>29</v>
      </c>
      <c r="O63" s="234">
        <f>IF(L63&lt;&gt;"",VLOOKUP($B63,Invulblad!$A$11:$S$103,9,0),"")</f>
        <v>1</v>
      </c>
      <c r="P63" s="235">
        <f t="shared" ref="P63:P68" si="11">IF(L63&lt;&gt;"",IF(AND(M63=H63,O63=J63),10,IF(K63=L63,5,0)),"")</f>
        <v>10</v>
      </c>
    </row>
    <row r="64" spans="1:16">
      <c r="A64" s="205">
        <v>58</v>
      </c>
      <c r="B64" s="212">
        <v>16</v>
      </c>
      <c r="C64" s="226">
        <v>40345</v>
      </c>
      <c r="D64" s="227">
        <v>0.66666666666666663</v>
      </c>
      <c r="E64" s="228" t="s">
        <v>165</v>
      </c>
      <c r="F64" s="229" t="s">
        <v>29</v>
      </c>
      <c r="G64" s="212" t="s">
        <v>166</v>
      </c>
      <c r="H64" s="229">
        <v>3</v>
      </c>
      <c r="I64" s="229" t="s">
        <v>29</v>
      </c>
      <c r="J64" s="229">
        <v>1</v>
      </c>
      <c r="K64" s="235" t="str">
        <f t="shared" si="8"/>
        <v>1</v>
      </c>
      <c r="L64" s="233">
        <f>VLOOKUP($B64,Invulblad!$A$11:$S$103,13,0)</f>
        <v>2</v>
      </c>
      <c r="M64" s="234">
        <f>IF(L64&lt;&gt;"",VLOOKUP($B64,Invulblad!$A$11:$S$103,7,0),"")</f>
        <v>0</v>
      </c>
      <c r="N64" s="229" t="s">
        <v>29</v>
      </c>
      <c r="O64" s="234">
        <f>IF(L64&lt;&gt;"",VLOOKUP($B64,Invulblad!$A$11:$S$103,9,0),"")</f>
        <v>1</v>
      </c>
      <c r="P64" s="235">
        <f t="shared" si="11"/>
        <v>0</v>
      </c>
    </row>
    <row r="65" spans="1:16">
      <c r="A65" s="205">
        <v>59</v>
      </c>
      <c r="B65" s="212">
        <v>31</v>
      </c>
      <c r="C65" s="226">
        <v>40350</v>
      </c>
      <c r="D65" s="227">
        <v>0.66666666666666663</v>
      </c>
      <c r="E65" s="228" t="s">
        <v>167</v>
      </c>
      <c r="F65" s="229" t="s">
        <v>29</v>
      </c>
      <c r="G65" s="212" t="s">
        <v>166</v>
      </c>
      <c r="H65" s="229">
        <v>0</v>
      </c>
      <c r="I65" s="229" t="s">
        <v>29</v>
      </c>
      <c r="J65" s="229">
        <v>1</v>
      </c>
      <c r="K65" s="235">
        <f t="shared" si="8"/>
        <v>2</v>
      </c>
      <c r="L65" s="233" t="str">
        <f>VLOOKUP($B65,Invulblad!$A$11:$S$103,13,0)</f>
        <v>1</v>
      </c>
      <c r="M65" s="234">
        <f>IF(L65&lt;&gt;"",VLOOKUP($B65,Invulblad!$A$11:$S$103,7,0),"")</f>
        <v>1</v>
      </c>
      <c r="N65" s="229" t="s">
        <v>29</v>
      </c>
      <c r="O65" s="234">
        <f>IF(L65&lt;&gt;"",VLOOKUP($B65,Invulblad!$A$11:$S$103,9,0),"")</f>
        <v>0</v>
      </c>
      <c r="P65" s="235">
        <f t="shared" si="11"/>
        <v>0</v>
      </c>
    </row>
    <row r="66" spans="1:16">
      <c r="A66" s="205">
        <v>60</v>
      </c>
      <c r="B66" s="212">
        <v>32</v>
      </c>
      <c r="C66" s="226">
        <v>40350</v>
      </c>
      <c r="D66" s="227">
        <v>0.85416666666666663</v>
      </c>
      <c r="E66" s="228" t="s">
        <v>165</v>
      </c>
      <c r="F66" s="229" t="s">
        <v>29</v>
      </c>
      <c r="G66" s="212" t="s">
        <v>168</v>
      </c>
      <c r="H66" s="229">
        <v>3</v>
      </c>
      <c r="I66" s="229" t="s">
        <v>29</v>
      </c>
      <c r="J66" s="229">
        <v>0</v>
      </c>
      <c r="K66" s="235" t="str">
        <f t="shared" si="8"/>
        <v>1</v>
      </c>
      <c r="L66" s="233" t="str">
        <f>VLOOKUP($B66,Invulblad!$A$11:$S$103,13,0)</f>
        <v>1</v>
      </c>
      <c r="M66" s="234">
        <f>IF(L66&lt;&gt;"",VLOOKUP($B66,Invulblad!$A$11:$S$103,7,0),"")</f>
        <v>2</v>
      </c>
      <c r="N66" s="229" t="s">
        <v>29</v>
      </c>
      <c r="O66" s="234">
        <f>IF(L66&lt;&gt;"",VLOOKUP($B66,Invulblad!$A$11:$S$103,9,0),"")</f>
        <v>0</v>
      </c>
      <c r="P66" s="235">
        <f t="shared" si="11"/>
        <v>5</v>
      </c>
    </row>
    <row r="67" spans="1:16">
      <c r="A67" s="205">
        <v>61</v>
      </c>
      <c r="B67" s="212">
        <v>47</v>
      </c>
      <c r="C67" s="226">
        <v>40354</v>
      </c>
      <c r="D67" s="227">
        <v>0.85416666666666663</v>
      </c>
      <c r="E67" s="228" t="s">
        <v>167</v>
      </c>
      <c r="F67" s="229" t="s">
        <v>29</v>
      </c>
      <c r="G67" s="212" t="s">
        <v>169</v>
      </c>
      <c r="H67" s="229">
        <v>0</v>
      </c>
      <c r="I67" s="229" t="s">
        <v>29</v>
      </c>
      <c r="J67" s="229">
        <v>2</v>
      </c>
      <c r="K67" s="235">
        <f t="shared" si="8"/>
        <v>2</v>
      </c>
      <c r="L67" s="233">
        <f>VLOOKUP($B67,Invulblad!$A$11:$S$103,13,0)</f>
        <v>2</v>
      </c>
      <c r="M67" s="234">
        <f>IF(L67&lt;&gt;"",VLOOKUP($B67,Invulblad!$A$11:$S$103,7,0),"")</f>
        <v>1</v>
      </c>
      <c r="N67" s="229" t="s">
        <v>29</v>
      </c>
      <c r="O67" s="234">
        <f>IF(L67&lt;&gt;"",VLOOKUP($B67,Invulblad!$A$11:$S$103,9,0),"")</f>
        <v>2</v>
      </c>
      <c r="P67" s="235">
        <f t="shared" si="11"/>
        <v>5</v>
      </c>
    </row>
    <row r="68" spans="1:16">
      <c r="A68" s="205">
        <v>62</v>
      </c>
      <c r="B68" s="212">
        <v>48</v>
      </c>
      <c r="C68" s="226">
        <v>40354</v>
      </c>
      <c r="D68" s="227">
        <v>0.85416666666666663</v>
      </c>
      <c r="E68" s="228" t="s">
        <v>170</v>
      </c>
      <c r="F68" s="229" t="s">
        <v>29</v>
      </c>
      <c r="G68" s="212" t="s">
        <v>168</v>
      </c>
      <c r="H68" s="229">
        <v>1</v>
      </c>
      <c r="I68" s="229" t="s">
        <v>29</v>
      </c>
      <c r="J68" s="229">
        <v>0</v>
      </c>
      <c r="K68" s="235" t="str">
        <f t="shared" si="8"/>
        <v>1</v>
      </c>
      <c r="L68" s="233">
        <f>VLOOKUP($B68,Invulblad!$A$11:$S$103,13,0)</f>
        <v>3</v>
      </c>
      <c r="M68" s="234">
        <f>IF(L68&lt;&gt;"",VLOOKUP($B68,Invulblad!$A$11:$S$103,7,0),"")</f>
        <v>0</v>
      </c>
      <c r="N68" s="229" t="s">
        <v>29</v>
      </c>
      <c r="O68" s="234">
        <f>IF(L68&lt;&gt;"",VLOOKUP($B68,Invulblad!$A$11:$S$103,9,0),"")</f>
        <v>0</v>
      </c>
      <c r="P68" s="235">
        <f t="shared" si="11"/>
        <v>0</v>
      </c>
    </row>
    <row r="69" spans="1:16">
      <c r="A69" s="205">
        <v>63</v>
      </c>
      <c r="B69" s="218" t="s">
        <v>97</v>
      </c>
      <c r="C69" s="218"/>
      <c r="D69" s="218"/>
      <c r="E69" s="218"/>
      <c r="F69" s="218"/>
      <c r="G69" s="218"/>
      <c r="H69" s="218"/>
      <c r="I69" s="218"/>
      <c r="J69" s="218"/>
      <c r="K69" s="236" t="str">
        <f t="shared" si="8"/>
        <v/>
      </c>
      <c r="L69" s="233"/>
      <c r="M69" s="234" t="str">
        <f>IF(L69&lt;&gt;"",VLOOKUP($B69,Invulblad!$A$11:$S$103,7,0),"")</f>
        <v/>
      </c>
      <c r="N69" s="229"/>
      <c r="O69" s="234" t="str">
        <f>IF(L69&lt;&gt;"",VLOOKUP($B69,Invulblad!$A$11:$S$103,9,0),"")</f>
        <v/>
      </c>
    </row>
    <row r="70" spans="1:16">
      <c r="A70" s="205">
        <v>65</v>
      </c>
      <c r="B70" s="212">
        <v>49</v>
      </c>
      <c r="C70" s="226">
        <v>40355</v>
      </c>
      <c r="D70" s="227">
        <v>0.66666666666666663</v>
      </c>
      <c r="E70" s="223" t="s">
        <v>109</v>
      </c>
      <c r="F70" s="229" t="s">
        <v>29</v>
      </c>
      <c r="G70" s="212" t="s">
        <v>122</v>
      </c>
      <c r="H70" s="229">
        <v>1</v>
      </c>
      <c r="I70" s="229" t="s">
        <v>29</v>
      </c>
      <c r="J70" s="229">
        <v>1</v>
      </c>
      <c r="K70" s="235">
        <f t="shared" si="8"/>
        <v>3</v>
      </c>
      <c r="L70" s="233" t="str">
        <f>VLOOKUP($B70,Invulblad!$A$11:$S$103,13,0)</f>
        <v>1</v>
      </c>
      <c r="M70" s="234">
        <f>IF(L70&lt;&gt;"",VLOOKUP($B70,Invulblad!$A$11:$S$103,7,0),"")</f>
        <v>2</v>
      </c>
      <c r="N70" s="229" t="s">
        <v>29</v>
      </c>
      <c r="O70" s="234">
        <f>IF(L70&lt;&gt;"",VLOOKUP($B70,Invulblad!$A$11:$S$103,9,0),"")</f>
        <v>1</v>
      </c>
      <c r="P70" s="235">
        <f t="shared" ref="P70:P77" si="12">IF(L70&lt;&gt;"",IF(AND(M70=H70,O70=J70),10,IF(K70=L70,5,0)),"")</f>
        <v>0</v>
      </c>
    </row>
    <row r="71" spans="1:16">
      <c r="A71" s="205">
        <v>66</v>
      </c>
      <c r="B71" s="212">
        <v>50</v>
      </c>
      <c r="C71" s="226">
        <v>40355</v>
      </c>
      <c r="D71" s="227">
        <v>0.85416666666666663</v>
      </c>
      <c r="E71" s="223" t="s">
        <v>124</v>
      </c>
      <c r="F71" s="229" t="s">
        <v>29</v>
      </c>
      <c r="G71" s="212" t="s">
        <v>242</v>
      </c>
      <c r="H71" s="229">
        <v>2</v>
      </c>
      <c r="I71" s="229" t="s">
        <v>29</v>
      </c>
      <c r="J71" s="229">
        <v>0</v>
      </c>
      <c r="K71" s="235" t="str">
        <f t="shared" si="8"/>
        <v>1</v>
      </c>
      <c r="L71" s="233">
        <f>VLOOKUP($B71,Invulblad!$A$11:$S$103,13,0)</f>
        <v>2</v>
      </c>
      <c r="M71" s="234">
        <f>IF(L71&lt;&gt;"",VLOOKUP($B71,Invulblad!$A$11:$S$103,7,0),"")</f>
        <v>1</v>
      </c>
      <c r="N71" s="229" t="s">
        <v>29</v>
      </c>
      <c r="O71" s="234">
        <f>IF(L71&lt;&gt;"",VLOOKUP($B71,Invulblad!$A$11:$S$103,9,0),"")</f>
        <v>2</v>
      </c>
      <c r="P71" s="235">
        <f t="shared" si="12"/>
        <v>0</v>
      </c>
    </row>
    <row r="72" spans="1:16">
      <c r="A72" s="205">
        <v>67</v>
      </c>
      <c r="B72" s="212">
        <v>51</v>
      </c>
      <c r="C72" s="226">
        <v>40356</v>
      </c>
      <c r="D72" s="227">
        <v>0.66666666666666663</v>
      </c>
      <c r="E72" s="223" t="s">
        <v>239</v>
      </c>
      <c r="F72" s="229" t="s">
        <v>29</v>
      </c>
      <c r="G72" s="212" t="s">
        <v>128</v>
      </c>
      <c r="H72" s="229">
        <v>2</v>
      </c>
      <c r="I72" s="229" t="s">
        <v>29</v>
      </c>
      <c r="J72" s="229">
        <v>0</v>
      </c>
      <c r="K72" s="235" t="str">
        <f t="shared" si="8"/>
        <v>1</v>
      </c>
      <c r="L72" s="233" t="str">
        <f>VLOOKUP($B72,Invulblad!$A$11:$S$103,13,0)</f>
        <v>1</v>
      </c>
      <c r="M72" s="234">
        <f>IF(L72&lt;&gt;"",VLOOKUP($B72,Invulblad!$A$11:$S$103,7,0),"")</f>
        <v>4</v>
      </c>
      <c r="N72" s="229" t="s">
        <v>29</v>
      </c>
      <c r="O72" s="234">
        <f>IF(L72&lt;&gt;"",VLOOKUP($B72,Invulblad!$A$11:$S$103,9,0),"")</f>
        <v>1</v>
      </c>
      <c r="P72" s="235">
        <f t="shared" si="12"/>
        <v>5</v>
      </c>
    </row>
    <row r="73" spans="1:16">
      <c r="A73" s="205">
        <v>68</v>
      </c>
      <c r="B73" s="212">
        <v>52</v>
      </c>
      <c r="C73" s="226">
        <v>40356</v>
      </c>
      <c r="D73" s="227">
        <v>0.85416666666666663</v>
      </c>
      <c r="E73" s="223" t="s">
        <v>116</v>
      </c>
      <c r="F73" s="229" t="s">
        <v>29</v>
      </c>
      <c r="G73" s="212" t="s">
        <v>214</v>
      </c>
      <c r="H73" s="229">
        <v>1</v>
      </c>
      <c r="I73" s="229" t="s">
        <v>29</v>
      </c>
      <c r="J73" s="229">
        <v>0</v>
      </c>
      <c r="K73" s="235" t="str">
        <f t="shared" si="8"/>
        <v>1</v>
      </c>
      <c r="L73" s="233" t="str">
        <f>VLOOKUP($B73,Invulblad!$A$11:$S$103,13,0)</f>
        <v>1</v>
      </c>
      <c r="M73" s="234">
        <f>IF(L73&lt;&gt;"",VLOOKUP($B73,Invulblad!$A$11:$S$103,7,0),"")</f>
        <v>3</v>
      </c>
      <c r="N73" s="229" t="s">
        <v>29</v>
      </c>
      <c r="O73" s="234">
        <f>IF(L73&lt;&gt;"",VLOOKUP($B73,Invulblad!$A$11:$S$103,9,0),"")</f>
        <v>1</v>
      </c>
      <c r="P73" s="235">
        <f t="shared" si="12"/>
        <v>5</v>
      </c>
    </row>
    <row r="74" spans="1:16">
      <c r="A74" s="205">
        <v>69</v>
      </c>
      <c r="B74" s="212">
        <v>53</v>
      </c>
      <c r="C74" s="226">
        <v>40357</v>
      </c>
      <c r="D74" s="227">
        <v>0.66666666666666663</v>
      </c>
      <c r="E74" s="223" t="s">
        <v>178</v>
      </c>
      <c r="F74" s="229" t="s">
        <v>29</v>
      </c>
      <c r="G74" s="212" t="s">
        <v>260</v>
      </c>
      <c r="H74" s="229">
        <v>2</v>
      </c>
      <c r="I74" s="229" t="s">
        <v>29</v>
      </c>
      <c r="J74" s="229">
        <v>1</v>
      </c>
      <c r="K74" s="235" t="str">
        <f t="shared" si="8"/>
        <v>1</v>
      </c>
      <c r="L74" s="233" t="str">
        <f>VLOOKUP($B74,Invulblad!$A$11:$S$103,13,0)</f>
        <v>1</v>
      </c>
      <c r="M74" s="234">
        <f>IF(L74&lt;&gt;"",VLOOKUP($B74,Invulblad!$A$11:$S$103,7,0),"")</f>
        <v>2</v>
      </c>
      <c r="N74" s="229" t="s">
        <v>29</v>
      </c>
      <c r="O74" s="234">
        <f>IF(L74&lt;&gt;"",VLOOKUP($B74,Invulblad!$A$11:$S$103,9,0),"")</f>
        <v>1</v>
      </c>
      <c r="P74" s="235">
        <f t="shared" si="12"/>
        <v>10</v>
      </c>
    </row>
    <row r="75" spans="1:16">
      <c r="A75" s="205">
        <v>70</v>
      </c>
      <c r="B75" s="212">
        <v>54</v>
      </c>
      <c r="C75" s="226">
        <v>40357</v>
      </c>
      <c r="D75" s="227">
        <v>0.85416666666666663</v>
      </c>
      <c r="E75" s="223" t="s">
        <v>265</v>
      </c>
      <c r="F75" s="229" t="s">
        <v>29</v>
      </c>
      <c r="G75" s="212" t="s">
        <v>276</v>
      </c>
      <c r="H75" s="229">
        <v>2</v>
      </c>
      <c r="I75" s="229" t="s">
        <v>29</v>
      </c>
      <c r="J75" s="229">
        <v>0</v>
      </c>
      <c r="K75" s="235" t="str">
        <f t="shared" si="8"/>
        <v>1</v>
      </c>
      <c r="L75" s="233" t="str">
        <f>VLOOKUP($B75,Invulblad!$A$11:$S$103,13,0)</f>
        <v>1</v>
      </c>
      <c r="M75" s="234">
        <f>IF(L75&lt;&gt;"",VLOOKUP($B75,Invulblad!$A$11:$S$103,7,0),"")</f>
        <v>3</v>
      </c>
      <c r="N75" s="229" t="s">
        <v>29</v>
      </c>
      <c r="O75" s="234">
        <f>IF(L75&lt;&gt;"",VLOOKUP($B75,Invulblad!$A$11:$S$103,9,0),"")</f>
        <v>0</v>
      </c>
      <c r="P75" s="235">
        <f t="shared" si="12"/>
        <v>5</v>
      </c>
    </row>
    <row r="76" spans="1:16">
      <c r="A76" s="205">
        <v>71</v>
      </c>
      <c r="B76" s="212">
        <v>55</v>
      </c>
      <c r="C76" s="226">
        <v>40358</v>
      </c>
      <c r="D76" s="227">
        <v>0.66666666666666663</v>
      </c>
      <c r="E76" s="223" t="s">
        <v>257</v>
      </c>
      <c r="F76" s="229" t="s">
        <v>29</v>
      </c>
      <c r="G76" s="212" t="s">
        <v>250</v>
      </c>
      <c r="H76" s="229">
        <v>0</v>
      </c>
      <c r="I76" s="229" t="s">
        <v>29</v>
      </c>
      <c r="J76" s="229">
        <v>0</v>
      </c>
      <c r="K76" s="235">
        <f t="shared" si="8"/>
        <v>3</v>
      </c>
      <c r="L76" s="233">
        <f>VLOOKUP($B76,Invulblad!$A$11:$S$103,13,0)</f>
        <v>3</v>
      </c>
      <c r="M76" s="234">
        <f>IF(L76&lt;&gt;"",VLOOKUP($B76,Invulblad!$A$11:$S$103,7,0),"")</f>
        <v>0</v>
      </c>
      <c r="N76" s="229" t="s">
        <v>29</v>
      </c>
      <c r="O76" s="234">
        <f>IF(L76&lt;&gt;"",VLOOKUP($B76,Invulblad!$A$11:$S$103,9,0),"")</f>
        <v>0</v>
      </c>
      <c r="P76" s="235">
        <f t="shared" si="12"/>
        <v>10</v>
      </c>
    </row>
    <row r="77" spans="1:16">
      <c r="A77" s="205">
        <v>72</v>
      </c>
      <c r="B77" s="212">
        <v>56</v>
      </c>
      <c r="C77" s="226">
        <v>40358</v>
      </c>
      <c r="D77" s="227">
        <v>0.85416666666666663</v>
      </c>
      <c r="E77" s="223" t="s">
        <v>200</v>
      </c>
      <c r="F77" s="229" t="s">
        <v>29</v>
      </c>
      <c r="G77" s="212" t="s">
        <v>268</v>
      </c>
      <c r="H77" s="229">
        <v>2</v>
      </c>
      <c r="I77" s="229" t="s">
        <v>29</v>
      </c>
      <c r="J77" s="229">
        <v>1</v>
      </c>
      <c r="K77" s="235" t="str">
        <f t="shared" si="8"/>
        <v>1</v>
      </c>
      <c r="L77" s="233" t="str">
        <f>VLOOKUP($B77,Invulblad!$A$11:$S$103,13,0)</f>
        <v>1</v>
      </c>
      <c r="M77" s="234">
        <f>IF(L77&lt;&gt;"",VLOOKUP($B77,Invulblad!$A$11:$S$103,7,0),"")</f>
        <v>1</v>
      </c>
      <c r="N77" s="229" t="s">
        <v>29</v>
      </c>
      <c r="O77" s="234">
        <f>IF(L77&lt;&gt;"",VLOOKUP($B77,Invulblad!$A$11:$S$103,9,0),"")</f>
        <v>0</v>
      </c>
      <c r="P77" s="235">
        <f t="shared" si="12"/>
        <v>5</v>
      </c>
    </row>
    <row r="78" spans="1:16">
      <c r="A78" s="205">
        <v>73</v>
      </c>
      <c r="B78" s="218" t="s">
        <v>186</v>
      </c>
      <c r="C78" s="218"/>
      <c r="D78" s="218"/>
      <c r="E78" s="218"/>
      <c r="F78" s="218"/>
      <c r="G78" s="218"/>
      <c r="H78" s="218"/>
      <c r="I78" s="218"/>
      <c r="J78" s="218"/>
      <c r="K78" s="236" t="str">
        <f t="shared" ref="K78:K89" si="13">IF(AND(H78="",J78=""),"",IF(OR(H78="",J78=""),"FOUT",IF(H78&gt;J78,"1",IF(H78=J78,3,2))))</f>
        <v/>
      </c>
      <c r="L78" s="233"/>
      <c r="M78" s="234" t="str">
        <f>IF(L78&lt;&gt;"",VLOOKUP($B78,Invulblad!$A$11:$S$103,7,0),"")</f>
        <v/>
      </c>
      <c r="N78" s="229"/>
      <c r="O78" s="234" t="str">
        <f>IF(L78&lt;&gt;"",VLOOKUP($B78,Invulblad!$A$11:$S$103,9,0),"")</f>
        <v/>
      </c>
    </row>
    <row r="79" spans="1:16">
      <c r="A79" s="205">
        <v>75</v>
      </c>
      <c r="B79" s="212">
        <v>57</v>
      </c>
      <c r="C79" s="226">
        <v>40361</v>
      </c>
      <c r="D79" s="227">
        <v>0.66666666666666663</v>
      </c>
      <c r="E79" s="228" t="s">
        <v>178</v>
      </c>
      <c r="F79" s="229" t="s">
        <v>29</v>
      </c>
      <c r="G79" s="222" t="s">
        <v>265</v>
      </c>
      <c r="H79" s="229">
        <v>2</v>
      </c>
      <c r="I79" s="229" t="s">
        <v>29</v>
      </c>
      <c r="J79" s="229">
        <v>3</v>
      </c>
      <c r="K79" s="235">
        <f t="shared" si="13"/>
        <v>2</v>
      </c>
      <c r="L79" s="233" t="str">
        <f>VLOOKUP($B79,Invulblad!$A$11:$S$103,13,0)</f>
        <v>1</v>
      </c>
      <c r="M79" s="234">
        <f>IF(L79&lt;&gt;"",VLOOKUP($B79,Invulblad!$A$11:$S$103,7,0),"")</f>
        <v>2</v>
      </c>
      <c r="N79" s="229" t="s">
        <v>29</v>
      </c>
      <c r="O79" s="234">
        <f>IF(L79&lt;&gt;"",VLOOKUP($B79,Invulblad!$A$11:$S$103,9,0),"")</f>
        <v>1</v>
      </c>
      <c r="P79" s="235">
        <f>IF(L79&lt;&gt;"",IF(AND(M79=H79,O79=J79),10,IF(K79=L79,5,0)),"")</f>
        <v>0</v>
      </c>
    </row>
    <row r="80" spans="1:16">
      <c r="A80" s="205">
        <v>76</v>
      </c>
      <c r="B80" s="212">
        <v>58</v>
      </c>
      <c r="C80" s="226">
        <v>40361</v>
      </c>
      <c r="D80" s="227">
        <v>0.85416666666666663</v>
      </c>
      <c r="E80" s="228" t="s">
        <v>109</v>
      </c>
      <c r="F80" s="229" t="s">
        <v>29</v>
      </c>
      <c r="G80" s="222" t="s">
        <v>124</v>
      </c>
      <c r="H80" s="229">
        <v>0</v>
      </c>
      <c r="I80" s="229" t="s">
        <v>29</v>
      </c>
      <c r="J80" s="229">
        <v>1</v>
      </c>
      <c r="K80" s="235">
        <f t="shared" si="13"/>
        <v>2</v>
      </c>
      <c r="L80" s="233">
        <f>VLOOKUP($B80,Invulblad!$A$11:$S$103,13,0)</f>
        <v>3</v>
      </c>
      <c r="M80" s="234">
        <f>IF(L80&lt;&gt;"",VLOOKUP($B80,Invulblad!$A$11:$S$103,7,0),"")</f>
        <v>1</v>
      </c>
      <c r="N80" s="229" t="s">
        <v>29</v>
      </c>
      <c r="O80" s="234">
        <f>IF(L80&lt;&gt;"",VLOOKUP($B80,Invulblad!$A$11:$S$103,9,0),"")</f>
        <v>1</v>
      </c>
      <c r="P80" s="235">
        <f>IF(L80&lt;&gt;"",IF(AND(M80=H80,O80=J80),10,IF(K80=L80,5,0)),"")</f>
        <v>0</v>
      </c>
    </row>
    <row r="81" spans="1:16">
      <c r="A81" s="205">
        <v>77</v>
      </c>
      <c r="B81" s="212">
        <v>59</v>
      </c>
      <c r="C81" s="226">
        <v>40362</v>
      </c>
      <c r="D81" s="227">
        <v>0.66666666666666663</v>
      </c>
      <c r="E81" s="223" t="s">
        <v>116</v>
      </c>
      <c r="F81" s="229" t="s">
        <v>29</v>
      </c>
      <c r="G81" s="212" t="s">
        <v>239</v>
      </c>
      <c r="H81" s="229">
        <v>2</v>
      </c>
      <c r="I81" s="229" t="s">
        <v>29</v>
      </c>
      <c r="J81" s="229">
        <v>1</v>
      </c>
      <c r="K81" s="235" t="str">
        <f t="shared" si="13"/>
        <v>1</v>
      </c>
      <c r="L81" s="233">
        <f>VLOOKUP($B81,Invulblad!$A$11:$S$103,13,0)</f>
        <v>2</v>
      </c>
      <c r="M81" s="234">
        <f>IF(L81&lt;&gt;"",VLOOKUP($B81,Invulblad!$A$11:$S$103,7,0),"")</f>
        <v>0</v>
      </c>
      <c r="N81" s="229" t="s">
        <v>29</v>
      </c>
      <c r="O81" s="234">
        <f>IF(L81&lt;&gt;"",VLOOKUP($B81,Invulblad!$A$11:$S$103,9,0),"")</f>
        <v>4</v>
      </c>
      <c r="P81" s="235">
        <f>IF(L81&lt;&gt;"",IF(AND(M81=H81,O81=J81),10,IF(K81=L81,5,0)),"")</f>
        <v>0</v>
      </c>
    </row>
    <row r="82" spans="1:16">
      <c r="A82" s="205">
        <v>78</v>
      </c>
      <c r="B82" s="212">
        <v>60</v>
      </c>
      <c r="C82" s="226">
        <v>40362</v>
      </c>
      <c r="D82" s="227">
        <v>0.85416666666666663</v>
      </c>
      <c r="E82" s="228" t="s">
        <v>257</v>
      </c>
      <c r="F82" s="229" t="s">
        <v>29</v>
      </c>
      <c r="G82" s="222" t="s">
        <v>200</v>
      </c>
      <c r="H82" s="229">
        <v>1</v>
      </c>
      <c r="I82" s="229" t="s">
        <v>29</v>
      </c>
      <c r="J82" s="229">
        <v>2</v>
      </c>
      <c r="K82" s="235">
        <f t="shared" si="13"/>
        <v>2</v>
      </c>
      <c r="L82" s="233">
        <f>VLOOKUP($B82,Invulblad!$A$11:$S$103,13,0)</f>
        <v>2</v>
      </c>
      <c r="M82" s="234">
        <f>IF(L82&lt;&gt;"",VLOOKUP($B82,Invulblad!$A$11:$S$103,7,0),"")</f>
        <v>0</v>
      </c>
      <c r="N82" s="229" t="s">
        <v>29</v>
      </c>
      <c r="O82" s="234">
        <f>IF(L82&lt;&gt;"",VLOOKUP($B82,Invulblad!$A$11:$S$103,9,0),"")</f>
        <v>1</v>
      </c>
      <c r="P82" s="235">
        <f>IF(L82&lt;&gt;"",IF(AND(M82=H82,O82=J82),10,IF(K82=L82,5,0)),"")</f>
        <v>5</v>
      </c>
    </row>
    <row r="83" spans="1:16">
      <c r="A83" s="205">
        <v>79</v>
      </c>
      <c r="B83" s="218" t="s">
        <v>99</v>
      </c>
      <c r="C83" s="218"/>
      <c r="D83" s="218"/>
      <c r="E83" s="218"/>
      <c r="F83" s="218"/>
      <c r="G83" s="218"/>
      <c r="H83" s="218"/>
      <c r="I83" s="218"/>
      <c r="J83" s="218"/>
      <c r="K83" s="236" t="str">
        <f t="shared" si="13"/>
        <v/>
      </c>
      <c r="L83" s="233"/>
      <c r="M83" s="234" t="str">
        <f>IF(L83&lt;&gt;"",VLOOKUP($B83,Invulblad!$A$11:$S$103,7,0),"")</f>
        <v/>
      </c>
      <c r="O83" s="234" t="str">
        <f>IF(L83&lt;&gt;"",VLOOKUP($B83,Invulblad!$A$11:$S$103,9,0),"")</f>
        <v/>
      </c>
    </row>
    <row r="84" spans="1:16">
      <c r="A84" s="205">
        <v>81</v>
      </c>
      <c r="B84" s="212">
        <v>61</v>
      </c>
      <c r="C84" s="226">
        <v>40365</v>
      </c>
      <c r="D84" s="227">
        <v>0.85416666666666663</v>
      </c>
      <c r="E84" s="228" t="s">
        <v>124</v>
      </c>
      <c r="F84" s="229" t="s">
        <v>29</v>
      </c>
      <c r="G84" s="222" t="s">
        <v>265</v>
      </c>
      <c r="H84" s="229">
        <v>1</v>
      </c>
      <c r="I84" s="229" t="s">
        <v>29</v>
      </c>
      <c r="J84" s="229">
        <v>2</v>
      </c>
      <c r="K84" s="235">
        <f t="shared" si="13"/>
        <v>2</v>
      </c>
      <c r="L84" s="233">
        <f>VLOOKUP($B84,Invulblad!$A$11:$S$103,13,0)</f>
        <v>2</v>
      </c>
      <c r="M84" s="234">
        <f>IF(L84&lt;&gt;"",VLOOKUP($B84,Invulblad!$A$11:$S$103,7,0),"")</f>
        <v>2</v>
      </c>
      <c r="N84" s="229" t="s">
        <v>29</v>
      </c>
      <c r="O84" s="234">
        <f>IF(L84&lt;&gt;"",VLOOKUP($B84,Invulblad!$A$11:$S$103,9,0),"")</f>
        <v>3</v>
      </c>
      <c r="P84" s="235">
        <f>IF(L84&lt;&gt;"",IF(AND(M84=H84,O84=J84),10,IF(K84=L84,5,0)),"")</f>
        <v>5</v>
      </c>
    </row>
    <row r="85" spans="1:16">
      <c r="A85" s="205">
        <v>82</v>
      </c>
      <c r="B85" s="212">
        <v>62</v>
      </c>
      <c r="C85" s="226">
        <v>40366</v>
      </c>
      <c r="D85" s="227">
        <v>0.85416666666666663</v>
      </c>
      <c r="E85" s="223" t="s">
        <v>116</v>
      </c>
      <c r="F85" s="229" t="s">
        <v>29</v>
      </c>
      <c r="G85" s="212" t="s">
        <v>200</v>
      </c>
      <c r="H85" s="229">
        <v>2</v>
      </c>
      <c r="I85" s="229" t="s">
        <v>29</v>
      </c>
      <c r="J85" s="229">
        <v>1</v>
      </c>
      <c r="K85" s="235" t="str">
        <f t="shared" si="13"/>
        <v>1</v>
      </c>
      <c r="L85" s="233" t="str">
        <f>VLOOKUP($B85,Invulblad!$A$11:$S$103,13,0)</f>
        <v/>
      </c>
      <c r="M85" s="234" t="str">
        <f>IF(L85&lt;&gt;"",VLOOKUP($B85,Invulblad!$A$11:$S$103,7,0),"")</f>
        <v/>
      </c>
      <c r="N85" s="229" t="s">
        <v>29</v>
      </c>
      <c r="O85" s="234" t="str">
        <f>IF(L85&lt;&gt;"",VLOOKUP($B85,Invulblad!$A$11:$S$103,9,0),"")</f>
        <v/>
      </c>
      <c r="P85" s="235" t="str">
        <f>IF(L85&lt;&gt;"",IF(AND(M85=H85,O85=J85),10,IF(K85=L85,5,0)),"")</f>
        <v/>
      </c>
    </row>
    <row r="86" spans="1:16">
      <c r="A86" s="205">
        <v>83</v>
      </c>
      <c r="B86" s="218" t="s">
        <v>199</v>
      </c>
      <c r="C86" s="218"/>
      <c r="D86" s="218"/>
      <c r="E86" s="218"/>
      <c r="F86" s="218"/>
      <c r="G86" s="218"/>
      <c r="H86" s="218"/>
      <c r="I86" s="218"/>
      <c r="J86" s="218"/>
      <c r="K86" s="236" t="str">
        <f t="shared" si="13"/>
        <v/>
      </c>
      <c r="L86" s="233"/>
      <c r="M86" s="234" t="str">
        <f>IF(L86&lt;&gt;"",VLOOKUP($B86,Invulblad!$A$11:$S$103,7,0),"")</f>
        <v/>
      </c>
      <c r="N86" s="229"/>
      <c r="O86" s="234" t="str">
        <f>IF(L86&lt;&gt;"",VLOOKUP($B86,Invulblad!$A$11:$S$103,9,0),"")</f>
        <v/>
      </c>
    </row>
    <row r="87" spans="1:16">
      <c r="A87" s="205">
        <v>85</v>
      </c>
      <c r="B87" s="212">
        <v>63</v>
      </c>
      <c r="C87" s="226">
        <v>40369</v>
      </c>
      <c r="D87" s="227">
        <v>0.85416666666666663</v>
      </c>
      <c r="E87" s="228" t="s">
        <v>124</v>
      </c>
      <c r="F87" s="229" t="s">
        <v>29</v>
      </c>
      <c r="G87" s="222" t="s">
        <v>200</v>
      </c>
      <c r="H87" s="229">
        <v>1</v>
      </c>
      <c r="I87" s="229" t="s">
        <v>29</v>
      </c>
      <c r="J87" s="229">
        <v>1</v>
      </c>
      <c r="K87" s="235">
        <f t="shared" si="13"/>
        <v>3</v>
      </c>
      <c r="L87" s="233" t="str">
        <f>VLOOKUP($B87,Invulblad!$A$11:$S$103,13,0)</f>
        <v/>
      </c>
      <c r="M87" s="234" t="str">
        <f>IF(L87&lt;&gt;"",VLOOKUP($B87,Invulblad!$A$11:$S$103,7,0),"")</f>
        <v/>
      </c>
      <c r="N87" s="229" t="s">
        <v>29</v>
      </c>
      <c r="O87" s="234" t="str">
        <f>IF(L87&lt;&gt;"",VLOOKUP($B87,Invulblad!$A$11:$S$103,9,0),"")</f>
        <v/>
      </c>
      <c r="P87" s="235" t="str">
        <f>IF(L87&lt;&gt;"",IF(AND(M87=H87,O87=J87),10,IF(K87=L87,5,0)),"")</f>
        <v/>
      </c>
    </row>
    <row r="88" spans="1:16">
      <c r="A88" s="205">
        <v>86</v>
      </c>
      <c r="B88" s="218" t="s">
        <v>49</v>
      </c>
      <c r="C88" s="218"/>
      <c r="D88" s="218"/>
      <c r="E88" s="218"/>
      <c r="F88" s="218"/>
      <c r="G88" s="218"/>
      <c r="H88" s="218"/>
      <c r="I88" s="218"/>
      <c r="J88" s="218"/>
      <c r="K88" s="236" t="str">
        <f t="shared" si="13"/>
        <v/>
      </c>
      <c r="L88" s="233"/>
      <c r="M88" s="234" t="str">
        <f>IF(L88&lt;&gt;"",VLOOKUP($B88,Invulblad!$A$11:$S$103,7,0),"")</f>
        <v/>
      </c>
      <c r="N88" s="229"/>
      <c r="O88" s="234" t="str">
        <f>IF(L88&lt;&gt;"",VLOOKUP($B88,Invulblad!$A$11:$S$103,9,0),"")</f>
        <v/>
      </c>
    </row>
    <row r="89" spans="1:16">
      <c r="A89" s="205">
        <v>88</v>
      </c>
      <c r="B89" s="212">
        <v>64</v>
      </c>
      <c r="C89" s="226">
        <v>40370</v>
      </c>
      <c r="D89" s="227">
        <v>0.85416666666666663</v>
      </c>
      <c r="E89" s="228" t="s">
        <v>265</v>
      </c>
      <c r="F89" s="229" t="s">
        <v>29</v>
      </c>
      <c r="G89" s="222" t="s">
        <v>116</v>
      </c>
      <c r="H89" s="229">
        <v>2</v>
      </c>
      <c r="I89" s="229" t="s">
        <v>29</v>
      </c>
      <c r="J89" s="229">
        <v>2</v>
      </c>
      <c r="K89" s="235">
        <f t="shared" si="13"/>
        <v>3</v>
      </c>
      <c r="L89" s="233" t="str">
        <f>VLOOKUP($B89,Invulblad!$A$11:$S$103,13,0)</f>
        <v/>
      </c>
      <c r="M89" s="234" t="str">
        <f>IF(L89&lt;&gt;"",VLOOKUP($B89,Invulblad!$A$11:$S$103,7,0),"")</f>
        <v/>
      </c>
      <c r="N89" s="229" t="s">
        <v>29</v>
      </c>
      <c r="O89" s="234" t="str">
        <f>IF(L89&lt;&gt;"",VLOOKUP($B89,Invulblad!$A$11:$S$103,9,0),"")</f>
        <v/>
      </c>
      <c r="P89" s="235" t="str">
        <f>IF(L89&lt;&gt;"",IF(AND(M89=H89,O89=J89),10,IF(K89=L89,5,0)),"")</f>
        <v/>
      </c>
    </row>
    <row r="90" spans="1:16">
      <c r="B90" s="228"/>
      <c r="C90" s="228"/>
      <c r="D90" s="228"/>
      <c r="E90" s="228"/>
      <c r="F90" s="228"/>
      <c r="G90" s="228"/>
      <c r="H90" s="228"/>
      <c r="I90" s="228"/>
      <c r="J90" s="228"/>
      <c r="K90" s="228"/>
      <c r="L90" s="239"/>
      <c r="M90" s="234"/>
      <c r="N90" s="229"/>
      <c r="O90" s="234"/>
    </row>
    <row r="91" spans="1:16">
      <c r="M91" s="234"/>
      <c r="N91" s="229"/>
      <c r="O91" s="234"/>
    </row>
    <row r="92" spans="1:16">
      <c r="B92" s="218" t="s">
        <v>201</v>
      </c>
      <c r="M92" s="234"/>
      <c r="N92" s="229"/>
      <c r="O92" s="234"/>
    </row>
    <row r="93" spans="1:16">
      <c r="B93" s="218"/>
    </row>
    <row r="94" spans="1:16">
      <c r="A94" s="205" t="s">
        <v>73</v>
      </c>
      <c r="B94" s="206" t="s">
        <v>202</v>
      </c>
      <c r="C94" s="206" t="s">
        <v>203</v>
      </c>
      <c r="D94" s="218" t="s">
        <v>109</v>
      </c>
      <c r="M94" s="234"/>
      <c r="N94" s="229"/>
      <c r="O94" s="234"/>
    </row>
    <row r="95" spans="1:16">
      <c r="A95" s="205" t="s">
        <v>74</v>
      </c>
      <c r="B95" s="206" t="s">
        <v>204</v>
      </c>
      <c r="C95" s="206" t="s">
        <v>203</v>
      </c>
      <c r="D95" s="218" t="s">
        <v>214</v>
      </c>
    </row>
    <row r="98" spans="2:5">
      <c r="B98" s="218" t="s">
        <v>206</v>
      </c>
    </row>
    <row r="100" spans="2:5">
      <c r="B100" s="240" t="s">
        <v>207</v>
      </c>
      <c r="C100" s="240" t="s">
        <v>208</v>
      </c>
      <c r="D100" s="240" t="s">
        <v>209</v>
      </c>
      <c r="E100" s="240" t="s">
        <v>210</v>
      </c>
    </row>
    <row r="101" spans="2:5">
      <c r="B101" s="241" t="s">
        <v>205</v>
      </c>
      <c r="C101" s="241" t="s">
        <v>213</v>
      </c>
      <c r="D101" s="241" t="s">
        <v>216</v>
      </c>
      <c r="E101" s="241" t="s">
        <v>213</v>
      </c>
    </row>
    <row r="102" spans="2:5">
      <c r="B102" s="242" t="s">
        <v>214</v>
      </c>
      <c r="C102" s="242" t="s">
        <v>234</v>
      </c>
      <c r="D102" s="242" t="s">
        <v>215</v>
      </c>
      <c r="E102" s="242" t="s">
        <v>217</v>
      </c>
    </row>
    <row r="103" spans="2:5">
      <c r="B103" s="241" t="s">
        <v>109</v>
      </c>
      <c r="C103" s="241" t="s">
        <v>234</v>
      </c>
      <c r="D103" s="241" t="s">
        <v>211</v>
      </c>
      <c r="E103" s="241" t="s">
        <v>217</v>
      </c>
    </row>
    <row r="104" spans="2:5">
      <c r="B104" s="242" t="s">
        <v>107</v>
      </c>
      <c r="C104" s="242" t="s">
        <v>212</v>
      </c>
      <c r="D104" s="242" t="s">
        <v>224</v>
      </c>
      <c r="E104" s="242" t="s">
        <v>218</v>
      </c>
    </row>
    <row r="107" spans="2:5">
      <c r="B107" s="218" t="s">
        <v>219</v>
      </c>
    </row>
    <row r="108" spans="2:5">
      <c r="B108" s="212"/>
    </row>
    <row r="109" spans="2:5">
      <c r="B109" s="212" t="s">
        <v>319</v>
      </c>
    </row>
    <row r="110" spans="2:5">
      <c r="B110" s="212"/>
    </row>
    <row r="113" spans="1:15">
      <c r="B113" s="243"/>
      <c r="C113" s="243"/>
      <c r="D113" s="243"/>
      <c r="E113" s="243"/>
      <c r="F113" s="243"/>
      <c r="G113" s="243"/>
      <c r="H113" s="243"/>
      <c r="I113" s="243"/>
      <c r="J113" s="243"/>
    </row>
    <row r="114" spans="1:15">
      <c r="K114" s="243"/>
      <c r="L114" s="244"/>
      <c r="M114" s="243"/>
      <c r="N114" s="243"/>
      <c r="O114" s="243"/>
    </row>
    <row r="116" spans="1:15">
      <c r="A116" s="206"/>
      <c r="B116" s="218" t="s">
        <v>222</v>
      </c>
    </row>
    <row r="118" spans="1:15">
      <c r="A118" s="205" t="s">
        <v>75</v>
      </c>
      <c r="B118" s="206" t="s">
        <v>202</v>
      </c>
      <c r="C118" s="206" t="s">
        <v>203</v>
      </c>
      <c r="D118" s="218" t="s">
        <v>116</v>
      </c>
    </row>
    <row r="119" spans="1:15">
      <c r="A119" s="252" t="s">
        <v>76</v>
      </c>
      <c r="B119" s="206" t="s">
        <v>204</v>
      </c>
      <c r="C119" s="206" t="s">
        <v>203</v>
      </c>
      <c r="D119" s="218" t="s">
        <v>122</v>
      </c>
    </row>
    <row r="122" spans="1:15">
      <c r="B122" s="218" t="s">
        <v>223</v>
      </c>
    </row>
    <row r="124" spans="1:15">
      <c r="B124" s="240" t="s">
        <v>207</v>
      </c>
      <c r="C124" s="240" t="s">
        <v>208</v>
      </c>
      <c r="D124" s="240" t="s">
        <v>209</v>
      </c>
      <c r="E124" s="240" t="s">
        <v>210</v>
      </c>
    </row>
    <row r="125" spans="1:15">
      <c r="B125" s="241" t="s">
        <v>120</v>
      </c>
      <c r="C125" s="241" t="s">
        <v>218</v>
      </c>
      <c r="D125" s="241" t="s">
        <v>233</v>
      </c>
      <c r="E125" s="241" t="s">
        <v>218</v>
      </c>
    </row>
    <row r="126" spans="1:15">
      <c r="B126" s="242" t="s">
        <v>116</v>
      </c>
      <c r="C126" s="242" t="s">
        <v>225</v>
      </c>
      <c r="D126" s="242" t="s">
        <v>234</v>
      </c>
      <c r="E126" s="242" t="s">
        <v>316</v>
      </c>
    </row>
    <row r="127" spans="1:15">
      <c r="B127" s="241" t="s">
        <v>122</v>
      </c>
      <c r="C127" s="241" t="s">
        <v>211</v>
      </c>
      <c r="D127" s="241" t="s">
        <v>216</v>
      </c>
      <c r="E127" s="241" t="s">
        <v>213</v>
      </c>
    </row>
    <row r="128" spans="1:15">
      <c r="B128" s="242" t="s">
        <v>118</v>
      </c>
      <c r="C128" s="242" t="s">
        <v>215</v>
      </c>
      <c r="D128" s="242" t="s">
        <v>233</v>
      </c>
      <c r="E128" s="242" t="s">
        <v>215</v>
      </c>
    </row>
    <row r="131" spans="1:15">
      <c r="B131" s="218" t="s">
        <v>228</v>
      </c>
    </row>
    <row r="132" spans="1:15">
      <c r="B132" s="212"/>
    </row>
    <row r="133" spans="1:15">
      <c r="B133" s="212" t="s">
        <v>229</v>
      </c>
    </row>
    <row r="134" spans="1:15">
      <c r="B134" s="212" t="s">
        <v>230</v>
      </c>
    </row>
    <row r="137" spans="1:15">
      <c r="B137" s="243"/>
      <c r="C137" s="243"/>
      <c r="D137" s="243"/>
      <c r="E137" s="243"/>
      <c r="F137" s="243"/>
      <c r="G137" s="243"/>
      <c r="H137" s="243"/>
      <c r="I137" s="243"/>
      <c r="J137" s="243"/>
    </row>
    <row r="138" spans="1:15">
      <c r="K138" s="243"/>
      <c r="L138" s="244"/>
      <c r="M138" s="243"/>
      <c r="N138" s="243"/>
      <c r="O138" s="243"/>
    </row>
    <row r="140" spans="1:15">
      <c r="B140" s="218" t="s">
        <v>231</v>
      </c>
    </row>
    <row r="142" spans="1:15">
      <c r="A142" s="205" t="s">
        <v>77</v>
      </c>
      <c r="B142" s="206" t="s">
        <v>202</v>
      </c>
      <c r="C142" s="206" t="s">
        <v>203</v>
      </c>
      <c r="D142" s="218" t="s">
        <v>124</v>
      </c>
    </row>
    <row r="143" spans="1:15">
      <c r="A143" s="205" t="s">
        <v>78</v>
      </c>
      <c r="B143" s="206" t="s">
        <v>204</v>
      </c>
      <c r="C143" s="206" t="s">
        <v>203</v>
      </c>
      <c r="D143" s="218" t="s">
        <v>128</v>
      </c>
    </row>
    <row r="146" spans="2:5">
      <c r="B146" s="218" t="s">
        <v>232</v>
      </c>
    </row>
    <row r="148" spans="2:5">
      <c r="B148" s="240" t="s">
        <v>207</v>
      </c>
      <c r="C148" s="240" t="s">
        <v>208</v>
      </c>
      <c r="D148" s="240" t="s">
        <v>209</v>
      </c>
      <c r="E148" s="240" t="s">
        <v>210</v>
      </c>
    </row>
    <row r="149" spans="2:5">
      <c r="B149" s="241" t="s">
        <v>126</v>
      </c>
      <c r="C149" s="241" t="s">
        <v>218</v>
      </c>
      <c r="D149" s="241" t="s">
        <v>233</v>
      </c>
      <c r="E149" s="241" t="s">
        <v>213</v>
      </c>
    </row>
    <row r="150" spans="2:5">
      <c r="B150" s="242" t="s">
        <v>124</v>
      </c>
      <c r="C150" s="242" t="s">
        <v>225</v>
      </c>
      <c r="D150" s="242" t="s">
        <v>217</v>
      </c>
      <c r="E150" s="242" t="s">
        <v>234</v>
      </c>
    </row>
    <row r="151" spans="2:5">
      <c r="B151" s="241" t="s">
        <v>128</v>
      </c>
      <c r="C151" s="241" t="s">
        <v>211</v>
      </c>
      <c r="D151" s="241" t="s">
        <v>216</v>
      </c>
      <c r="E151" s="241" t="s">
        <v>215</v>
      </c>
    </row>
    <row r="152" spans="2:5">
      <c r="B152" s="242" t="s">
        <v>32</v>
      </c>
      <c r="C152" s="242" t="s">
        <v>215</v>
      </c>
      <c r="D152" s="242" t="s">
        <v>216</v>
      </c>
      <c r="E152" s="242" t="s">
        <v>211</v>
      </c>
    </row>
    <row r="155" spans="2:5">
      <c r="B155" s="218" t="s">
        <v>235</v>
      </c>
    </row>
    <row r="156" spans="2:5">
      <c r="B156" s="212"/>
    </row>
    <row r="157" spans="2:5">
      <c r="B157" s="212" t="s">
        <v>236</v>
      </c>
    </row>
    <row r="158" spans="2:5">
      <c r="B158" s="212" t="s">
        <v>237</v>
      </c>
    </row>
    <row r="161" spans="1:15">
      <c r="B161" s="243"/>
      <c r="C161" s="243"/>
      <c r="D161" s="243"/>
      <c r="E161" s="243"/>
      <c r="F161" s="243"/>
      <c r="G161" s="243"/>
      <c r="H161" s="243"/>
      <c r="I161" s="243"/>
      <c r="J161" s="243"/>
    </row>
    <row r="162" spans="1:15">
      <c r="K162" s="243"/>
      <c r="L162" s="244"/>
      <c r="M162" s="243"/>
      <c r="N162" s="243"/>
      <c r="O162" s="243"/>
    </row>
    <row r="164" spans="1:15">
      <c r="B164" s="218" t="s">
        <v>238</v>
      </c>
    </row>
    <row r="166" spans="1:15">
      <c r="A166" s="205" t="s">
        <v>79</v>
      </c>
      <c r="B166" s="206" t="s">
        <v>202</v>
      </c>
      <c r="C166" s="206" t="s">
        <v>203</v>
      </c>
      <c r="D166" s="218" t="s">
        <v>239</v>
      </c>
    </row>
    <row r="167" spans="1:15">
      <c r="A167" s="205" t="s">
        <v>80</v>
      </c>
      <c r="B167" s="206" t="s">
        <v>204</v>
      </c>
      <c r="C167" s="206" t="s">
        <v>203</v>
      </c>
      <c r="D167" s="218" t="s">
        <v>242</v>
      </c>
    </row>
    <row r="170" spans="1:15">
      <c r="B170" s="218" t="s">
        <v>241</v>
      </c>
    </row>
    <row r="172" spans="1:15">
      <c r="B172" s="240" t="s">
        <v>207</v>
      </c>
      <c r="C172" s="240" t="s">
        <v>208</v>
      </c>
      <c r="D172" s="240" t="s">
        <v>209</v>
      </c>
      <c r="E172" s="240" t="s">
        <v>210</v>
      </c>
    </row>
    <row r="173" spans="1:15">
      <c r="B173" s="241" t="s">
        <v>239</v>
      </c>
      <c r="C173" s="241" t="s">
        <v>225</v>
      </c>
      <c r="D173" s="241" t="s">
        <v>211</v>
      </c>
      <c r="E173" s="241" t="s">
        <v>217</v>
      </c>
    </row>
    <row r="174" spans="1:15">
      <c r="B174" s="242" t="s">
        <v>242</v>
      </c>
      <c r="C174" s="242" t="s">
        <v>211</v>
      </c>
      <c r="D174" s="242" t="s">
        <v>212</v>
      </c>
      <c r="E174" s="242" t="s">
        <v>213</v>
      </c>
    </row>
    <row r="175" spans="1:15">
      <c r="B175" s="241" t="s">
        <v>244</v>
      </c>
      <c r="C175" s="241" t="s">
        <v>215</v>
      </c>
      <c r="D175" s="241" t="s">
        <v>227</v>
      </c>
      <c r="E175" s="241" t="s">
        <v>215</v>
      </c>
    </row>
    <row r="176" spans="1:15">
      <c r="B176" s="242" t="s">
        <v>240</v>
      </c>
      <c r="C176" s="242" t="s">
        <v>218</v>
      </c>
      <c r="D176" s="242" t="s">
        <v>227</v>
      </c>
      <c r="E176" s="242" t="s">
        <v>218</v>
      </c>
    </row>
    <row r="179" spans="1:15">
      <c r="B179" s="218" t="s">
        <v>245</v>
      </c>
    </row>
    <row r="180" spans="1:15">
      <c r="B180" s="212"/>
    </row>
    <row r="181" spans="1:15">
      <c r="B181" s="212" t="s">
        <v>312</v>
      </c>
    </row>
    <row r="182" spans="1:15">
      <c r="B182" s="212" t="s">
        <v>313</v>
      </c>
    </row>
    <row r="185" spans="1:15">
      <c r="B185" s="243"/>
      <c r="C185" s="243"/>
      <c r="D185" s="243"/>
      <c r="E185" s="243"/>
      <c r="F185" s="243"/>
      <c r="G185" s="243"/>
      <c r="H185" s="243"/>
      <c r="I185" s="243"/>
      <c r="J185" s="243"/>
      <c r="K185" s="243"/>
      <c r="L185" s="244"/>
      <c r="M185" s="243"/>
      <c r="N185" s="243"/>
      <c r="O185" s="243"/>
    </row>
    <row r="188" spans="1:15">
      <c r="B188" s="218" t="s">
        <v>247</v>
      </c>
    </row>
    <row r="190" spans="1:15">
      <c r="A190" s="205" t="s">
        <v>81</v>
      </c>
      <c r="B190" s="206" t="s">
        <v>202</v>
      </c>
      <c r="C190" s="206" t="s">
        <v>203</v>
      </c>
      <c r="D190" s="218" t="s">
        <v>178</v>
      </c>
    </row>
    <row r="191" spans="1:15">
      <c r="A191" s="205" t="s">
        <v>82</v>
      </c>
      <c r="B191" s="206" t="s">
        <v>204</v>
      </c>
      <c r="C191" s="206" t="s">
        <v>203</v>
      </c>
      <c r="D191" s="218" t="s">
        <v>250</v>
      </c>
    </row>
    <row r="194" spans="2:5">
      <c r="B194" s="218" t="s">
        <v>249</v>
      </c>
    </row>
    <row r="196" spans="2:5">
      <c r="B196" s="240" t="s">
        <v>207</v>
      </c>
      <c r="C196" s="240" t="s">
        <v>208</v>
      </c>
      <c r="D196" s="240" t="s">
        <v>209</v>
      </c>
      <c r="E196" s="240" t="s">
        <v>210</v>
      </c>
    </row>
    <row r="197" spans="2:5">
      <c r="B197" s="241" t="s">
        <v>178</v>
      </c>
      <c r="C197" s="241" t="s">
        <v>225</v>
      </c>
      <c r="D197" s="241" t="s">
        <v>217</v>
      </c>
      <c r="E197" s="241" t="s">
        <v>234</v>
      </c>
    </row>
    <row r="198" spans="2:5">
      <c r="B198" s="242" t="s">
        <v>250</v>
      </c>
      <c r="C198" s="242" t="s">
        <v>211</v>
      </c>
      <c r="D198" s="242" t="s">
        <v>216</v>
      </c>
      <c r="E198" s="242" t="s">
        <v>213</v>
      </c>
    </row>
    <row r="199" spans="2:5">
      <c r="B199" s="241" t="s">
        <v>251</v>
      </c>
      <c r="C199" s="241" t="s">
        <v>218</v>
      </c>
      <c r="D199" s="241" t="s">
        <v>233</v>
      </c>
      <c r="E199" s="241" t="s">
        <v>218</v>
      </c>
    </row>
    <row r="200" spans="2:5">
      <c r="B200" s="242" t="s">
        <v>248</v>
      </c>
      <c r="C200" s="242" t="s">
        <v>213</v>
      </c>
      <c r="D200" s="242" t="s">
        <v>216</v>
      </c>
      <c r="E200" s="242" t="s">
        <v>215</v>
      </c>
    </row>
    <row r="203" spans="2:5">
      <c r="B203" s="218" t="s">
        <v>253</v>
      </c>
    </row>
    <row r="204" spans="2:5">
      <c r="B204" s="212"/>
    </row>
    <row r="205" spans="2:5">
      <c r="B205" s="212" t="s">
        <v>254</v>
      </c>
    </row>
    <row r="206" spans="2:5">
      <c r="B206" s="212" t="s">
        <v>255</v>
      </c>
    </row>
    <row r="209" spans="1:15">
      <c r="B209" s="243"/>
      <c r="C209" s="243"/>
      <c r="D209" s="243"/>
      <c r="E209" s="243"/>
      <c r="F209" s="243"/>
      <c r="G209" s="243"/>
      <c r="H209" s="243"/>
      <c r="I209" s="243"/>
      <c r="J209" s="243"/>
      <c r="K209" s="243"/>
      <c r="L209" s="244"/>
      <c r="M209" s="243"/>
      <c r="N209" s="243"/>
      <c r="O209" s="243"/>
    </row>
    <row r="212" spans="1:15">
      <c r="B212" s="218" t="s">
        <v>256</v>
      </c>
    </row>
    <row r="214" spans="1:15">
      <c r="A214" s="205" t="s">
        <v>83</v>
      </c>
      <c r="B214" s="206" t="s">
        <v>202</v>
      </c>
      <c r="C214" s="206" t="s">
        <v>203</v>
      </c>
      <c r="D214" s="218" t="s">
        <v>257</v>
      </c>
    </row>
    <row r="215" spans="1:15">
      <c r="A215" s="205" t="s">
        <v>84</v>
      </c>
      <c r="B215" s="206" t="s">
        <v>204</v>
      </c>
      <c r="C215" s="206" t="s">
        <v>203</v>
      </c>
      <c r="D215" s="218" t="s">
        <v>260</v>
      </c>
    </row>
    <row r="218" spans="1:15">
      <c r="B218" s="218" t="s">
        <v>258</v>
      </c>
    </row>
    <row r="220" spans="1:15">
      <c r="B220" s="240" t="s">
        <v>207</v>
      </c>
      <c r="C220" s="240" t="s">
        <v>208</v>
      </c>
      <c r="D220" s="240" t="s">
        <v>209</v>
      </c>
      <c r="E220" s="240" t="s">
        <v>210</v>
      </c>
    </row>
    <row r="221" spans="1:15">
      <c r="B221" s="241" t="s">
        <v>257</v>
      </c>
      <c r="C221" s="241" t="s">
        <v>234</v>
      </c>
      <c r="D221" s="241" t="s">
        <v>211</v>
      </c>
      <c r="E221" s="241" t="s">
        <v>217</v>
      </c>
    </row>
    <row r="222" spans="1:15">
      <c r="B222" s="242" t="s">
        <v>259</v>
      </c>
      <c r="C222" s="242" t="s">
        <v>212</v>
      </c>
      <c r="D222" s="242" t="s">
        <v>320</v>
      </c>
      <c r="E222" s="242" t="s">
        <v>212</v>
      </c>
    </row>
    <row r="223" spans="1:15">
      <c r="B223" s="241" t="s">
        <v>182</v>
      </c>
      <c r="C223" s="241" t="s">
        <v>211</v>
      </c>
      <c r="D223" s="241" t="s">
        <v>218</v>
      </c>
      <c r="E223" s="241" t="s">
        <v>213</v>
      </c>
    </row>
    <row r="224" spans="1:15">
      <c r="B224" s="242" t="s">
        <v>260</v>
      </c>
      <c r="C224" s="242" t="s">
        <v>217</v>
      </c>
      <c r="D224" s="242" t="s">
        <v>213</v>
      </c>
      <c r="E224" s="242" t="s">
        <v>217</v>
      </c>
    </row>
    <row r="227" spans="1:15">
      <c r="B227" s="218" t="s">
        <v>261</v>
      </c>
    </row>
    <row r="228" spans="1:15">
      <c r="B228" s="212"/>
    </row>
    <row r="229" spans="1:15">
      <c r="B229" s="212" t="s">
        <v>262</v>
      </c>
    </row>
    <row r="230" spans="1:15">
      <c r="B230" s="212" t="s">
        <v>263</v>
      </c>
    </row>
    <row r="233" spans="1:15">
      <c r="B233" s="243"/>
      <c r="C233" s="243"/>
      <c r="D233" s="243"/>
      <c r="E233" s="243"/>
      <c r="F233" s="243"/>
      <c r="G233" s="243"/>
      <c r="H233" s="243"/>
      <c r="I233" s="243"/>
      <c r="J233" s="243"/>
      <c r="K233" s="243"/>
      <c r="L233" s="244"/>
      <c r="M233" s="243"/>
      <c r="N233" s="243"/>
      <c r="O233" s="243"/>
    </row>
    <row r="236" spans="1:15">
      <c r="B236" s="218" t="s">
        <v>264</v>
      </c>
    </row>
    <row r="238" spans="1:15">
      <c r="A238" s="205" t="s">
        <v>85</v>
      </c>
      <c r="B238" s="206" t="s">
        <v>202</v>
      </c>
      <c r="C238" s="206" t="s">
        <v>203</v>
      </c>
      <c r="D238" s="218" t="s">
        <v>265</v>
      </c>
    </row>
    <row r="239" spans="1:15">
      <c r="A239" s="205" t="s">
        <v>86</v>
      </c>
      <c r="B239" s="206" t="s">
        <v>204</v>
      </c>
      <c r="C239" s="206" t="s">
        <v>203</v>
      </c>
      <c r="D239" s="218" t="s">
        <v>268</v>
      </c>
    </row>
    <row r="242" spans="2:10">
      <c r="B242" s="218" t="s">
        <v>267</v>
      </c>
    </row>
    <row r="244" spans="2:10">
      <c r="B244" s="240" t="s">
        <v>207</v>
      </c>
      <c r="C244" s="240" t="s">
        <v>208</v>
      </c>
      <c r="D244" s="240" t="s">
        <v>209</v>
      </c>
      <c r="E244" s="240" t="s">
        <v>210</v>
      </c>
    </row>
    <row r="245" spans="2:10">
      <c r="B245" s="241" t="s">
        <v>268</v>
      </c>
      <c r="C245" s="241" t="s">
        <v>234</v>
      </c>
      <c r="D245" s="241" t="s">
        <v>215</v>
      </c>
      <c r="E245" s="241" t="s">
        <v>226</v>
      </c>
    </row>
    <row r="246" spans="2:10">
      <c r="B246" s="242" t="s">
        <v>265</v>
      </c>
      <c r="C246" s="242" t="s">
        <v>234</v>
      </c>
      <c r="D246" s="242" t="s">
        <v>226</v>
      </c>
      <c r="E246" s="242" t="s">
        <v>225</v>
      </c>
    </row>
    <row r="247" spans="2:10">
      <c r="B247" s="241" t="s">
        <v>266</v>
      </c>
      <c r="C247" s="241" t="s">
        <v>213</v>
      </c>
      <c r="D247" s="241" t="s">
        <v>216</v>
      </c>
      <c r="E247" s="241" t="s">
        <v>211</v>
      </c>
    </row>
    <row r="248" spans="2:10">
      <c r="B248" s="242" t="s">
        <v>269</v>
      </c>
      <c r="C248" s="242" t="s">
        <v>212</v>
      </c>
      <c r="D248" s="242" t="s">
        <v>252</v>
      </c>
      <c r="E248" s="242" t="s">
        <v>218</v>
      </c>
    </row>
    <row r="251" spans="2:10">
      <c r="B251" s="218" t="s">
        <v>270</v>
      </c>
    </row>
    <row r="252" spans="2:10">
      <c r="B252" s="212"/>
    </row>
    <row r="253" spans="2:10">
      <c r="B253" s="212" t="s">
        <v>321</v>
      </c>
    </row>
    <row r="254" spans="2:10">
      <c r="B254" s="212"/>
    </row>
    <row r="256" spans="2:10">
      <c r="B256" s="243"/>
      <c r="C256" s="243"/>
      <c r="D256" s="243"/>
      <c r="E256" s="243"/>
      <c r="F256" s="243"/>
      <c r="G256" s="243"/>
      <c r="H256" s="243"/>
      <c r="I256" s="243"/>
      <c r="J256" s="243"/>
    </row>
    <row r="257" spans="1:15">
      <c r="K257" s="243"/>
      <c r="L257" s="244"/>
      <c r="M257" s="243"/>
      <c r="N257" s="243"/>
      <c r="O257" s="243"/>
    </row>
    <row r="259" spans="1:15">
      <c r="B259" s="218" t="s">
        <v>273</v>
      </c>
    </row>
    <row r="261" spans="1:15">
      <c r="A261" s="205" t="s">
        <v>87</v>
      </c>
      <c r="B261" s="206" t="s">
        <v>202</v>
      </c>
      <c r="C261" s="206" t="s">
        <v>203</v>
      </c>
      <c r="D261" s="218" t="s">
        <v>200</v>
      </c>
    </row>
    <row r="262" spans="1:15">
      <c r="A262" s="205" t="s">
        <v>88</v>
      </c>
      <c r="B262" s="206" t="s">
        <v>204</v>
      </c>
      <c r="C262" s="206" t="s">
        <v>203</v>
      </c>
      <c r="D262" s="218" t="s">
        <v>276</v>
      </c>
    </row>
    <row r="263" spans="1:15">
      <c r="A263" s="205" t="s">
        <v>88</v>
      </c>
    </row>
    <row r="265" spans="1:15">
      <c r="B265" s="218" t="s">
        <v>275</v>
      </c>
    </row>
    <row r="267" spans="1:15">
      <c r="B267" s="240" t="s">
        <v>207</v>
      </c>
      <c r="C267" s="240" t="s">
        <v>208</v>
      </c>
      <c r="D267" s="240" t="s">
        <v>209</v>
      </c>
      <c r="E267" s="240" t="s">
        <v>210</v>
      </c>
    </row>
    <row r="268" spans="1:15">
      <c r="B268" s="241" t="s">
        <v>274</v>
      </c>
      <c r="C268" s="241" t="s">
        <v>213</v>
      </c>
      <c r="D268" s="241" t="s">
        <v>227</v>
      </c>
      <c r="E268" s="241" t="s">
        <v>218</v>
      </c>
    </row>
    <row r="269" spans="1:15">
      <c r="B269" s="242" t="s">
        <v>200</v>
      </c>
      <c r="C269" s="242" t="s">
        <v>225</v>
      </c>
      <c r="D269" s="242" t="s">
        <v>234</v>
      </c>
      <c r="E269" s="242" t="s">
        <v>316</v>
      </c>
    </row>
    <row r="270" spans="1:15">
      <c r="B270" s="241" t="s">
        <v>276</v>
      </c>
      <c r="C270" s="241" t="s">
        <v>226</v>
      </c>
      <c r="D270" s="241" t="s">
        <v>212</v>
      </c>
      <c r="E270" s="241" t="s">
        <v>213</v>
      </c>
    </row>
    <row r="271" spans="1:15">
      <c r="B271" s="242" t="s">
        <v>277</v>
      </c>
      <c r="C271" s="242" t="s">
        <v>212</v>
      </c>
      <c r="D271" s="242" t="s">
        <v>224</v>
      </c>
      <c r="E271" s="242" t="s">
        <v>212</v>
      </c>
    </row>
    <row r="274" spans="2:15">
      <c r="B274" s="218" t="s">
        <v>278</v>
      </c>
    </row>
    <row r="275" spans="2:15">
      <c r="B275" s="212"/>
    </row>
    <row r="276" spans="2:15">
      <c r="B276" s="212" t="s">
        <v>279</v>
      </c>
    </row>
    <row r="277" spans="2:15">
      <c r="B277" s="212" t="s">
        <v>280</v>
      </c>
    </row>
    <row r="280" spans="2:15">
      <c r="B280" s="243"/>
      <c r="C280" s="243"/>
      <c r="D280" s="243"/>
      <c r="E280" s="243"/>
      <c r="F280" s="243"/>
      <c r="G280" s="243"/>
      <c r="H280" s="243"/>
      <c r="I280" s="243"/>
      <c r="J280" s="243"/>
    </row>
    <row r="281" spans="2:15">
      <c r="K281" s="243"/>
      <c r="L281" s="244"/>
      <c r="M281" s="243"/>
      <c r="N281" s="243"/>
      <c r="O281" s="243"/>
    </row>
    <row r="285" spans="2:15">
      <c r="B285" s="206" t="s">
        <v>281</v>
      </c>
    </row>
    <row r="287" spans="2:15">
      <c r="B287" s="245" t="s">
        <v>282</v>
      </c>
    </row>
    <row r="288" spans="2:15">
      <c r="B288" s="245"/>
    </row>
    <row r="290" spans="2:2">
      <c r="B290" s="245" t="s">
        <v>283</v>
      </c>
    </row>
    <row r="291" spans="2:2">
      <c r="B291" s="245"/>
    </row>
    <row r="293" spans="2:2">
      <c r="B293" s="212"/>
    </row>
    <row r="294" spans="2:2">
      <c r="B294" s="222" t="s">
        <v>284</v>
      </c>
    </row>
    <row r="295" spans="2:2">
      <c r="B295" s="246" t="s">
        <v>285</v>
      </c>
    </row>
    <row r="296" spans="2:2">
      <c r="B296" s="246" t="s">
        <v>286</v>
      </c>
    </row>
    <row r="297" spans="2:2">
      <c r="B297" s="246" t="s">
        <v>287</v>
      </c>
    </row>
    <row r="298" spans="2:2">
      <c r="B298" s="246" t="s">
        <v>288</v>
      </c>
    </row>
    <row r="299" spans="2:2">
      <c r="B299" s="222" t="s">
        <v>289</v>
      </c>
    </row>
    <row r="300" spans="2:2">
      <c r="B300" s="246" t="s">
        <v>290</v>
      </c>
    </row>
    <row r="301" spans="2:2">
      <c r="B301" s="246" t="s">
        <v>291</v>
      </c>
    </row>
    <row r="302" spans="2:2">
      <c r="B302" s="246" t="s">
        <v>292</v>
      </c>
    </row>
    <row r="303" spans="2:2">
      <c r="B303" s="222" t="s">
        <v>293</v>
      </c>
    </row>
    <row r="304" spans="2:2">
      <c r="B304" s="246" t="s">
        <v>294</v>
      </c>
    </row>
    <row r="305" spans="2:2">
      <c r="B305" s="246" t="s">
        <v>295</v>
      </c>
    </row>
    <row r="306" spans="2:2">
      <c r="B306" s="246" t="s">
        <v>296</v>
      </c>
    </row>
    <row r="307" spans="2:2">
      <c r="B307" s="222" t="s">
        <v>297</v>
      </c>
    </row>
    <row r="308" spans="2:2">
      <c r="B308" s="246" t="s">
        <v>298</v>
      </c>
    </row>
    <row r="310" spans="2:2">
      <c r="B310" s="206" t="s">
        <v>299</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Werkbladen</vt:lpstr>
      </vt:variant>
      <vt:variant>
        <vt:i4>32</vt:i4>
      </vt:variant>
      <vt:variant>
        <vt:lpstr>Benoemde bereiken</vt:lpstr>
      </vt:variant>
      <vt:variant>
        <vt:i4>18</vt:i4>
      </vt:variant>
    </vt:vector>
  </HeadingPairs>
  <TitlesOfParts>
    <vt:vector size="50" baseType="lpstr">
      <vt:lpstr>Punten telling</vt:lpstr>
      <vt:lpstr>Invulblad</vt:lpstr>
      <vt:lpstr>quickview</vt:lpstr>
      <vt:lpstr>score</vt:lpstr>
      <vt:lpstr>Grafiek</vt:lpstr>
      <vt:lpstr>gem.</vt:lpstr>
      <vt:lpstr>Harro</vt:lpstr>
      <vt:lpstr>Angele</vt:lpstr>
      <vt:lpstr>City</vt:lpstr>
      <vt:lpstr>Matthijs</vt:lpstr>
      <vt:lpstr>Jan</vt:lpstr>
      <vt:lpstr>Linda</vt:lpstr>
      <vt:lpstr>José</vt:lpstr>
      <vt:lpstr>Lafleur</vt:lpstr>
      <vt:lpstr>Mariel</vt:lpstr>
      <vt:lpstr>Leen</vt:lpstr>
      <vt:lpstr>Jerome</vt:lpstr>
      <vt:lpstr>Reindert</vt:lpstr>
      <vt:lpstr>Gerard</vt:lpstr>
      <vt:lpstr>Willem</vt:lpstr>
      <vt:lpstr>Eric</vt:lpstr>
      <vt:lpstr>Paul</vt:lpstr>
      <vt:lpstr>Joris</vt:lpstr>
      <vt:lpstr>PeterK</vt:lpstr>
      <vt:lpstr>Lothar</vt:lpstr>
      <vt:lpstr>Annita</vt:lpstr>
      <vt:lpstr>LeSu</vt:lpstr>
      <vt:lpstr>Frank</vt:lpstr>
      <vt:lpstr>LOGBOEK</vt:lpstr>
      <vt:lpstr>Bonusvragen</vt:lpstr>
      <vt:lpstr>Poule berekeningen</vt:lpstr>
      <vt:lpstr>Toernooigegevens</vt:lpstr>
      <vt:lpstr>_C</vt:lpstr>
      <vt:lpstr>A</vt:lpstr>
      <vt:lpstr>a_24</vt:lpstr>
      <vt:lpstr>Invulblad!Afdrukbereik</vt:lpstr>
      <vt:lpstr>B</vt:lpstr>
      <vt:lpstr>b_24</vt:lpstr>
      <vt:lpstr>D</vt:lpstr>
      <vt:lpstr>d_24</vt:lpstr>
      <vt:lpstr>E</vt:lpstr>
      <vt:lpstr>e_24</vt:lpstr>
      <vt:lpstr>F</vt:lpstr>
      <vt:lpstr>f_24</vt:lpstr>
      <vt:lpstr>G</vt:lpstr>
      <vt:lpstr>g_24</vt:lpstr>
      <vt:lpstr>H</vt:lpstr>
      <vt:lpstr>h_24</vt:lpstr>
      <vt:lpstr>TotoVoorronden</vt:lpstr>
      <vt:lpstr>Vanaf8eFinales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Ernest Berkhout</cp:lastModifiedBy>
  <dcterms:created xsi:type="dcterms:W3CDTF">2010-06-24T08:21:53Z</dcterms:created>
  <dcterms:modified xsi:type="dcterms:W3CDTF">2010-07-07T10:44:50Z</dcterms:modified>
</cp:coreProperties>
</file>